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"/>
    </mc:Choice>
  </mc:AlternateContent>
  <xr:revisionPtr revIDLastSave="0" documentId="13_ncr:1_{C0881E38-B536-44BA-95CD-2A882AF8B16F}" xr6:coauthVersionLast="47" xr6:coauthVersionMax="47" xr10:uidLastSave="{00000000-0000-0000-0000-000000000000}"/>
  <bookViews>
    <workbookView xWindow="-120" yWindow="-120" windowWidth="20730" windowHeight="11160" tabRatio="859" activeTab="2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SLD" sheetId="75" r:id="rId11"/>
    <sheet name="PETA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bbsuralaya">[1]Uraian!$R$586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7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7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7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7">[5]prod03!#REF!</definedName>
    <definedName name="___SIN1" localSheetId="5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[10]C!$D$322:$K$322</definedName>
    <definedName name="__123Graph_A2" hidden="1">[10]C!$D$372:$K$372</definedName>
    <definedName name="__123gRAPH_ab" localSheetId="6" hidden="1">[8]DExp.Lmb!#REF!</definedName>
    <definedName name="__123gRAPH_ab" localSheetId="7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[10]C!$D$323:$K$323</definedName>
    <definedName name="__123Graph_B2" hidden="1">[10]C!$D$373:$K$373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9" hidden="1">[12]PkRp!#REF!</definedName>
    <definedName name="__123Graph_D" localSheetId="7" hidden="1">[11]PkRp!#REF!</definedName>
    <definedName name="__123Graph_D" localSheetId="1" hidden="1">[11]PkRp!#REF!</definedName>
    <definedName name="__123Graph_D" localSheetId="3" hidden="1">[11]PkRp!#REF!</definedName>
    <definedName name="__123Graph_D" localSheetId="2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7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7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7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7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7">[5]prod03!#REF!</definedName>
    <definedName name="__WAI1">[5]prod03!#REF!</definedName>
    <definedName name="__WIL1" localSheetId="6">[5]prod03!#REF!</definedName>
    <definedName name="__WIL1" localSheetId="7">[5]prod03!#REF!</definedName>
    <definedName name="__WIL1">[5]prod03!#REF!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'[15]PUNCAK-89'!$AB$1:$AB$7</definedName>
    <definedName name="_1__123Graph_BCHART_1" localSheetId="1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[17]graf2!$D$12:$L$12</definedName>
    <definedName name="_10__123Graph_LBL_BCHART_2" localSheetId="10" hidden="1">[18]graf2!$D$12:$L$12</definedName>
    <definedName name="_10__123Graph_LBL_BCHART_2" hidden="1">[19]graf2!$D$12:$L$12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">#REF!</definedName>
    <definedName name="_12__123Graph_LBL_ACHART_2" localSheetId="9" hidden="1">[17]graf2!$D$10:$L$10</definedName>
    <definedName name="_12__123Graph_LBL_ACHART_2" localSheetId="10" hidden="1">[18]graf2!$D$10:$L$10</definedName>
    <definedName name="_12__123Graph_LBL_ACHART_2" hidden="1">[19]graf2!$D$10:$L$10</definedName>
    <definedName name="_12__123Graph_LBL_BCHART_2" hidden="1">[6]graf2!$D$12:$L$12</definedName>
    <definedName name="_12__123Graph_LBL_CCHART_2" localSheetId="9" hidden="1">[17]graf2!$D$14:$L$14</definedName>
    <definedName name="_12__123Graph_LBL_CCHART_2" localSheetId="10" hidden="1">[18]graf2!$D$14:$L$14</definedName>
    <definedName name="_12__123Graph_LBL_CCHART_2" hidden="1">[19]graf2!$D$14:$L$14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">#N/A</definedName>
    <definedName name="_14__123Graph_XCHART_2" localSheetId="9" hidden="1">[17]graf2!$D$8:$L$8</definedName>
    <definedName name="_14__123Graph_XCHART_2" localSheetId="10" hidden="1">[18]graf2!$D$8:$L$8</definedName>
    <definedName name="_14__123Graph_XCHART_2" hidden="1">[19]graf2!$D$8:$L$8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[17]graf2!$D$12:$L$12</definedName>
    <definedName name="_15__123Graph_LBL_BCHART_2" localSheetId="10" hidden="1">[18]graf2!$D$12:$L$12</definedName>
    <definedName name="_15__123Graph_LBL_BCHART_2" hidden="1">[19]graf2!$D$12:$L$12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">#N/A</definedName>
    <definedName name="_18___123Graph_LBL_ACHART_2" hidden="1">[6]graf2!$D$10:$L$10</definedName>
    <definedName name="_18__123Graph_LBL_CCHART_2" localSheetId="9" hidden="1">[17]graf2!$D$14:$L$14</definedName>
    <definedName name="_18__123Graph_LBL_CCHART_2" localSheetId="10" hidden="1">[18]graf2!$D$14:$L$14</definedName>
    <definedName name="_18__123Graph_LBL_CCHART_2" hidden="1">[19]graf2!$D$14:$L$14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7">#REF!</definedName>
    <definedName name="_2">#REF!</definedName>
    <definedName name="_2_____123Graph_BCHART_2" hidden="1">[6]graf2!$D$12:$L$12</definedName>
    <definedName name="_2__123Graph_ACHART_2" localSheetId="9" hidden="1">[17]graf2!$D$10:$L$10</definedName>
    <definedName name="_2__123Graph_ACHART_2" localSheetId="10" hidden="1">[18]graf2!$D$10:$L$10</definedName>
    <definedName name="_2__123Graph_ACHART_2" hidden="1">[19]graf2!$D$10:$L$10</definedName>
    <definedName name="_2__123Graph_BCHART_2" hidden="1">[6]graf2!$D$12:$L$12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[6]graf2!$D$8:$L$8</definedName>
    <definedName name="_21__123Graph_XCHART_2" localSheetId="9" hidden="1">[17]graf2!$D$8:$L$8</definedName>
    <definedName name="_21__123Graph_XCHART_2" localSheetId="10" hidden="1">[18]graf2!$D$8:$L$8</definedName>
    <definedName name="_21__123Graph_XCHART_2" hidden="1">[19]graf2!$D$8:$L$8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[6]graf2!$D$14:$L$14</definedName>
    <definedName name="_3__123Graph_ACHART_2" localSheetId="9" hidden="1">[17]graf2!$D$10:$L$10</definedName>
    <definedName name="_3__123Graph_ACHART_2" localSheetId="10" hidden="1">[18]graf2!$D$10:$L$10</definedName>
    <definedName name="_3__123Graph_ACHART_2" hidden="1">[19]graf2!$D$10:$L$10</definedName>
    <definedName name="_3__123Graph_CCHART_2" hidden="1">[6]graf2!$D$14:$L$14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[6]graf2!$D$10:$L$10</definedName>
    <definedName name="_4__123Graph_BCHART_2" localSheetId="9" hidden="1">[17]graf2!$D$12:$L$12</definedName>
    <definedName name="_4__123Graph_BCHART_2" localSheetId="10" hidden="1">[18]graf2!$D$12:$L$12</definedName>
    <definedName name="_4__123Graph_BCHART_2" hidden="1">[19]graf2!$D$12:$L$12</definedName>
    <definedName name="_4__123Graph_LBL_ACHART_2" hidden="1">[6]graf2!$D$10:$L$10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[17]graf2!$D$12:$L$12</definedName>
    <definedName name="_6__123Graph_BCHART_2" localSheetId="10" hidden="1">[18]graf2!$D$12:$L$12</definedName>
    <definedName name="_6__123Graph_BCHART_2" hidden="1">[19]graf2!$D$12:$L$12</definedName>
    <definedName name="_6__123Graph_CCHART_2" localSheetId="9" hidden="1">[17]graf2!$D$14:$L$14</definedName>
    <definedName name="_6__123Graph_CCHART_2" localSheetId="10" hidden="1">[18]graf2!$D$14:$L$14</definedName>
    <definedName name="_6__123Graph_CCHART_2" hidden="1">[19]graf2!$D$14:$L$14</definedName>
    <definedName name="_6__123Graph_LBL_CCHART_2" hidden="1">[6]graf2!$D$14:$L$14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">#REF!</definedName>
    <definedName name="_6ANGG_PERUSAHAAN" localSheetId="6">#REF!</definedName>
    <definedName name="_6ANGG_PERUSAHAAN" localSheetId="7">#REF!</definedName>
    <definedName name="_6ANGG_PERUSAHAAN">#REF!</definedName>
    <definedName name="_6B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[6]graf2!$D$10:$L$10</definedName>
    <definedName name="_8__123Graph_LBL_ACHART_2" localSheetId="9" hidden="1">[17]graf2!$D$10:$L$10</definedName>
    <definedName name="_8__123Graph_LBL_ACHART_2" localSheetId="10" hidden="1">[18]graf2!$D$10:$L$10</definedName>
    <definedName name="_8__123Graph_LBL_ACHART_2" hidden="1">[19]graf2!$D$10:$L$10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[17]graf2!$D$14:$L$14</definedName>
    <definedName name="_9__123Graph_CCHART_2" localSheetId="10" hidden="1">[18]graf2!$D$14:$L$14</definedName>
    <definedName name="_9__123Graph_CCHART_2" hidden="1">[19]graf2!$D$14:$L$14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AT48100">'[13]HARGA SATUAN'!$B$13</definedName>
    <definedName name="_BIM1" localSheetId="6">[5]prod03!#REF!</definedName>
    <definedName name="_BIM1" localSheetId="7">[5]prod03!#REF!</definedName>
    <definedName name="_BIM1">[5]prod03!#REF!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[5]prod03!#REF!</definedName>
    <definedName name="_DEN1" localSheetId="7">[5]prod03!#REF!</definedName>
    <definedName name="_DEN1">[5]prod03!#REF!</definedName>
    <definedName name="_DIL1" localSheetId="6">[5]prod03!#REF!</definedName>
    <definedName name="_DIL1" localSheetId="7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7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RAB!$A$11:$X$13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7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'[20]Assumptions (2)'!$B$3:$H$39</definedName>
    <definedName name="_LinkPic_DC9E3C4193F340C38D569535AFB3BB77">'[20]Assumptions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mp3" hidden="1">{#N/A,#N/A,FALSE,"M.42"}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7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7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">"$#REF!.$FF$3:$FF$140"</definedName>
    <definedName name="_WAI1" localSheetId="6">[5]prod03!#REF!</definedName>
    <definedName name="_WAI1" localSheetId="7">[5]prod03!#REF!</definedName>
    <definedName name="_WAI1">[5]prod03!#REF!</definedName>
    <definedName name="_WIL1" localSheetId="6">[5]prod03!#REF!</definedName>
    <definedName name="_WIL1" localSheetId="7">[5]prod03!#REF!</definedName>
    <definedName name="_WIL1">[5]prod03!#REF!</definedName>
    <definedName name="_xlcn.WorksheetConnection_20200913RekapRevisi2020RJBTPaguDIVANG.xlsxLRPA1" hidden="1">[21]!LRPA[#Data]</definedName>
    <definedName name="_xlcn.WorksheetConnection_20200913RekapRevisi2020RJBTPaguDIVANG.xlsxRevisiRKAP20201" hidden="1">[22]!RevisiRKAP2020[#Data]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[23]JAN07!#REF!</definedName>
    <definedName name="a" localSheetId="9">#REF!</definedName>
    <definedName name="a" localSheetId="7">[23]JAN07!#REF!</definedName>
    <definedName name="a" localSheetId="10">#REF!</definedName>
    <definedName name="a">#REF!</definedName>
    <definedName name="a\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[24]x!$H$9:$H$47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[24]x!$B$100:$B$101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[25]MEMO!$A$1:$B$65536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CUAN1">#REF!</definedName>
    <definedName name="ACUAN2">#REF!</definedName>
    <definedName name="ad" localSheetId="6">[26]JAN09!#REF!</definedName>
    <definedName name="ad" localSheetId="7">[26]JAN09!#REF!</definedName>
    <definedName name="ad">[26]JAN09!#REF!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'[27]AHS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ep" hidden="1">{#N/A,#N/A,FALSE,"M.41"}</definedName>
    <definedName name="afag">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" hidden="1">{#N/A,#N/A,FALSE,"M.43"}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MPE" hidden="1">{#N/A,#N/A,FALSE,"M.31"}</definedName>
    <definedName name="an" localSheetId="6">[26]JAN09!#REF!</definedName>
    <definedName name="an" localSheetId="7">[26]JAN09!#REF!</definedName>
    <definedName name="an">[26]JAN09!#REF!</definedName>
    <definedName name="anal" hidden="1">{#N/A,#N/A,FALSE,"M.31"}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'[27]AHS - Personel'!$G$10</definedName>
    <definedName name="AnalisHari">#N/A</definedName>
    <definedName name="and" localSheetId="6">[28]JAN09!#REF!</definedName>
    <definedName name="and" localSheetId="7">[28]JAN09!#REF!</definedName>
    <definedName name="and" localSheetId="10">[28]JAN09!#REF!</definedName>
    <definedName name="and">[28]JAN09!#REF!</definedName>
    <definedName name="andrea" localSheetId="6">[26]JAN09!#REF!</definedName>
    <definedName name="andrea" localSheetId="7">[26]JAN09!#REF!</definedName>
    <definedName name="andrea">[26]JAN09!#REF!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[29]Area_Data!$C$7:$Y$29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OFFSET('[29]Working Page'!$K$8,0,0,COUNTA('[29]Working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UD">[30]L20Keu!$O$6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[31]Usulan!#REF!</definedName>
    <definedName name="ba" localSheetId="7">[31]Usulan!#REF!</definedName>
    <definedName name="ba" localSheetId="5">[31]Usulan!#REF!</definedName>
    <definedName name="ba">[31]Usulan!#REF!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nyu" hidden="1">{#N/A,#N/A,FALSE,"M.01"}</definedName>
    <definedName name="BAR" localSheetId="6">'[32]FORM-B'!#REF!</definedName>
    <definedName name="BAR" localSheetId="7">'[32]FORM-B'!#REF!</definedName>
    <definedName name="BAR">'[32]FORM-B'!#REF!</definedName>
    <definedName name="BAR_19" localSheetId="6">'[32]FORM-B'!#REF!</definedName>
    <definedName name="BAR_19" localSheetId="7">'[32]FORM-B'!#REF!</definedName>
    <definedName name="BAR_19">'[32]FORM-B'!#REF!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'[32]FORM-B'!#REF!</definedName>
    <definedName name="Baru_19" localSheetId="7">'[32]FORM-B'!#REF!</definedName>
    <definedName name="Baru_19" localSheetId="5">'[32]FORM-B'!#REF!</definedName>
    <definedName name="Baru_19">'[32]FORM-B'!#REF!</definedName>
    <definedName name="Bases_of_absorption">OFFSET('[29]Working Page'!$J$8,0,0,COUNTA('[29]Working Page'!$J$8:$J$31),1)</definedName>
    <definedName name="Basis_of_absorption_Area_Overheads">'[29]Regional Overhead Allocation_WJ'!$C$381:$U$404</definedName>
    <definedName name="Basket">[33]Kamus!$D$2:$D$8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'[34]BBaku(12C3)'!$B$1:$S$46</definedName>
    <definedName name="BBakuTRWII">'[34]BBaku(12C3)'!$B$47:$S$93</definedName>
    <definedName name="BBakuTRWIII">'[34]BBaku(12C3)'!$B$94:$S$140</definedName>
    <definedName name="BBakuTRWIV">'[34]BBaku(12C3)'!$B$141:$S$187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'[35]BBMJenis(12B1)'!$B$1:$K$38</definedName>
    <definedName name="BBMJenisTRWII">'[35]BBMJenis(12B1)'!$B$40:$K$77</definedName>
    <definedName name="BBMJenisTRWIII">'[35]BBMJenis(12B1)'!$B$79:$K$116</definedName>
    <definedName name="BBMJenisTRWIV">'[35]BBMJenis(12B1)'!$B$118:$K$155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'[34]BiLuOp(14)'!$B$1:$G$49</definedName>
    <definedName name="BIM" localSheetId="6">[5]prod03!#REF!</definedName>
    <definedName name="BIM" localSheetId="7">[5]prod03!#REF!</definedName>
    <definedName name="BIM" localSheetId="5">#REF!</definedName>
    <definedName name="BIM" localSheetId="10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'[34]Bipeg-U(12D2)'!$B$1:$G$53</definedName>
    <definedName name="BiPegUTRWII">'[36]Bipeg-U(12D2)'!#REF!</definedName>
    <definedName name="BiPegUTRWIII">'[36]Bipeg-U(12D2)'!#REF!</definedName>
    <definedName name="BiPegUTRWIV">'[36]Bipeg-U(12D2)'!#REF!</definedName>
    <definedName name="BiPinjamin">'[35]BiPinjamin(15)'!$B$1:$G$49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tb">[1]Uraian!$AB$121</definedName>
    <definedName name="bkimia4v" localSheetId="6">[37]Uraian!#REF!</definedName>
    <definedName name="bkimia4v" localSheetId="7">[37]Uraian!#REF!</definedName>
    <definedName name="bkimia4v">[37]Uraian!#REF!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'[29]Working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nn">[14]ca!#REF!</definedName>
    <definedName name="BOLain">'[34]BOLain(12E2)'!$B$1:$G$43</definedName>
    <definedName name="BoLainTRWI">'[34]BOLain(12E2)'!$B$1:$L$44</definedName>
    <definedName name="BoLainTRWII">'[34]BOLain(12E2)'!$B$45:$L$88</definedName>
    <definedName name="BoLainTRWIII">'[34]BOLain(12E2)'!$B$89:$L$132</definedName>
    <definedName name="BoLainTRWIV">'[34]BOLain(12E2)'!$B$133:$L$175</definedName>
    <definedName name="bp">[24]x!$H$9:$H$47</definedName>
    <definedName name="BPegFTRWI">'[34]BPeg-F(12D1)'!$B$1:$H$45</definedName>
    <definedName name="BPegFTRWII">'[34]BPeg-F(12D1)'!$B$47:$H$92</definedName>
    <definedName name="BPegFTRWIII">'[34]BPeg-F(12D1)'!$B$93:$H$138</definedName>
    <definedName name="BPegFTRWIV">'[34]BPeg-F(12D1)'!$B$139:$H$184</definedName>
    <definedName name="BPP">'[38]W-NAD'!#REF!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kuBesarJawa">[39]LK2004!#REF!</definedName>
    <definedName name="BULAN" localSheetId="9">[40]MENU1!$D$4:$T$15</definedName>
    <definedName name="BULAN" localSheetId="5">[40]MENU1!$D$4:$T$15</definedName>
    <definedName name="BULAN">[40]MENU1!$D$4:$T$15</definedName>
    <definedName name="Bulan_Ke" localSheetId="9">[41]CashFlow!$H$46</definedName>
    <definedName name="Bulan_Ke">#N/A</definedName>
    <definedName name="Business_Revenue">'[29]Service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'[29]Central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f">#REF!</definedName>
    <definedName name="Charger75">'[13]HARGA SATUAN'!$B$16</definedName>
    <definedName name="Chart1">OFFSET('[29]Working Page'!$C$115,0,0,33-COUNTIF('[29]Working Page'!$C$115:$C$147,"=#N/A"),1)</definedName>
    <definedName name="Chart1_data">OFFSET('[29]Working Page'!$N$115,0,0,33-COUNTIF('[29]Working Page'!$C$115:$C$147,"=#N/A"),1)</definedName>
    <definedName name="Chart2_data">OFFSET('[29]Working Page'!$G$151,0,0,33-COUNTIF('[29]Working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'[29]Service Mapping'!$C$46:$Y$79</definedName>
    <definedName name="COP_UNIT" hidden="1">{#N/A,#N/A,FALSE,"M.42"}</definedName>
    <definedName name="COPY">'[42]REAL-LR'!$G$17:$G$54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UNTER_CHECK">#REF!</definedName>
    <definedName name="Cover" localSheetId="6">#REF!</definedName>
    <definedName name="Cover" localSheetId="7">#REF!</definedName>
    <definedName name="Cover">#REF!</definedName>
    <definedName name="Crit" localSheetId="9">[41]CashFlow!$I$56:$J$57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[26]JAN09!#REF!</definedName>
    <definedName name="csa" localSheetId="7">[26]JAN09!#REF!</definedName>
    <definedName name="csa">[26]JAN09!#REF!</definedName>
    <definedName name="csDesignMode">1</definedName>
    <definedName name="ct150kv">'[13]HARGA SATUAN'!$B$27</definedName>
    <definedName name="cus">[43]Resume!$E$54</definedName>
    <definedName name="Customer_data">'[29]Service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>#REF!</definedName>
    <definedName name="DATA">[44]item!$C$2:$C$550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TES">'[45]Harga BBM Indonesia'!$A$8:$A$60</definedName>
    <definedName name="dave" hidden="1">{#N/A,#N/A,FALSE,"M.41"}</definedName>
    <definedName name="DAWDFAFD" localSheetId="6">[46]Sheet5!#REF!</definedName>
    <definedName name="DAWDFAFD" localSheetId="7">[46]Sheet5!#REF!</definedName>
    <definedName name="DAWDFAFD">[46]Sheet5!#REF!</definedName>
    <definedName name="daya">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 localSheetId="10">[47]Asumsi!$S$10</definedName>
    <definedName name="DBSend">[47]Asumsi!$S$10</definedName>
    <definedName name="DBSend_2">[48]Asumsi!$T$4</definedName>
    <definedName name="DBSend_3">[49]Asumsi!$U$4</definedName>
    <definedName name="dc" localSheetId="6">[50]JAN07!#REF!</definedName>
    <definedName name="dc" localSheetId="7">[50]JAN07!#REF!</definedName>
    <definedName name="dc" localSheetId="5">[51]JAN07!#REF!</definedName>
    <definedName name="dc">[51]JAN07!#REF!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7">[5]prod03!#REF!</definedName>
    <definedName name="DEN">[5]prod03!#REF!</definedName>
    <definedName name="DENPASAR">[52]DENPASAR!$A$5:$AG$436</definedName>
    <definedName name="deposito">#REF!</definedName>
    <definedName name="DER" hidden="1">{#N/A,#N/A,FALSE,"M.01"}</definedName>
    <definedName name="des">#REF!</definedName>
    <definedName name="deviasi">[53]DeVIASI!$A$4:$AC$20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[54]MENU!$H$17:$H$35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'[27]AHS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hidden="1">#REF!</definedName>
    <definedName name="ehs" hidden="1">{#N/A,#N/A,FALSE,"M.41"}</definedName>
    <definedName name="Employee_data">'[29]Service Mapping'!$C$125:$Y$159</definedName>
    <definedName name="END" localSheetId="6">[5]prod03!#REF!</definedName>
    <definedName name="END" localSheetId="7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[30]L20Keu!$O$7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'[55]O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[23]JAN07!#REF!</definedName>
    <definedName name="FEEDERGGNKDS" localSheetId="7">[23]JAN07!#REF!</definedName>
    <definedName name="FEEDERGGNKDS">[56]JAN07!#REF!</definedName>
    <definedName name="FEEDERGGNSLG" localSheetId="6">[23]JAN07!#REF!</definedName>
    <definedName name="FEEDERGGNSLG" localSheetId="7">[23]JAN07!#REF!</definedName>
    <definedName name="FEEDERGGNSLG">[56]JAN07!#REF!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" hidden="1">{#N/A,#N/A,FALSE,"M.31"}</definedName>
    <definedName name="fffff" localSheetId="6">#REF!</definedName>
    <definedName name="fffff" localSheetId="7">#REF!</definedName>
    <definedName name="fffff">#REF!</definedName>
    <definedName name="fghd" hidden="1">{#N/A,#N/A,FALSE,"M.43"}</definedName>
    <definedName name="FILL" hidden="1">[57]UshDeb00!#REF!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REX">'[58]Resource Plan (2)'!$H$120</definedName>
    <definedName name="fp">[24]x!$G$9:$G$47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[59]Smg!$I$1:$I$863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[54]MENU!$M$11:$M$124</definedName>
    <definedName name="GANGGUAN">#N/A</definedName>
    <definedName name="GARDU" localSheetId="9">[54]PARAMETER!$A$11:$A$1059</definedName>
    <definedName name="GARDU">#N/A</definedName>
    <definedName name="GARDU1" localSheetId="9">[54]MENU!$A$11:$A$110</definedName>
    <definedName name="GARDU1">#N/A</definedName>
    <definedName name="GBP">[30]L20Keu!$O$8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>#REF!</definedName>
    <definedName name="GFAFGFD" hidden="1">{#N/A,#N/A,FALSE,"M.34"}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GT" hidden="1">{#N/A,#N/A,FALSE,"M.34"}</definedName>
    <definedName name="H" localSheetId="6">#REF!</definedName>
    <definedName name="H" localSheetId="7">#REF!</definedName>
    <definedName name="H">#REF!</definedName>
    <definedName name="harga">[60]RAB!$F$12:$J$175</definedName>
    <definedName name="hari" localSheetId="9">[61]Format!$AA$1:$AG$1</definedName>
    <definedName name="hari">[62]Format!$AA$1:$AG$1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ASIL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>'[63]MATERIAL juni 05'!$A$1:$AH$65536</definedName>
    <definedName name="HMRIEL">'[63]UPDATE 25 JANUARI 2007'!$A:$IV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7">#REF!</definedName>
    <definedName name="i" localSheetId="5">#REF!</definedName>
    <definedName name="i">#REF!</definedName>
    <definedName name="I_Acc">#REF!</definedName>
    <definedName name="idobaru">[1]Catatan!$C$143</definedName>
    <definedName name="IDS">'[45]Harga BBM Indonesia'!$B$5:$D$5</definedName>
    <definedName name="IK">#REF!</definedName>
    <definedName name="ike" localSheetId="6">#REF!</definedName>
    <definedName name="ike" localSheetId="7">#REF!</definedName>
    <definedName name="ike">#REF!</definedName>
    <definedName name="IkhtBiopTRWI">'[35]IkhtisarBiop(12.0)'!$B$1:$M$49</definedName>
    <definedName name="IkhtBiopTRWII">'[35]IkhtisarBiop(12.0)'!$B$51:$M$99</definedName>
    <definedName name="IkhtBiopTRWIII">'[35]IkhtisarBiop(12.0)'!$B$101:$M$149</definedName>
    <definedName name="IkhtBiopTRWIV">'[35]IkhtisarBiop(12.0)'!$B$151:$M$199</definedName>
    <definedName name="Impor_W1_W2">[64]NerSubsis!$D$41</definedName>
    <definedName name="INDEX_KODE" localSheetId="9">[54]MENU!$O$11:$O$124</definedName>
    <definedName name="INDEX_KODE">#N/A</definedName>
    <definedName name="INDEX1" localSheetId="9">[54]MENU!$C$11:$C$110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ikatorlurruptl" hidden="1">{#N/A,#N/A,FALSE,"M.31"}</definedName>
    <definedName name="INDUK">[65]DTU!$B$2:$D$48</definedName>
    <definedName name="inflasi">#REF!</definedName>
    <definedName name="inflasi1">#REF!</definedName>
    <definedName name="inflasi2">#REF!</definedName>
    <definedName name="input" localSheetId="6">'[66]Neraca seAPJ'!#REF!</definedName>
    <definedName name="input" localSheetId="7">'[66]Neraca seAPJ'!#REF!</definedName>
    <definedName name="input" localSheetId="5">'[66]Neraca seAPJ'!#REF!</definedName>
    <definedName name="input">'[66]Neraca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[26]JAN09!#REF!</definedName>
    <definedName name="ips" localSheetId="5">[26]JAN09!#REF!</definedName>
    <definedName name="ips">[26]JAN09!#REF!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'[67]W-NAD'!#REF!</definedName>
    <definedName name="JAJA" localSheetId="7">'[67]W-NAD'!#REF!</definedName>
    <definedName name="JAJA">'[67]W-NAD'!#REF!</definedName>
    <definedName name="jamkerja">'[68]D2. ANALISA HS INSHAR'!$D$2</definedName>
    <definedName name="JamKerja01">'[69]E3. ANALISA HS HAR TEK SUTM'!$D$2</definedName>
    <definedName name="jamkerjaentri" localSheetId="6">'[68]D2. ANALISA HS INSHAR'!#REF!</definedName>
    <definedName name="jamkerjaentri" localSheetId="7">'[68]D2. ANALISA HS INSHAR'!#REF!</definedName>
    <definedName name="jamkerjaentri" localSheetId="5">'[68]D2. ANALISA HS INSHAR'!#REF!</definedName>
    <definedName name="jamkerjaentri">'[68]D2. ANALISA HS INSHAR'!#REF!</definedName>
    <definedName name="jamkerjahar">'[69]E6.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[70]Jasa!$B$1:$F$65536</definedName>
    <definedName name="jasa.">[70]Jasa!$B$1:$F$65536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[71]data!$F$2:$F$4</definedName>
    <definedName name="jenis_pph">[71]data!$E$2:$E$7</definedName>
    <definedName name="jg" hidden="1">{#N/A,#N/A,FALSE,"M.33"}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7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>#REF!</definedName>
    <definedName name="JPY">[30]L20Keu!$O$9</definedName>
    <definedName name="JTG" hidden="1">{#N/A,#N/A,FALSE,"M.31"}</definedName>
    <definedName name="JTR" localSheetId="6">#REF!</definedName>
    <definedName name="JTR" localSheetId="7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'[35]JualGTarif(11A)'!$B$1:$I$59</definedName>
    <definedName name="JualGTarifTRWII">'[35]JualGTarif(11A)'!$B$61:$I$119</definedName>
    <definedName name="JualGTarifTRWIII">'[35]JualGTarif(11A)'!$B$121:$I$178</definedName>
    <definedName name="JualGTarifTRWIV">'[35]JualGTarif(11A)'!$B$180:$I$237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[28]JAN09!#REF!</definedName>
    <definedName name="kal" localSheetId="7">[28]JAN09!#REF!</definedName>
    <definedName name="kal">[28]JAN09!#REF!</definedName>
    <definedName name="KALIKDS" localSheetId="6">[23]JAN07!#REF!</definedName>
    <definedName name="KALIKDS" localSheetId="7">[23]JAN07!#REF!</definedName>
    <definedName name="KALIKDS">[56]JAN07!#REF!</definedName>
    <definedName name="KALISLG" localSheetId="6">[23]JAN07!#REF!</definedName>
    <definedName name="KALISLG" localSheetId="7">[23]JAN07!#REF!</definedName>
    <definedName name="KALISLG">[56]JAN07!#REF!</definedName>
    <definedName name="KARANGAN">#N/A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[31]Usulan!#REF!</definedName>
    <definedName name="KK" localSheetId="7">[31]Usulan!#REF!</definedName>
    <definedName name="KK">[31]Usulan!#REF!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'[38]W-NAD'!#REF!</definedName>
    <definedName name="ko" hidden="1">{#N/A,#N/A,FALSE,"M.01";#N/A,#N/A,FALSE,"M.01"}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[54]MENU!$N$11:$N$124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[54]PARAMETER!$D$11:$D$1059</definedName>
    <definedName name="KODE_OUTGOING">#N/A</definedName>
    <definedName name="KODE1" localSheetId="9">[54]MENU!$B$11:$B$110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>#REF!</definedName>
    <definedName name="komposisi">[53]KoMposisi!$A$6:$BV$22</definedName>
    <definedName name="KomunikasiBulan" localSheetId="9">'[27]AHS - Non Personel'!$D$22</definedName>
    <definedName name="KomunikasiBulan">#N/A</definedName>
    <definedName name="KomunikasiHari" localSheetId="9">'[27]AHS - Non Personel'!$D$21</definedName>
    <definedName name="KomunikasiHari">#N/A</definedName>
    <definedName name="konsolidasi1">[72]W1!$A$1:$K$35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'[27]AHS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'[27]AHS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RP" hidden="1">{#N/A,#N/A,FALSE,"M.32"}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>[5]prod03!#REF!</definedName>
    <definedName name="Kurs">[73]Cover!$C$5</definedName>
    <definedName name="KursUSD">[74]Asumsi!$E$9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[75]PMT!#REF!</definedName>
    <definedName name="l" localSheetId="7">[75]PMT!#REF!</definedName>
    <definedName name="l">[75]PMT!#REF!</definedName>
    <definedName name="L_19" localSheetId="6">'[76]FORM-B'!#REF!</definedName>
    <definedName name="L_19" localSheetId="7">'[76]FORM-B'!#REF!</definedName>
    <definedName name="L_19">'[76]FORM-B'!#REF!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'[35]LabaRugi Fungsi'!$B$1:$J$60</definedName>
    <definedName name="LabaRugiFungsi2004">'[35]LabaRugi Fungsi2004(21B)'!$B$1:$E$46</definedName>
    <definedName name="LabaRugiLainnya">'[35]LabaRugi Lainnya 2005(20)'!$B$1:$G$30</definedName>
    <definedName name="LabaRugiUnsur2004">'[35]LabaRugi Unsur2004(21A)'!$D$1:$G$91</definedName>
    <definedName name="LABARUGIYR">[77]Asumsi!$V$2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[78]INPBA!$F$2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ast">#REF!</definedName>
    <definedName name="LEDO">#N/A</definedName>
    <definedName name="level2_options">INDIRECT("Areas_"&amp;'[29]Working Page'!$B$47)</definedName>
    <definedName name="lincuran">#REF!</definedName>
    <definedName name="Listrik">'[79]AHS - Non Personel'!$D$33</definedName>
    <definedName name="LJ" hidden="1">{#N/A,#N/A,FALSE,"M.32"}</definedName>
    <definedName name="lk" localSheetId="6">[26]JAN09!#REF!</definedName>
    <definedName name="lk" localSheetId="9">[26]JAN09!#REF!</definedName>
    <definedName name="lk" localSheetId="5">[26]JAN09!#REF!</definedName>
    <definedName name="lk" localSheetId="10">[26]JAN09!#REF!</definedName>
    <definedName name="lk">[26]JAN09!#REF!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po" hidden="1">{#N/A,#N/A,FALSE,"M.02"}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luncur">[80]Sheet3!$D$15</definedName>
    <definedName name="luncuran">[80]Sheet3!$D$15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'[76]FORM-B'!#REF!</definedName>
    <definedName name="M_19" localSheetId="7">'[76]FORM-B'!#REF!</definedName>
    <definedName name="M_19">'[76]FORM-B'!#REF!</definedName>
    <definedName name="ma" hidden="1">{#N/A,#N/A,FALSE,"M.31"}</definedName>
    <definedName name="MANBUNG" localSheetId="6">[46]Sheet5!#REF!</definedName>
    <definedName name="MANBUNG" localSheetId="7">[46]Sheet5!#REF!</definedName>
    <definedName name="MANBUNG">[46]Sheet5!#REF!</definedName>
    <definedName name="ManProBln" localSheetId="9">'[27]AHS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>[70]Mat!$B$1:$L$65536</definedName>
    <definedName name="mat.">[70]Mat!$B$1:$L$65536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[81]aruskas!$A$110:$T$180</definedName>
    <definedName name="MD_19">[82]aruskas!$A$110:$T$180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[54]MENU!$D$11:$D$110</definedName>
    <definedName name="MENU_GARDU">#N/A</definedName>
    <definedName name="MENU_PENYULANG" localSheetId="9">[54]MENU!$F$11:$F$40</definedName>
    <definedName name="MENU_PENYULANG">#N/A</definedName>
    <definedName name="MFKJ" hidden="1">{#N/A,#N/A,FALSE,"M.34"}</definedName>
    <definedName name="mfo">[83]Resume!$E$55</definedName>
    <definedName name="mfobaru">[1]Catatan!$C$144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'[84]Standar Konstruksi'!$G$29:$G$29</definedName>
    <definedName name="MmExcelLinker_56E02BF7_1622_44A2_A1B4_91C09D796B1E" localSheetId="7">KKF!RAB-PER '[84]Standar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trafoksutb">[1]Uraian!$AB$72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d" hidden="1">{#N/A,#N/A,FALSE,"M.41"}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[85]Cover!$B$7</definedName>
    <definedName name="NEGO" localSheetId="6">[31]Usulan!#REF!</definedName>
    <definedName name="NEGO" localSheetId="7">[31]Usulan!#REF!</definedName>
    <definedName name="NEGO" localSheetId="5">[31]Usulan!#REF!</definedName>
    <definedName name="NEGO">[31]Usulan!#REF!</definedName>
    <definedName name="NEKO" hidden="1">{#N/A,#N/A,FALSE,"M.32"}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7">#REF!</definedName>
    <definedName name="neracareal">#REF!</definedName>
    <definedName name="nerc" hidden="1">{#N/A,#N/A,FALSE,"M.31"}</definedName>
    <definedName name="netmargim" localSheetId="6">#REF!</definedName>
    <definedName name="netmargim" localSheetId="7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7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[24]x!$A$9:$A$47</definedName>
    <definedName name="NO_KODE" localSheetId="6">#N/A</definedName>
    <definedName name="NO_KODE" localSheetId="9">[54]MENU!#REF!</definedName>
    <definedName name="NO_KODE" localSheetId="7">#N/A</definedName>
    <definedName name="NO_KODE">#N/A</definedName>
    <definedName name="NoBlanksRange">OFFSET('[29]Working Page'!$G$53,0,0,SUMPRODUCT(--(TRIM('[29]Working Page'!$G$53:$G$85)&lt;&gt;"")),1)</definedName>
    <definedName name="nop">[24]x!$A$100:$A$101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>#REF!</definedName>
    <definedName name="o_m">[86]ca!#REF!</definedName>
    <definedName name="ob_1_phasa" localSheetId="6">#REF!</definedName>
    <definedName name="ob_1_phasa" localSheetId="7">#REF!</definedName>
    <definedName name="ob_1_phasa">#REF!</definedName>
    <definedName name="OBS">'[45]Harga BBM Indonesia'!$B$8:$D$60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ILTEST">'[13]HARGA SATUAN'!$B$19</definedName>
    <definedName name="ok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>#REF!</definedName>
    <definedName name="OPERASI">#REF!</definedName>
    <definedName name="opgw" hidden="1">{#N/A,#N/A,FALSE,"M.31"}</definedName>
    <definedName name="opi">#REF!</definedName>
    <definedName name="Opr_Hari" localSheetId="9">'[27]AHS - Personel'!$G$19</definedName>
    <definedName name="Opr_Hari">#N/A</definedName>
    <definedName name="opv">[87]Valuation!$I$53</definedName>
    <definedName name="ORA" hidden="1">{#N/A,#N/A,FALSE,"M.32"}</definedName>
    <definedName name="OUTGOING" localSheetId="9">[54]PARAMETER!$B$11:$B$1059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rsialdis">'[13]HARGA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i" hidden="1">[88]UshDeb00!#REF!</definedName>
    <definedName name="pdp" hidden="1">{#N/A,#N/A,FALSE,"M.31"}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DPT" hidden="1">{#N/A,#N/A,FALSE,"M.31"}</definedName>
    <definedName name="pe">[24]x!$B$100:$B$101</definedName>
    <definedName name="Pelumas" hidden="1">{#N/A,#N/A,FALSE,"M.31"}</definedName>
    <definedName name="PembelianiTRWI">'[35]PembelianiTL(12A1'!$B$1:$S$55</definedName>
    <definedName name="PembelianiTRWII">'[35]PembelianiTL(12A1'!$B$56:$S$110</definedName>
    <definedName name="PembelianiTRWIII">'[35]PembelianiTL(12A1'!$B$111:$S$165</definedName>
    <definedName name="PembelianiTRWIV">'[35]PembelianiTL(12A1'!$B$166:$S$220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'[34]PendaLuOp(13)'!$B$1:$G$58</definedName>
    <definedName name="PENDAOP" hidden="1">{#N/A,#N/A,FALSE,"M.32"}</definedName>
    <definedName name="PendOpLain">'[35]PendOpLain(11B)'!$B$1:$G$33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'[34]PenjTL(18)'!$B$1:$J$39</definedName>
    <definedName name="PenjTLTRWII">'[34]PenjTL(18)'!$B$41:$J$79</definedName>
    <definedName name="PenjTLTRWIII">'[34]PenjTL(18)'!$B$81:$J$119</definedName>
    <definedName name="PenjTLTRWIV">'[34]PenjTL(18)'!$B$121:$J$159</definedName>
    <definedName name="PENYULANG">[89]TABEL!$A$2:$A$81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[75]PMT!$D$12:$D$55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[26]JAN09!#REF!</definedName>
    <definedName name="poi" localSheetId="9">[26]JAN09!#REF!</definedName>
    <definedName name="poi" localSheetId="5">[26]JAN09!#REF!</definedName>
    <definedName name="poi" localSheetId="10">[26]JAN09!#REF!</definedName>
    <definedName name="poi">[26]JAN09!#REF!</definedName>
    <definedName name="pokok_bunga">#REF!</definedName>
    <definedName name="poldo" hidden="1">{#N/A,#N/A,FALSE,"M.31"}</definedName>
    <definedName name="POPUI" localSheetId="5">#REF!</definedName>
    <definedName name="POPUI" localSheetId="10">#REF!</definedName>
    <definedName name="POPUI">#REF!</definedName>
    <definedName name="pos_anggaran">[71]data!$G$2:$G$54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">#REF!</definedName>
    <definedName name="print" localSheetId="6">#REF!</definedName>
    <definedName name="print" localSheetId="7">#REF!</definedName>
    <definedName name="print">#REF!</definedName>
    <definedName name="PRINT_AR01" localSheetId="6">[46]Sheet5!#REF!</definedName>
    <definedName name="PRINT_AR01" localSheetId="7">[46]Sheet5!#REF!</definedName>
    <definedName name="PRINT_AR01">[46]Sheet5!#REF!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RAB!$A$1:$K$242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8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0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[46]Sheet5!#REF!</definedName>
    <definedName name="PRINT2" localSheetId="7">[46]Sheet5!#REF!</definedName>
    <definedName name="PRINT2">[46]Sheet5!#REF!</definedName>
    <definedName name="ProduksiTRWI">'[35]ProduksiTL(12B2)'!$B$1:$W$38</definedName>
    <definedName name="ProduksiTRWII">'[35]ProduksiTL(12B2)'!$B$41:$W$78</definedName>
    <definedName name="ProduksiTRWIII">'[35]ProduksiTL(12B2)'!$B$81:$W$118</definedName>
    <definedName name="ProduksiTRWIV">'[35]ProduksiTL(12B2)'!$B$121:$W$158</definedName>
    <definedName name="ProgGISBln" localSheetId="9">'[27]AHS - Personel'!$F$11</definedName>
    <definedName name="ProgGISBln">#N/A</definedName>
    <definedName name="ProgGISHari" localSheetId="9">'[27]AHS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150kv">'[13]HARGA SATUAN'!$B$28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[90]JURNAL!#REF!</definedName>
    <definedName name="PUR" localSheetId="7">[90]JURNAL!#REF!</definedName>
    <definedName name="PUR">[90]JURNAL!#REF!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[26]JAN09!#REF!</definedName>
    <definedName name="rafi" localSheetId="7">[26]JAN09!#REF!</definedName>
    <definedName name="rafi" localSheetId="5">[26]JAN09!#REF!</definedName>
    <definedName name="rafi">[26]JAN09!#REF!</definedName>
    <definedName name="raja" localSheetId="6">[26]JAN09!#REF!</definedName>
    <definedName name="raja" localSheetId="7">[26]JAN09!#REF!</definedName>
    <definedName name="raja">[26]JAN09!#REF!</definedName>
    <definedName name="Raker">'[91]W-NAD'!#REF!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OFFSET('[29]Central Overhead Allocation'!$C$281,0,0,COUNTA('[29]Central Overhead Allocation'!$C$281:$C$297),3)</definedName>
    <definedName name="Rate_of_absorption_EJ_C2A_options">OFFSET('[29]Central Overhead Allocation'!$C$183,0,0,COUNTA('[29]Central Overhead Allocation'!$C$183:$C$199),7)</definedName>
    <definedName name="Rate_of_absorption_JKT_C2A_options">OFFSET('[29]Central Overhead Allocation'!$C$330,0,0,COUNTA('[29]Central Overhead Allocation'!$C$330:$C$346),4)</definedName>
    <definedName name="Rate_of_absorption_Region_options">OFFSET('[29]Central Overhead Allocation'!$C$53,0,0,COUNTA('[29]Central Overhead Allocation'!$C$53:$C$69),8)</definedName>
    <definedName name="Rate_of_Absorption_WJ_A2IS_Options" localSheetId="6">OFFSET('[29]Regional Overhead Allocation_WJ'!#REF!,0,0,COUNTA('[29]Regional Overhead Allocation_WJ'!#REF!),35)</definedName>
    <definedName name="Rate_of_Absorption_WJ_A2IS_Options" localSheetId="9">OFFSET('[29]Regional Overhead Allocation_WJ'!#REF!,0,0,COUNTA('[29]Regional Overhead Allocation_WJ'!#REF!),35)</definedName>
    <definedName name="Rate_of_Absorption_WJ_A2IS_Options" localSheetId="7">OFFSET('[29]Regional Overhead Allocation_WJ'!#REF!,0,0,COUNTA('[29]Regional Overhead Allocation_WJ'!#REF!),35)</definedName>
    <definedName name="Rate_of_Absorption_WJ_A2IS_Options" localSheetId="5">OFFSET('[29]Regional Overhead Allocation_WJ'!#REF!,0,0,COUNTA('[29]Regional Overhead Allocation_WJ'!#REF!),35)</definedName>
    <definedName name="Rate_of_Absorption_WJ_A2IS_Options" localSheetId="10">OFFSET('[29]Regional Overhead Allocation_WJ'!#REF!,0,0,COUNTA('[29]Regional Overhead Allocation_WJ'!#REF!),35)</definedName>
    <definedName name="Rate_of_Absorption_WJ_A2IS_Options">OFFSET('[29]Regional Overhead Allocation_WJ'!#REF!,0,0,COUNTA('[29]Regional Overhead Allocation_WJ'!#REF!),35)</definedName>
    <definedName name="Rate_of_absorption_WJ_C2A_options">OFFSET('[29]Central Overhead Allocation'!$C$232,0,0,COUNTA('[29]Central Overhead Allocation'!$C$232:$C$248),14)</definedName>
    <definedName name="Rate_of_absorption_WS_C2A_Options">OFFSET('[29]Central Overhead Allocation'!$C$134,0,0,COUNTA('[29]Central Overhead Allocation'!$C$134:$C$150),3)</definedName>
    <definedName name="rcps" localSheetId="6">[26]JAN09!#REF!</definedName>
    <definedName name="rcps" localSheetId="9">[26]JAN09!#REF!</definedName>
    <definedName name="rcps" localSheetId="5">[26]JAN09!#REF!</definedName>
    <definedName name="rcps" localSheetId="10">[26]JAN09!#REF!</definedName>
    <definedName name="rcps">[26]JAN09!#REF!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alisasi_table">#REF!</definedName>
    <definedName name="REC">'[90]BB PUSAT'!$A$1:$C$65536</definedName>
    <definedName name="Rectifier80">'[13]HARGA SATUAN'!$B$14</definedName>
    <definedName name="Regions">OFFSET('[29]Working Page'!$B$8,0,0,COUNTA('[29]Working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[54]MENU!$J$17:$J$24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rr" hidden="1">'[92]Sudah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[93]JAN07!#REF!</definedName>
    <definedName name="rtyu" localSheetId="7">[93]JAN07!#REF!</definedName>
    <definedName name="rtyu">[94]JAN07!#REF!</definedName>
    <definedName name="RUMUS">#N/A</definedName>
    <definedName name="rutin" hidden="1">{#N/A,#N/A,FALSE,"M.33"}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[95]PICKUP!$D$12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[26]JAN09!#REF!</definedName>
    <definedName name="sasa" localSheetId="7">[26]JAN09!#REF!</definedName>
    <definedName name="sasa" localSheetId="5">[26]JAN09!#REF!</definedName>
    <definedName name="sasa">[26]JAN09!#REF!</definedName>
    <definedName name="SATUAN" localSheetId="9">'[96]Rekap PMG.'!$A$10:$E$51</definedName>
    <definedName name="SATUAN">'[96]Rekap PMG.'!$A$10:$E$51</definedName>
    <definedName name="saul" hidden="1">{#N/A,#N/A,FALSE,"M.34"}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[97]x!$G$9:$G$47</definedName>
    <definedName name="scxasxcxc" hidden="1">{#N/A,#N/A,FALSE,"M.01"}</definedName>
    <definedName name="SD" localSheetId="6">#REF!</definedName>
    <definedName name="SD" localSheetId="7">#REF!</definedName>
    <definedName name="SD" localSheetId="5">#REF!</definedName>
    <definedName name="SD">#REF!</definedName>
    <definedName name="SDAsdg" hidden="1">{#N/A,#N/A,FALSE,"M.01";#N/A,#N/A,FALSE,"M.01"}</definedName>
    <definedName name="sdc">[65]DTU!$B$2:$D$48</definedName>
    <definedName name="sdf" hidden="1">{#N/A,#N/A,FALSE,"M.41"}</definedName>
    <definedName name="sdffA" localSheetId="6">[26]JAN09!#REF!</definedName>
    <definedName name="sdffA" localSheetId="7">[26]JAN09!#REF!</definedName>
    <definedName name="sdffA" localSheetId="5">[26]JAN09!#REF!</definedName>
    <definedName name="sdffA">[26]JAN09!#REF!</definedName>
    <definedName name="SDR" hidden="1">{#N/A,#N/A,FALSE,"M.42"}</definedName>
    <definedName name="sds">'[98]master rab'!$B$1:$H$65536</definedName>
    <definedName name="seapj">'[66]Neraca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[54]MENU!$J$11:$J$13</definedName>
    <definedName name="SEBUTAN">#N/A</definedName>
    <definedName name="SEGER" hidden="1">{#N/A,#N/A,FALSE,"M.34"}</definedName>
    <definedName name="sejut">[99]LAIN2!$Z$7</definedName>
    <definedName name="SEKADAU">#N/A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MITAU">#N/A</definedName>
    <definedName name="SENTEBANG">#N/A</definedName>
    <definedName name="sep">#REF!</definedName>
    <definedName name="serat">[99]LAIN2!$Z$5</definedName>
    <definedName name="serib">[99]LAIN2!$Z$6</definedName>
    <definedName name="Service_Mapping">'[29]Service Mapping'!$C$6:$Y$39</definedName>
    <definedName name="sewadetektorkabel_har">'[79]AHS - Non Personel'!$D$31</definedName>
    <definedName name="SewaDisTRWI">'[35]SewaPemb(12A2)'!$B$1:$T$36</definedName>
    <definedName name="SewaDisTRWII">'[35]SewaPemb(12A2)'!$B$39:$T$75</definedName>
    <definedName name="SewaDisTRWIII">'[35]SewaPemb(12A2)'!$B$77:$T$113</definedName>
    <definedName name="SewaDisTRWIV">'[35]SewaPemb(12A2)'!$B$115:$T$151</definedName>
    <definedName name="sewaGPS">'[79]AHS - Non Personel'!$D$27</definedName>
    <definedName name="SewaKantorBulan">'[79]AHS - Non Personel'!$D$23</definedName>
    <definedName name="SewaKomHari" localSheetId="9">'[27]AHS - Non Personel'!$D$15</definedName>
    <definedName name="SewaKomHari">#N/A</definedName>
    <definedName name="SewaLaptopBln" localSheetId="9">'[27]AHS - Non Personel'!$D$12</definedName>
    <definedName name="SewaLaptopBln">#N/A</definedName>
    <definedName name="SewaMejaKursi">'[79]AHS - Non Personel'!$D$32</definedName>
    <definedName name="SewaMobil" localSheetId="9">'[27]AHS - Non Personel'!$D$8</definedName>
    <definedName name="SewaMobil">#N/A</definedName>
    <definedName name="sewamobilbak_hari">'[79]AHS - Non Personel'!$D$29</definedName>
    <definedName name="SewaMotorBln" localSheetId="9">'[27]AHS - Non Personel'!$D$10</definedName>
    <definedName name="SewaMotorBln">#N/A</definedName>
    <definedName name="SewaMotorHari" localSheetId="9">'[27]AHS - Non Personel'!$D$11</definedName>
    <definedName name="SewaMotorHari">#N/A</definedName>
    <definedName name="SewaRumahBulan">'[79]AHS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[100]Sensitivitas!$D$26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ORT" hidden="1">{#N/A,#N/A,FALSE,"M.33"}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[54]PARAMETER!$C$11:$C$1059</definedName>
    <definedName name="STATUS_REMOTE">#N/A</definedName>
    <definedName name="std">[101]HB2!$A$1:$L$65536</definedName>
    <definedName name="stdpln">'[102]HB BARU'!$A$1:$J$780</definedName>
    <definedName name="stok">[90]DTstok!$A$1:$B$65536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'[103]master rab'!$B$1:$H$65536</definedName>
    <definedName name="SUM" localSheetId="6">[5]prod03!#REF!</definedName>
    <definedName name="SUM" localSheetId="7">[5]prod03!#REF!</definedName>
    <definedName name="SUM" localSheetId="5">[5]prod03!#REF!</definedName>
    <definedName name="SUM">[5]prod03!#REF!</definedName>
    <definedName name="sumber">[104]SuMBER!$N$3:$FO$21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'[27]AHS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ap" hidden="1">{#N/A,#N/A,FALSE,"M.01"}</definedName>
    <definedName name="swed" localSheetId="6">[93]JAN07!#REF!</definedName>
    <definedName name="swed" localSheetId="7">[93]JAN07!#REF!</definedName>
    <definedName name="swed">[94]JAN07!#REF!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">[80]TRANS!$I$3</definedName>
    <definedName name="Tabel" localSheetId="9">[41]CashFlow!$A$8:$J$37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[105]Sheet1!$E$2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'[29]Working Page'!$C$92:$AK$101</definedName>
    <definedName name="Table2">'[29]Working Page'!$C$114:$N$147</definedName>
    <definedName name="tah">[80]TRANS!$I$3</definedName>
    <definedName name="Tahun" localSheetId="9">[106]bantu!$M$5:$X$5</definedName>
    <definedName name="Tahun">[107]bantu!$M$5:$X$5</definedName>
    <definedName name="tahun_anggaran">[108]rkap2008!$B$83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[78]INPBA!$F$2</definedName>
    <definedName name="TANGAN" hidden="1">{#N/A,#N/A,FALSE,"M.34"}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'[27]AHS - Personel'!$F$15</definedName>
    <definedName name="TechBulan">#N/A</definedName>
    <definedName name="TechHari" localSheetId="9">'[27]AHS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TBAT">'[13]HARGA SATUAN'!$B$20</definedName>
    <definedName name="TesterHari" localSheetId="9">'[27]AHS - Personel'!$G$14</definedName>
    <definedName name="TesterHari">#N/A</definedName>
    <definedName name="testrelay">'[13]HARGA SATUAN'!$B$41</definedName>
    <definedName name="TextRefCopy1">'[109]01 A'!$K$19</definedName>
    <definedName name="TextRefCopyRangeCount" hidden="1">1</definedName>
    <definedName name="TH">#REF!</definedName>
    <definedName name="TIARA" localSheetId="6">[26]JAN09!#REF!</definedName>
    <definedName name="TIARA" localSheetId="9">[26]JAN09!#REF!</definedName>
    <definedName name="TIARA" localSheetId="7">[26]JAN09!#REF!</definedName>
    <definedName name="TIARA" localSheetId="10">[26]JAN09!#REF!</definedName>
    <definedName name="TIARA">[26]JAN09!#REF!</definedName>
    <definedName name="Tiket" localSheetId="9">'[27]AHS - Non Personel'!$D$7</definedName>
    <definedName name="Tiket">#N/A</definedName>
    <definedName name="TIMUR" hidden="1">{#N/A,#N/A,FALSE,"M.31"}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'[27]Analisa Struktur Data'!#REF!</definedName>
    <definedName name="ToolsMigrasi" localSheetId="7">#N/A</definedName>
    <definedName name="ToolsMigrasi">#N/A</definedName>
    <definedName name="TOT">#REF!</definedName>
    <definedName name="translate">#REF!</definedName>
    <definedName name="tril">[99]LAIN2!$Z$10</definedName>
    <definedName name="trp">[24]x!$B$9:$B$47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sa">#REF!</definedName>
    <definedName name="TTD" hidden="1">{#N/A,#N/A,FALSE,"M.43"}</definedName>
    <definedName name="tu">#REF!</definedName>
    <definedName name="tumbuh">#REF!</definedName>
    <definedName name="TV">[87]Valuation!$I$61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_OPR" hidden="1">{#N/A,#N/A,FALSE,"M.33"}</definedName>
    <definedName name="unit1" hidden="1">{#N/A,#N/A,FALSE,"M.01"}</definedName>
    <definedName name="UnitAdm">[108]List!$A$2:$A$36</definedName>
    <definedName name="UnitBina">[33]Kamus!$L$1</definedName>
    <definedName name="UNITS">'[45]Harga BBM Indonesia'!$B$6:$D$6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'[110]Rekap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D">[30]L20Keu!$O$10</definedName>
    <definedName name="usul" localSheetId="6">[111]Usulan!#REF!</definedName>
    <definedName name="usul" localSheetId="7">[111]Usulan!#REF!</definedName>
    <definedName name="usul" localSheetId="5">[111]Usulan!#REF!</definedName>
    <definedName name="usul">[111]Usulan!#REF!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G" hidden="1">{#N/A,#N/A,FALSE,"M.33"}</definedName>
    <definedName name="WAI" localSheetId="6">[5]prod03!#REF!</definedName>
    <definedName name="WAI" localSheetId="7">[5]prod03!#REF!</definedName>
    <definedName name="WAI">[5]prod03!#REF!</definedName>
    <definedName name="WATES" localSheetId="6">[28]JAN09!#REF!</definedName>
    <definedName name="WATES" localSheetId="7">[28]JAN09!#REF!</definedName>
    <definedName name="WATES">[28]JAN09!#REF!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[33]Kamus!$A$2:$A$29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[93]JAN07!#REF!</definedName>
    <definedName name="x" localSheetId="7">[93]JAN07!#REF!</definedName>
    <definedName name="x">[94]JAN07!#REF!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[93]JAN07!#REF!</definedName>
    <definedName name="xs" localSheetId="7">[93]JAN07!#REF!</definedName>
    <definedName name="xs" localSheetId="5">[94]JAN07!#REF!</definedName>
    <definedName name="xs">[94]JAN07!#REF!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('[112]Submission Form'!$A$4:$C$5,'[112]Submission Form'!$D$7,'[112]Submission Form'!$D$10:$D$11,'[112]Submission Form'!$D$17:$D$26,'[112]Submission Form'!$D$33)</definedName>
    <definedName name="zsdgxgdg" hidden="1">{#N/A,#N/A,FALSE,"M.01";#N/A,#N/A,FALSE,"M.01"}</definedName>
    <definedName name="zz">'[81]Hal-1'!$M$33:$M$33</definedName>
    <definedName name="zz_19">'[82]Hal-1'!$M$33:$M$33</definedName>
    <definedName name="zzz">[81]aruskas!$A$110:$T$180</definedName>
    <definedName name="zzz_19">[82]aruskas!$A$110:$T$180</definedName>
  </definedNames>
  <calcPr calcId="191029"/>
</workbook>
</file>

<file path=xl/calcChain.xml><?xml version="1.0" encoding="utf-8"?>
<calcChain xmlns="http://schemas.openxmlformats.org/spreadsheetml/2006/main">
  <c r="D20" i="59" l="1"/>
  <c r="F143" i="11"/>
  <c r="F139" i="11"/>
  <c r="G138" i="11"/>
  <c r="E138" i="11"/>
  <c r="D138" i="11"/>
  <c r="A138" i="11"/>
  <c r="A139" i="11"/>
  <c r="D139" i="11"/>
  <c r="H139" i="11" s="1"/>
  <c r="E139" i="11"/>
  <c r="G139" i="11"/>
  <c r="H138" i="11" l="1"/>
  <c r="I138" i="11"/>
  <c r="J138" i="11"/>
  <c r="J139" i="11"/>
  <c r="I139" i="11"/>
  <c r="K139" i="11" l="1"/>
  <c r="K138" i="11"/>
  <c r="G80" i="11" l="1"/>
  <c r="E80" i="11"/>
  <c r="D80" i="11"/>
  <c r="J80" i="11" s="1"/>
  <c r="G79" i="11"/>
  <c r="F79" i="11"/>
  <c r="E79" i="11"/>
  <c r="D79" i="11"/>
  <c r="A79" i="11"/>
  <c r="G78" i="11"/>
  <c r="F78" i="11"/>
  <c r="E78" i="11"/>
  <c r="D78" i="11"/>
  <c r="J78" i="11" s="1"/>
  <c r="A78" i="11"/>
  <c r="G77" i="11"/>
  <c r="F77" i="11"/>
  <c r="E77" i="11"/>
  <c r="D77" i="11"/>
  <c r="J77" i="11" s="1"/>
  <c r="A77" i="11"/>
  <c r="G76" i="11"/>
  <c r="F76" i="11"/>
  <c r="E76" i="11"/>
  <c r="D76" i="11"/>
  <c r="H76" i="11" s="1"/>
  <c r="G75" i="11"/>
  <c r="F75" i="11"/>
  <c r="E75" i="11"/>
  <c r="D75" i="11"/>
  <c r="J75" i="11" s="1"/>
  <c r="A75" i="11"/>
  <c r="G74" i="11"/>
  <c r="E74" i="11"/>
  <c r="D74" i="11"/>
  <c r="J74" i="11" s="1"/>
  <c r="A74" i="11"/>
  <c r="Y38" i="74"/>
  <c r="Y37" i="74"/>
  <c r="F136" i="11" s="1"/>
  <c r="F137" i="11" s="1"/>
  <c r="F127" i="11"/>
  <c r="F126" i="11"/>
  <c r="F125" i="11"/>
  <c r="F124" i="11"/>
  <c r="F45" i="11"/>
  <c r="F44" i="11"/>
  <c r="F43" i="11"/>
  <c r="F42" i="11"/>
  <c r="F41" i="11"/>
  <c r="F40" i="11"/>
  <c r="F39" i="11"/>
  <c r="F38" i="11"/>
  <c r="F37" i="11"/>
  <c r="F36" i="11"/>
  <c r="G46" i="11"/>
  <c r="E46" i="11"/>
  <c r="D46" i="11"/>
  <c r="J46" i="11" s="1"/>
  <c r="A46" i="11"/>
  <c r="G45" i="11"/>
  <c r="E45" i="11"/>
  <c r="D45" i="11"/>
  <c r="G44" i="11"/>
  <c r="E44" i="11"/>
  <c r="D44" i="11"/>
  <c r="J44" i="11" s="1"/>
  <c r="A44" i="11"/>
  <c r="G43" i="11"/>
  <c r="E43" i="11"/>
  <c r="D43" i="11"/>
  <c r="J43" i="11" s="1"/>
  <c r="A43" i="11"/>
  <c r="G42" i="11"/>
  <c r="E42" i="11"/>
  <c r="D42" i="11"/>
  <c r="J42" i="11" s="1"/>
  <c r="A42" i="11"/>
  <c r="G41" i="11"/>
  <c r="E41" i="11"/>
  <c r="D41" i="11"/>
  <c r="J41" i="11" s="1"/>
  <c r="A41" i="11"/>
  <c r="G40" i="11"/>
  <c r="E40" i="11"/>
  <c r="D40" i="11"/>
  <c r="J40" i="11" s="1"/>
  <c r="A40" i="11"/>
  <c r="G39" i="11"/>
  <c r="E39" i="11"/>
  <c r="D39" i="11"/>
  <c r="H39" i="11" s="1"/>
  <c r="G38" i="11"/>
  <c r="E38" i="11"/>
  <c r="D38" i="11"/>
  <c r="H38" i="11" s="1"/>
  <c r="A38" i="11"/>
  <c r="G37" i="11"/>
  <c r="E37" i="11"/>
  <c r="D37" i="11"/>
  <c r="J37" i="11" s="1"/>
  <c r="A37" i="11"/>
  <c r="G36" i="11"/>
  <c r="E36" i="11"/>
  <c r="D36" i="11"/>
  <c r="J36" i="11" s="1"/>
  <c r="A36" i="11"/>
  <c r="G35" i="11"/>
  <c r="E35" i="11"/>
  <c r="D35" i="11"/>
  <c r="J35" i="11" s="1"/>
  <c r="A35" i="11"/>
  <c r="G34" i="11"/>
  <c r="E34" i="11"/>
  <c r="D34" i="11"/>
  <c r="J34" i="11" s="1"/>
  <c r="A34" i="11"/>
  <c r="F121" i="11"/>
  <c r="F120" i="11"/>
  <c r="F119" i="11"/>
  <c r="F118" i="11"/>
  <c r="F117" i="11"/>
  <c r="F116" i="11"/>
  <c r="G121" i="11"/>
  <c r="E121" i="11"/>
  <c r="D121" i="11"/>
  <c r="A136" i="11"/>
  <c r="G120" i="11"/>
  <c r="E120" i="11"/>
  <c r="D120" i="11"/>
  <c r="J120" i="11" s="1"/>
  <c r="A135" i="11"/>
  <c r="G119" i="11"/>
  <c r="E119" i="11"/>
  <c r="D119" i="11"/>
  <c r="J119" i="11" s="1"/>
  <c r="A134" i="11"/>
  <c r="G118" i="11"/>
  <c r="E118" i="11"/>
  <c r="D118" i="11"/>
  <c r="J118" i="11" s="1"/>
  <c r="A133" i="11"/>
  <c r="G117" i="11"/>
  <c r="E117" i="11"/>
  <c r="D117" i="11"/>
  <c r="J117" i="11" s="1"/>
  <c r="A132" i="11"/>
  <c r="G116" i="11"/>
  <c r="E116" i="11"/>
  <c r="D116" i="11"/>
  <c r="J116" i="11" s="1"/>
  <c r="A131" i="11"/>
  <c r="G115" i="11"/>
  <c r="E115" i="11"/>
  <c r="D115" i="11"/>
  <c r="I115" i="11" s="1"/>
  <c r="G127" i="11"/>
  <c r="E127" i="11"/>
  <c r="D127" i="11"/>
  <c r="A143" i="11"/>
  <c r="G126" i="11"/>
  <c r="E126" i="11"/>
  <c r="D126" i="11"/>
  <c r="J126" i="11" s="1"/>
  <c r="A142" i="11"/>
  <c r="G125" i="11"/>
  <c r="E125" i="11"/>
  <c r="D125" i="11"/>
  <c r="J125" i="11" s="1"/>
  <c r="A141" i="11"/>
  <c r="G124" i="11"/>
  <c r="E124" i="11"/>
  <c r="D124" i="11"/>
  <c r="H124" i="11" s="1"/>
  <c r="A140" i="11"/>
  <c r="G123" i="11"/>
  <c r="E123" i="11"/>
  <c r="D123" i="11"/>
  <c r="J123" i="11" s="1"/>
  <c r="G122" i="11"/>
  <c r="E122" i="11"/>
  <c r="D122" i="11"/>
  <c r="I122" i="11" s="1"/>
  <c r="A137" i="11"/>
  <c r="G114" i="11"/>
  <c r="E114" i="11"/>
  <c r="D114" i="11"/>
  <c r="I114" i="11" s="1"/>
  <c r="I76" i="11" l="1"/>
  <c r="J76" i="11"/>
  <c r="H77" i="11"/>
  <c r="I75" i="11"/>
  <c r="H75" i="11"/>
  <c r="H74" i="11"/>
  <c r="I74" i="11"/>
  <c r="I77" i="11"/>
  <c r="J79" i="11"/>
  <c r="H78" i="11"/>
  <c r="H80" i="11"/>
  <c r="I78" i="11"/>
  <c r="H79" i="11"/>
  <c r="I80" i="11"/>
  <c r="I79" i="11"/>
  <c r="J127" i="11"/>
  <c r="J45" i="11"/>
  <c r="I39" i="11"/>
  <c r="I41" i="11"/>
  <c r="I43" i="11"/>
  <c r="I40" i="11"/>
  <c r="H43" i="11"/>
  <c r="H42" i="11"/>
  <c r="H40" i="11"/>
  <c r="H41" i="11"/>
  <c r="H35" i="11"/>
  <c r="J39" i="11"/>
  <c r="H45" i="11"/>
  <c r="I38" i="11"/>
  <c r="J38" i="11"/>
  <c r="H44" i="11"/>
  <c r="I42" i="11"/>
  <c r="H34" i="11"/>
  <c r="I34" i="11"/>
  <c r="I35" i="11"/>
  <c r="H36" i="11"/>
  <c r="I44" i="11"/>
  <c r="I45" i="11"/>
  <c r="H46" i="11"/>
  <c r="I36" i="11"/>
  <c r="H37" i="11"/>
  <c r="I46" i="11"/>
  <c r="I37" i="11"/>
  <c r="J121" i="11"/>
  <c r="H120" i="11"/>
  <c r="I119" i="11"/>
  <c r="H116" i="11"/>
  <c r="H117" i="11"/>
  <c r="H118" i="11"/>
  <c r="H119" i="11"/>
  <c r="I116" i="11"/>
  <c r="I117" i="11"/>
  <c r="I118" i="11"/>
  <c r="J115" i="11"/>
  <c r="I120" i="11"/>
  <c r="H121" i="11"/>
  <c r="I121" i="11"/>
  <c r="H115" i="11"/>
  <c r="I123" i="11"/>
  <c r="J124" i="11"/>
  <c r="I125" i="11"/>
  <c r="J114" i="11"/>
  <c r="J122" i="11"/>
  <c r="H126" i="11"/>
  <c r="I124" i="11"/>
  <c r="H122" i="11"/>
  <c r="H123" i="11"/>
  <c r="H125" i="11"/>
  <c r="I126" i="11"/>
  <c r="H127" i="11"/>
  <c r="I127" i="11"/>
  <c r="H114" i="11"/>
  <c r="K77" i="11" l="1"/>
  <c r="K75" i="11"/>
  <c r="K76" i="11"/>
  <c r="K74" i="11"/>
  <c r="K79" i="11"/>
  <c r="K80" i="11"/>
  <c r="K78" i="11"/>
  <c r="K40" i="11"/>
  <c r="K43" i="11"/>
  <c r="K45" i="11"/>
  <c r="K42" i="11"/>
  <c r="K39" i="11"/>
  <c r="K41" i="11"/>
  <c r="K44" i="11"/>
  <c r="K35" i="11"/>
  <c r="K38" i="11"/>
  <c r="K37" i="11"/>
  <c r="K34" i="11"/>
  <c r="K123" i="11"/>
  <c r="K36" i="11"/>
  <c r="K115" i="11"/>
  <c r="K46" i="11"/>
  <c r="K119" i="11"/>
  <c r="K114" i="11"/>
  <c r="K120" i="11"/>
  <c r="K122" i="11"/>
  <c r="K117" i="11"/>
  <c r="K116" i="11"/>
  <c r="K121" i="11"/>
  <c r="K118" i="11"/>
  <c r="K124" i="11"/>
  <c r="K126" i="11"/>
  <c r="K125" i="11"/>
  <c r="K127" i="11"/>
  <c r="A47" i="11" l="1"/>
  <c r="A33" i="11"/>
  <c r="A48" i="11"/>
  <c r="A31" i="11"/>
  <c r="A30" i="11"/>
  <c r="A29" i="11"/>
  <c r="A28" i="11"/>
  <c r="A27" i="11"/>
  <c r="A25" i="11"/>
  <c r="A24" i="11"/>
  <c r="A23" i="11"/>
  <c r="A22" i="11"/>
  <c r="A21" i="11"/>
  <c r="F133" i="11"/>
  <c r="F132" i="11"/>
  <c r="F131" i="11"/>
  <c r="F130" i="11"/>
  <c r="F113" i="11"/>
  <c r="F112" i="11"/>
  <c r="F111" i="11"/>
  <c r="F110" i="11"/>
  <c r="F109" i="11"/>
  <c r="F108" i="11"/>
  <c r="D107" i="11"/>
  <c r="D108" i="11"/>
  <c r="D109" i="11"/>
  <c r="D110" i="11"/>
  <c r="D111" i="11"/>
  <c r="D112" i="11"/>
  <c r="D113" i="11"/>
  <c r="G128" i="11" l="1"/>
  <c r="E128" i="11"/>
  <c r="D128" i="11"/>
  <c r="A151" i="11"/>
  <c r="G113" i="11"/>
  <c r="J113" i="11" s="1"/>
  <c r="E113" i="11"/>
  <c r="A150" i="11"/>
  <c r="G112" i="11"/>
  <c r="E112" i="11"/>
  <c r="J112" i="11"/>
  <c r="A149" i="11"/>
  <c r="H111" i="11"/>
  <c r="G111" i="11"/>
  <c r="I111" i="11" s="1"/>
  <c r="E111" i="11"/>
  <c r="J111" i="11"/>
  <c r="A148" i="11"/>
  <c r="J110" i="11"/>
  <c r="H110" i="11"/>
  <c r="G110" i="11"/>
  <c r="I110" i="11" s="1"/>
  <c r="E110" i="11"/>
  <c r="A147" i="11"/>
  <c r="J109" i="11"/>
  <c r="H109" i="11"/>
  <c r="G109" i="11"/>
  <c r="I109" i="11" s="1"/>
  <c r="E109" i="11"/>
  <c r="A146" i="11"/>
  <c r="J108" i="11"/>
  <c r="H108" i="11"/>
  <c r="G108" i="11"/>
  <c r="I108" i="11" s="1"/>
  <c r="E108" i="11"/>
  <c r="A145" i="11"/>
  <c r="J107" i="11"/>
  <c r="I107" i="11"/>
  <c r="G107" i="11"/>
  <c r="E107" i="11"/>
  <c r="H107" i="11"/>
  <c r="A144" i="11"/>
  <c r="G134" i="11"/>
  <c r="E134" i="11"/>
  <c r="D134" i="11"/>
  <c r="J134" i="11" s="1"/>
  <c r="A157" i="11"/>
  <c r="G133" i="11"/>
  <c r="E133" i="11"/>
  <c r="D133" i="11"/>
  <c r="A156" i="11"/>
  <c r="G132" i="11"/>
  <c r="E132" i="11"/>
  <c r="D132" i="11"/>
  <c r="J132" i="11" s="1"/>
  <c r="A155" i="11"/>
  <c r="G131" i="11"/>
  <c r="E131" i="11"/>
  <c r="D131" i="11"/>
  <c r="J131" i="11" s="1"/>
  <c r="A154" i="11"/>
  <c r="G130" i="11"/>
  <c r="E130" i="11"/>
  <c r="D130" i="11"/>
  <c r="J130" i="11" s="1"/>
  <c r="A153" i="11"/>
  <c r="G129" i="11"/>
  <c r="E129" i="11"/>
  <c r="D129" i="11"/>
  <c r="I129" i="11" s="1"/>
  <c r="A152" i="11"/>
  <c r="F105" i="11"/>
  <c r="D21" i="59"/>
  <c r="D22" i="59"/>
  <c r="D19" i="59"/>
  <c r="D18" i="59"/>
  <c r="F149" i="11"/>
  <c r="F148" i="11"/>
  <c r="F147" i="11"/>
  <c r="F146" i="11"/>
  <c r="F145" i="11"/>
  <c r="F144" i="11"/>
  <c r="F104" i="11"/>
  <c r="F103" i="11"/>
  <c r="F102" i="11"/>
  <c r="F93" i="11"/>
  <c r="F92" i="11"/>
  <c r="F91" i="11"/>
  <c r="F90" i="11"/>
  <c r="F89" i="11"/>
  <c r="F86" i="11"/>
  <c r="F71" i="11"/>
  <c r="F70" i="11"/>
  <c r="F69" i="11"/>
  <c r="F68" i="11"/>
  <c r="F67" i="11"/>
  <c r="F72" i="11" s="1"/>
  <c r="F66" i="11"/>
  <c r="F65" i="11"/>
  <c r="F64" i="11"/>
  <c r="F63" i="11"/>
  <c r="F60" i="11"/>
  <c r="F59" i="11"/>
  <c r="F58" i="11"/>
  <c r="F57" i="11"/>
  <c r="F56" i="11"/>
  <c r="F55" i="11"/>
  <c r="F54" i="11"/>
  <c r="F53" i="11"/>
  <c r="F52" i="11"/>
  <c r="F51" i="11"/>
  <c r="F49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18" i="11"/>
  <c r="F95" i="11" s="1"/>
  <c r="F96" i="11" s="1"/>
  <c r="G81" i="11"/>
  <c r="E81" i="11"/>
  <c r="D81" i="11"/>
  <c r="J81" i="11" s="1"/>
  <c r="A117" i="11"/>
  <c r="A116" i="11"/>
  <c r="A115" i="11"/>
  <c r="A114" i="11"/>
  <c r="G73" i="11"/>
  <c r="E73" i="11"/>
  <c r="D73" i="11"/>
  <c r="H73" i="11" s="1"/>
  <c r="E72" i="11"/>
  <c r="D72" i="11"/>
  <c r="H72" i="11" s="1"/>
  <c r="A112" i="11"/>
  <c r="E71" i="11"/>
  <c r="D71" i="11"/>
  <c r="H71" i="11" s="1"/>
  <c r="A111" i="11"/>
  <c r="E70" i="11"/>
  <c r="D70" i="11"/>
  <c r="J70" i="11" s="1"/>
  <c r="A110" i="11"/>
  <c r="E69" i="11"/>
  <c r="D69" i="11"/>
  <c r="J69" i="11" s="1"/>
  <c r="E68" i="11"/>
  <c r="D68" i="11"/>
  <c r="J68" i="11" s="1"/>
  <c r="E67" i="11"/>
  <c r="D67" i="11"/>
  <c r="J67" i="11" s="1"/>
  <c r="E66" i="11"/>
  <c r="D66" i="11"/>
  <c r="J66" i="11" s="1"/>
  <c r="E65" i="11"/>
  <c r="D65" i="11"/>
  <c r="J65" i="11" s="1"/>
  <c r="E64" i="11"/>
  <c r="D64" i="11"/>
  <c r="J64" i="11" s="1"/>
  <c r="E63" i="11"/>
  <c r="D63" i="11"/>
  <c r="G62" i="11"/>
  <c r="E62" i="11"/>
  <c r="D62" i="11"/>
  <c r="J62" i="11" s="1"/>
  <c r="A109" i="11"/>
  <c r="G61" i="11"/>
  <c r="E61" i="11"/>
  <c r="D61" i="11"/>
  <c r="I61" i="11" s="1"/>
  <c r="A108" i="11"/>
  <c r="E60" i="11"/>
  <c r="D60" i="11"/>
  <c r="I60" i="11" s="1"/>
  <c r="E59" i="11"/>
  <c r="D59" i="11"/>
  <c r="H59" i="11" s="1"/>
  <c r="A106" i="11"/>
  <c r="E58" i="11"/>
  <c r="D58" i="11"/>
  <c r="H58" i="11" s="1"/>
  <c r="A105" i="11"/>
  <c r="E57" i="11"/>
  <c r="D57" i="11"/>
  <c r="J57" i="11" s="1"/>
  <c r="A104" i="11"/>
  <c r="E56" i="11"/>
  <c r="D56" i="11"/>
  <c r="J56" i="11" s="1"/>
  <c r="A103" i="11"/>
  <c r="E55" i="11"/>
  <c r="D55" i="11"/>
  <c r="J55" i="11" s="1"/>
  <c r="A102" i="11"/>
  <c r="E54" i="11"/>
  <c r="D54" i="11"/>
  <c r="J54" i="11" s="1"/>
  <c r="A101" i="11"/>
  <c r="E53" i="11"/>
  <c r="D53" i="11"/>
  <c r="J53" i="11" s="1"/>
  <c r="E52" i="11"/>
  <c r="D52" i="11"/>
  <c r="J52" i="11" s="1"/>
  <c r="A99" i="11"/>
  <c r="E51" i="11"/>
  <c r="D51" i="11"/>
  <c r="J51" i="11" s="1"/>
  <c r="A98" i="11"/>
  <c r="G50" i="11"/>
  <c r="E50" i="11"/>
  <c r="D50" i="11"/>
  <c r="J50" i="11" s="1"/>
  <c r="A97" i="11"/>
  <c r="E49" i="11"/>
  <c r="D49" i="11"/>
  <c r="J49" i="11" s="1"/>
  <c r="A96" i="11"/>
  <c r="G48" i="11"/>
  <c r="E48" i="11"/>
  <c r="D48" i="11"/>
  <c r="J48" i="11" s="1"/>
  <c r="A95" i="11"/>
  <c r="A93" i="11"/>
  <c r="A92" i="11"/>
  <c r="A91" i="11"/>
  <c r="A90" i="11"/>
  <c r="A89" i="11"/>
  <c r="A88" i="11"/>
  <c r="A86" i="11"/>
  <c r="E102" i="11"/>
  <c r="D102" i="11"/>
  <c r="J102" i="11" s="1"/>
  <c r="A200" i="11"/>
  <c r="G101" i="11"/>
  <c r="E101" i="11"/>
  <c r="D101" i="11"/>
  <c r="A199" i="11"/>
  <c r="G100" i="11"/>
  <c r="E100" i="11"/>
  <c r="D100" i="11"/>
  <c r="J100" i="11" s="1"/>
  <c r="A198" i="11"/>
  <c r="E99" i="11"/>
  <c r="D99" i="11"/>
  <c r="H99" i="11" s="1"/>
  <c r="A197" i="11"/>
  <c r="E98" i="11"/>
  <c r="D98" i="11"/>
  <c r="J98" i="11" s="1"/>
  <c r="A196" i="11"/>
  <c r="E97" i="11"/>
  <c r="D97" i="11"/>
  <c r="J97" i="11" s="1"/>
  <c r="E96" i="11"/>
  <c r="D96" i="11"/>
  <c r="J96" i="11" s="1"/>
  <c r="A194" i="11"/>
  <c r="G95" i="11"/>
  <c r="E95" i="11"/>
  <c r="D95" i="11"/>
  <c r="I95" i="11" s="1"/>
  <c r="A193" i="11"/>
  <c r="G94" i="11"/>
  <c r="E94" i="11"/>
  <c r="D94" i="11"/>
  <c r="J94" i="11" s="1"/>
  <c r="A192" i="11"/>
  <c r="A191" i="11"/>
  <c r="A190" i="11"/>
  <c r="A188" i="11"/>
  <c r="A187" i="11"/>
  <c r="A186" i="11"/>
  <c r="A185" i="11"/>
  <c r="A184" i="11"/>
  <c r="A183" i="11"/>
  <c r="A181" i="11"/>
  <c r="A180" i="11"/>
  <c r="A179" i="11"/>
  <c r="A178" i="11"/>
  <c r="A177" i="11"/>
  <c r="A175" i="11"/>
  <c r="A174" i="11"/>
  <c r="A173" i="11"/>
  <c r="A172" i="11"/>
  <c r="A171" i="11"/>
  <c r="A170" i="11"/>
  <c r="A168" i="11"/>
  <c r="A167" i="11"/>
  <c r="A166" i="11"/>
  <c r="A165" i="11"/>
  <c r="A164" i="11"/>
  <c r="E93" i="11"/>
  <c r="D93" i="11"/>
  <c r="E92" i="11"/>
  <c r="D92" i="11"/>
  <c r="J92" i="11" s="1"/>
  <c r="A162" i="11"/>
  <c r="E91" i="11"/>
  <c r="D91" i="11"/>
  <c r="J91" i="11" s="1"/>
  <c r="A161" i="11"/>
  <c r="E90" i="11"/>
  <c r="D90" i="11"/>
  <c r="A160" i="11"/>
  <c r="E89" i="11"/>
  <c r="D89" i="11"/>
  <c r="J89" i="11" s="1"/>
  <c r="A159" i="11"/>
  <c r="G88" i="11"/>
  <c r="E88" i="11"/>
  <c r="D88" i="11"/>
  <c r="J88" i="11" s="1"/>
  <c r="A128" i="11"/>
  <c r="A127" i="11"/>
  <c r="E32" i="11"/>
  <c r="D32" i="11"/>
  <c r="E31" i="11"/>
  <c r="D31" i="11"/>
  <c r="J31" i="11" s="1"/>
  <c r="E30" i="11"/>
  <c r="D30" i="11"/>
  <c r="J30" i="11" s="1"/>
  <c r="E29" i="11"/>
  <c r="D29" i="11"/>
  <c r="J29" i="11" s="1"/>
  <c r="E28" i="11"/>
  <c r="D28" i="11"/>
  <c r="H28" i="11" s="1"/>
  <c r="E27" i="11"/>
  <c r="D27" i="11"/>
  <c r="J27" i="11" s="1"/>
  <c r="E26" i="11"/>
  <c r="D26" i="11"/>
  <c r="J26" i="11" s="1"/>
  <c r="E25" i="11"/>
  <c r="D25" i="11"/>
  <c r="E24" i="11"/>
  <c r="D24" i="11"/>
  <c r="J24" i="11" s="1"/>
  <c r="E23" i="11"/>
  <c r="D23" i="11"/>
  <c r="J23" i="11" s="1"/>
  <c r="E22" i="11"/>
  <c r="D22" i="11"/>
  <c r="A62" i="11"/>
  <c r="G21" i="11"/>
  <c r="E21" i="11"/>
  <c r="D21" i="11"/>
  <c r="J21" i="11" s="1"/>
  <c r="A60" i="11"/>
  <c r="A59" i="11"/>
  <c r="A58" i="11"/>
  <c r="A57" i="11"/>
  <c r="A56" i="11"/>
  <c r="A54" i="11"/>
  <c r="A53" i="11"/>
  <c r="A52" i="11"/>
  <c r="A51" i="11"/>
  <c r="A50" i="11"/>
  <c r="A49" i="11"/>
  <c r="G20" i="11"/>
  <c r="E20" i="11"/>
  <c r="D20" i="11"/>
  <c r="J20" i="11" s="1"/>
  <c r="G19" i="11"/>
  <c r="E19" i="11"/>
  <c r="D19" i="11"/>
  <c r="J19" i="11" s="1"/>
  <c r="A19" i="11"/>
  <c r="A126" i="11"/>
  <c r="A125" i="11"/>
  <c r="A124" i="11"/>
  <c r="G87" i="11"/>
  <c r="E87" i="11"/>
  <c r="D87" i="11"/>
  <c r="J87" i="11" s="1"/>
  <c r="A123" i="11"/>
  <c r="E86" i="11"/>
  <c r="D86" i="11"/>
  <c r="H86" i="11" s="1"/>
  <c r="E85" i="11"/>
  <c r="D85" i="11"/>
  <c r="J85" i="11" s="1"/>
  <c r="A121" i="11"/>
  <c r="E84" i="11"/>
  <c r="D84" i="11"/>
  <c r="J84" i="11" s="1"/>
  <c r="A120" i="11"/>
  <c r="E83" i="11"/>
  <c r="D83" i="11"/>
  <c r="H83" i="11" s="1"/>
  <c r="A119" i="11"/>
  <c r="E82" i="11"/>
  <c r="D82" i="11"/>
  <c r="J82" i="11" s="1"/>
  <c r="A118" i="11"/>
  <c r="A85" i="11"/>
  <c r="A84" i="11"/>
  <c r="A82" i="11"/>
  <c r="A81" i="11"/>
  <c r="A73" i="11"/>
  <c r="A72" i="11"/>
  <c r="A71" i="11"/>
  <c r="A69" i="11"/>
  <c r="A68" i="11"/>
  <c r="J128" i="11" l="1"/>
  <c r="J133" i="11"/>
  <c r="K110" i="11"/>
  <c r="K108" i="11"/>
  <c r="I130" i="11"/>
  <c r="K111" i="11"/>
  <c r="K107" i="11"/>
  <c r="K109" i="11"/>
  <c r="H129" i="11"/>
  <c r="H112" i="11"/>
  <c r="J129" i="11"/>
  <c r="I112" i="11"/>
  <c r="H113" i="11"/>
  <c r="I113" i="11"/>
  <c r="H128" i="11"/>
  <c r="I128" i="11"/>
  <c r="H131" i="11"/>
  <c r="I131" i="11"/>
  <c r="H130" i="11"/>
  <c r="H134" i="11"/>
  <c r="I134" i="11"/>
  <c r="H132" i="11"/>
  <c r="I132" i="11"/>
  <c r="H133" i="11"/>
  <c r="I133" i="11"/>
  <c r="F97" i="11"/>
  <c r="H94" i="11"/>
  <c r="H50" i="11"/>
  <c r="J58" i="11"/>
  <c r="F98" i="11"/>
  <c r="I99" i="11"/>
  <c r="I49" i="11"/>
  <c r="J61" i="11"/>
  <c r="H67" i="11"/>
  <c r="H69" i="11"/>
  <c r="I73" i="11"/>
  <c r="H48" i="11"/>
  <c r="H57" i="11"/>
  <c r="J73" i="11"/>
  <c r="F99" i="11"/>
  <c r="I48" i="11"/>
  <c r="F82" i="11"/>
  <c r="H62" i="11"/>
  <c r="F83" i="11"/>
  <c r="J59" i="11"/>
  <c r="F84" i="11"/>
  <c r="H61" i="11"/>
  <c r="F85" i="11"/>
  <c r="J72" i="11"/>
  <c r="I71" i="11"/>
  <c r="H70" i="11"/>
  <c r="I22" i="11"/>
  <c r="H63" i="11"/>
  <c r="H66" i="11"/>
  <c r="I51" i="11"/>
  <c r="H60" i="11"/>
  <c r="J63" i="11"/>
  <c r="I62" i="11"/>
  <c r="I50" i="11"/>
  <c r="H53" i="11"/>
  <c r="H64" i="11"/>
  <c r="H65" i="11"/>
  <c r="I52" i="11"/>
  <c r="H54" i="11"/>
  <c r="H100" i="11"/>
  <c r="H55" i="11"/>
  <c r="H68" i="11"/>
  <c r="H81" i="11"/>
  <c r="H89" i="11"/>
  <c r="H56" i="11"/>
  <c r="I81" i="11"/>
  <c r="J101" i="11"/>
  <c r="H88" i="11"/>
  <c r="H97" i="11"/>
  <c r="H98" i="11"/>
  <c r="J90" i="11"/>
  <c r="H96" i="11"/>
  <c r="J28" i="11"/>
  <c r="J95" i="11"/>
  <c r="I88" i="11"/>
  <c r="H23" i="11"/>
  <c r="J32" i="11"/>
  <c r="H95" i="11"/>
  <c r="I94" i="11"/>
  <c r="H90" i="11"/>
  <c r="H91" i="11"/>
  <c r="H92" i="11"/>
  <c r="H93" i="11"/>
  <c r="I100" i="11"/>
  <c r="H101" i="11"/>
  <c r="H102" i="11"/>
  <c r="I86" i="11"/>
  <c r="I93" i="11"/>
  <c r="I101" i="11"/>
  <c r="J25" i="11"/>
  <c r="J22" i="11"/>
  <c r="H27" i="11"/>
  <c r="H87" i="11"/>
  <c r="H31" i="11"/>
  <c r="H26" i="11"/>
  <c r="H30" i="11"/>
  <c r="H29" i="11"/>
  <c r="H25" i="11"/>
  <c r="H82" i="11"/>
  <c r="I19" i="11"/>
  <c r="H24" i="11"/>
  <c r="H85" i="11"/>
  <c r="J83" i="11"/>
  <c r="I20" i="11"/>
  <c r="H84" i="11"/>
  <c r="I87" i="11"/>
  <c r="H19" i="11"/>
  <c r="H20" i="11"/>
  <c r="H21" i="11"/>
  <c r="H32" i="11"/>
  <c r="I21" i="11"/>
  <c r="K112" i="11" l="1"/>
  <c r="K130" i="11"/>
  <c r="K129" i="11"/>
  <c r="K132" i="11"/>
  <c r="K131" i="11"/>
  <c r="K128" i="11"/>
  <c r="K134" i="11"/>
  <c r="K113" i="11"/>
  <c r="K133" i="11"/>
  <c r="K95" i="11"/>
  <c r="K94" i="11"/>
  <c r="K73" i="11"/>
  <c r="K50" i="11"/>
  <c r="K61" i="11"/>
  <c r="K87" i="11"/>
  <c r="K81" i="11"/>
  <c r="K48" i="11"/>
  <c r="K62" i="11"/>
  <c r="K100" i="11"/>
  <c r="K88" i="11"/>
  <c r="K19" i="11"/>
  <c r="K101" i="11"/>
  <c r="K20" i="11"/>
  <c r="K21" i="11"/>
  <c r="I1458" i="10" l="1"/>
  <c r="I1457" i="10"/>
  <c r="O1458" i="10"/>
  <c r="P1458" i="10" s="1"/>
  <c r="K1458" i="10"/>
  <c r="M1458" i="10" s="1"/>
  <c r="J1458" i="10"/>
  <c r="L1458" i="10" s="1"/>
  <c r="O1457" i="10"/>
  <c r="P1457" i="10" s="1"/>
  <c r="K1457" i="10"/>
  <c r="M1457" i="10" s="1"/>
  <c r="J1457" i="10"/>
  <c r="L1457" i="10" s="1"/>
  <c r="N1457" i="10" l="1"/>
  <c r="N1458" i="10"/>
  <c r="A65" i="11" l="1"/>
  <c r="A66" i="11"/>
  <c r="A67" i="11"/>
  <c r="A201" i="11"/>
  <c r="D47" i="11"/>
  <c r="E47" i="11"/>
  <c r="H47" i="11" l="1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E149" i="11"/>
  <c r="D149" i="11"/>
  <c r="A220" i="11"/>
  <c r="E148" i="11"/>
  <c r="D148" i="11"/>
  <c r="J148" i="11" s="1"/>
  <c r="A219" i="11"/>
  <c r="E147" i="11"/>
  <c r="D147" i="11"/>
  <c r="A218" i="11"/>
  <c r="E146" i="11"/>
  <c r="D146" i="11"/>
  <c r="E145" i="11"/>
  <c r="D145" i="11"/>
  <c r="A216" i="11"/>
  <c r="E144" i="11"/>
  <c r="D144" i="11"/>
  <c r="A215" i="11"/>
  <c r="E143" i="11"/>
  <c r="D143" i="11"/>
  <c r="A214" i="11"/>
  <c r="E142" i="11"/>
  <c r="D142" i="11"/>
  <c r="A213" i="11"/>
  <c r="E141" i="11"/>
  <c r="D141" i="11"/>
  <c r="H141" i="11" s="1"/>
  <c r="E140" i="11"/>
  <c r="D140" i="11"/>
  <c r="H140" i="11" s="1"/>
  <c r="A211" i="11"/>
  <c r="A210" i="11"/>
  <c r="E137" i="11"/>
  <c r="D137" i="11"/>
  <c r="A209" i="11"/>
  <c r="E136" i="11"/>
  <c r="D136" i="11"/>
  <c r="A207" i="11"/>
  <c r="A206" i="11"/>
  <c r="E135" i="11"/>
  <c r="D135" i="11"/>
  <c r="H135" i="11" s="1"/>
  <c r="A205" i="11"/>
  <c r="E106" i="11"/>
  <c r="D106" i="11"/>
  <c r="E105" i="11"/>
  <c r="D105" i="11"/>
  <c r="A203" i="11"/>
  <c r="E104" i="11"/>
  <c r="D104" i="11"/>
  <c r="A202" i="11"/>
  <c r="E103" i="11"/>
  <c r="D103" i="11"/>
  <c r="J103" i="11" s="1"/>
  <c r="A64" i="11"/>
  <c r="E33" i="11"/>
  <c r="D33" i="11"/>
  <c r="H33" i="11" s="1"/>
  <c r="E18" i="11"/>
  <c r="D18" i="11"/>
  <c r="A18" i="11"/>
  <c r="E17" i="11"/>
  <c r="D17" i="11"/>
  <c r="E16" i="11"/>
  <c r="D16" i="11"/>
  <c r="A16" i="11"/>
  <c r="I146" i="11" l="1"/>
  <c r="J146" i="11"/>
  <c r="H147" i="11"/>
  <c r="I147" i="11"/>
  <c r="H137" i="11"/>
  <c r="I137" i="11"/>
  <c r="I136" i="11"/>
  <c r="J136" i="11"/>
  <c r="J149" i="11"/>
  <c r="H106" i="11"/>
  <c r="J104" i="11"/>
  <c r="J135" i="11"/>
  <c r="J106" i="11"/>
  <c r="J143" i="11"/>
  <c r="H16" i="11"/>
  <c r="H142" i="11"/>
  <c r="H17" i="11"/>
  <c r="H103" i="11"/>
  <c r="J141" i="11"/>
  <c r="H18" i="11"/>
  <c r="J142" i="11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G72" i="11" l="1"/>
  <c r="I72" i="11" s="1"/>
  <c r="K72" i="11" s="1"/>
  <c r="G57" i="11"/>
  <c r="I57" i="11" s="1"/>
  <c r="K57" i="11" s="1"/>
  <c r="N1052" i="10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K8" i="60" l="1"/>
  <c r="D8" i="60"/>
  <c r="D7" i="60"/>
  <c r="K7" i="60"/>
  <c r="K19" i="60"/>
  <c r="K18" i="60"/>
  <c r="K17" i="60"/>
  <c r="D17" i="60"/>
  <c r="D18" i="60"/>
  <c r="D20" i="60" l="1"/>
  <c r="K9" i="60"/>
  <c r="D6" i="60"/>
  <c r="D9" i="60" s="1"/>
  <c r="K16" i="60" l="1"/>
  <c r="K20" i="60" s="1"/>
  <c r="G15" i="11" l="1"/>
  <c r="E15" i="11"/>
  <c r="D15" i="11"/>
  <c r="H15" i="11" s="1"/>
  <c r="A15" i="11"/>
  <c r="J15" i="11" l="1"/>
  <c r="I15" i="11"/>
  <c r="D5" i="60"/>
  <c r="K5" i="60" s="1"/>
  <c r="K15" i="11" l="1"/>
  <c r="F3" i="54" l="1"/>
  <c r="D8" i="59" l="1"/>
  <c r="C7" i="54" s="1"/>
  <c r="C8" i="54" l="1"/>
  <c r="D9" i="59"/>
  <c r="K7" i="54" s="1"/>
  <c r="H8" i="54" l="1"/>
  <c r="I8" i="54"/>
  <c r="H7" i="54"/>
  <c r="I7" i="54"/>
  <c r="D152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9" i="54"/>
  <c r="A10" i="54" s="1"/>
  <c r="G151" i="11"/>
  <c r="E151" i="11"/>
  <c r="D151" i="11"/>
  <c r="J151" i="11" s="1"/>
  <c r="E152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L120" i="10" s="1"/>
  <c r="N120" i="10" s="1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L29" i="10" s="1"/>
  <c r="N29" i="10" s="1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P80" i="10" s="1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L85" i="10" s="1"/>
  <c r="N85" i="10" s="1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L108" i="10" s="1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L111" i="10" s="1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M140" i="10" s="1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L176" i="10" s="1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J197" i="10"/>
  <c r="L197" i="10" s="1"/>
  <c r="K197" i="10"/>
  <c r="O197" i="10"/>
  <c r="P197" i="10" s="1"/>
  <c r="J198" i="10"/>
  <c r="L198" i="10" s="1"/>
  <c r="K198" i="10"/>
  <c r="M198" i="10" s="1"/>
  <c r="N198" i="10" s="1"/>
  <c r="O198" i="10"/>
  <c r="P198" i="10" s="1"/>
  <c r="J199" i="10"/>
  <c r="L199" i="10" s="1"/>
  <c r="K199" i="10"/>
  <c r="O199" i="10"/>
  <c r="J200" i="10"/>
  <c r="L200" i="10" s="1"/>
  <c r="K200" i="10"/>
  <c r="O200" i="10"/>
  <c r="J201" i="10"/>
  <c r="L201" i="10" s="1"/>
  <c r="K201" i="10"/>
  <c r="O201" i="10"/>
  <c r="J202" i="10"/>
  <c r="L202" i="10" s="1"/>
  <c r="K202" i="10"/>
  <c r="O202" i="10"/>
  <c r="P202" i="10" s="1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L208" i="10" s="1"/>
  <c r="K208" i="10"/>
  <c r="O208" i="10"/>
  <c r="J209" i="10"/>
  <c r="L209" i="10" s="1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M232" i="10" s="1"/>
  <c r="O232" i="10"/>
  <c r="P232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M249" i="10" s="1"/>
  <c r="O249" i="10"/>
  <c r="P249" i="10" s="1"/>
  <c r="J250" i="10"/>
  <c r="K250" i="10"/>
  <c r="M250" i="10" s="1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L261" i="10" s="1"/>
  <c r="K261" i="10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M265" i="10" s="1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M565" i="10" s="1"/>
  <c r="N565" i="10" s="1"/>
  <c r="O565" i="10"/>
  <c r="P565" i="10" s="1"/>
  <c r="J566" i="10"/>
  <c r="L566" i="10" s="1"/>
  <c r="K566" i="10"/>
  <c r="M566" i="10" s="1"/>
  <c r="N566" i="10" s="1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M607" i="10" s="1"/>
  <c r="N607" i="10" s="1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N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N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N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N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N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N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N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N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N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N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N737" i="10" s="1"/>
  <c r="K737" i="10"/>
  <c r="M737" i="10" s="1"/>
  <c r="O737" i="10"/>
  <c r="P737" i="10" s="1"/>
  <c r="J738" i="10"/>
  <c r="L738" i="10" s="1"/>
  <c r="N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N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N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N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N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N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N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N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N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N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N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K815" i="10"/>
  <c r="M815" i="10" s="1"/>
  <c r="N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N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N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N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N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N865" i="10" s="1"/>
  <c r="K865" i="10"/>
  <c r="M865" i="10" s="1"/>
  <c r="O865" i="10"/>
  <c r="P865" i="10" s="1"/>
  <c r="J866" i="10"/>
  <c r="L866" i="10" s="1"/>
  <c r="N866" i="10" s="1"/>
  <c r="K866" i="10"/>
  <c r="M866" i="10" s="1"/>
  <c r="O866" i="10"/>
  <c r="P866" i="10" s="1"/>
  <c r="J867" i="10"/>
  <c r="L867" i="10" s="1"/>
  <c r="N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N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N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N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N886" i="10" s="1"/>
  <c r="K886" i="10"/>
  <c r="M886" i="10" s="1"/>
  <c r="O886" i="10"/>
  <c r="P886" i="10" s="1"/>
  <c r="J887" i="10"/>
  <c r="L887" i="10" s="1"/>
  <c r="K887" i="10"/>
  <c r="M887" i="10" s="1"/>
  <c r="N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N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N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N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N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N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N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N926" i="10" s="1"/>
  <c r="O926" i="10"/>
  <c r="P926" i="10" s="1"/>
  <c r="J927" i="10"/>
  <c r="L927" i="10" s="1"/>
  <c r="K927" i="10"/>
  <c r="M927" i="10" s="1"/>
  <c r="N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N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N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N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N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N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N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N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N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N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N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N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N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N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N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N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N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N1078" i="10" s="1"/>
  <c r="K1078" i="10"/>
  <c r="M1078" i="10" s="1"/>
  <c r="O1078" i="10"/>
  <c r="P1078" i="10" s="1"/>
  <c r="J1079" i="10"/>
  <c r="L1079" i="10" s="1"/>
  <c r="N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N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N1099" i="10" s="1"/>
  <c r="O1099" i="10"/>
  <c r="P1099" i="10" s="1"/>
  <c r="J1100" i="10"/>
  <c r="L1100" i="10" s="1"/>
  <c r="K1100" i="10"/>
  <c r="M1100" i="10" s="1"/>
  <c r="N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N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N1123" i="10" s="1"/>
  <c r="O1123" i="10"/>
  <c r="P1123" i="10" s="1"/>
  <c r="J1124" i="10"/>
  <c r="L1124" i="10" s="1"/>
  <c r="K1124" i="10"/>
  <c r="M1124" i="10" s="1"/>
  <c r="N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N1126" i="10" s="1"/>
  <c r="K1126" i="10"/>
  <c r="M1126" i="10" s="1"/>
  <c r="O1126" i="10"/>
  <c r="P1126" i="10" s="1"/>
  <c r="J1127" i="10"/>
  <c r="L1127" i="10" s="1"/>
  <c r="N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N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N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N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N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N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N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N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N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N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N1307" i="10" s="1"/>
  <c r="O1307" i="10"/>
  <c r="P1307" i="10" s="1"/>
  <c r="J1308" i="10"/>
  <c r="L1308" i="10" s="1"/>
  <c r="K1308" i="10"/>
  <c r="M1308" i="10" s="1"/>
  <c r="N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N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N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N1469" i="10" s="1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122" i="10"/>
  <c r="N785" i="10"/>
  <c r="N1065" i="10"/>
  <c r="N981" i="10"/>
  <c r="N915" i="10"/>
  <c r="N900" i="10"/>
  <c r="N875" i="10"/>
  <c r="N709" i="10"/>
  <c r="N733" i="10"/>
  <c r="N973" i="10"/>
  <c r="N972" i="10"/>
  <c r="N966" i="10"/>
  <c r="N964" i="10"/>
  <c r="N708" i="10"/>
  <c r="N980" i="10"/>
  <c r="N873" i="10"/>
  <c r="N996" i="10"/>
  <c r="N932" i="10"/>
  <c r="N918" i="10"/>
  <c r="N773" i="10"/>
  <c r="N1055" i="10"/>
  <c r="N903" i="10"/>
  <c r="N850" i="10"/>
  <c r="N659" i="10"/>
  <c r="P184" i="10"/>
  <c r="O7" i="10"/>
  <c r="P7" i="10" s="1"/>
  <c r="P188" i="10"/>
  <c r="G9" i="39"/>
  <c r="G6" i="39"/>
  <c r="C2" i="41"/>
  <c r="J7" i="10"/>
  <c r="L146" i="10" s="1"/>
  <c r="K7" i="10"/>
  <c r="M7" i="10" s="1"/>
  <c r="L172" i="10"/>
  <c r="L203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G68" i="11" s="1"/>
  <c r="I68" i="11" s="1"/>
  <c r="K68" i="11" s="1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G24" i="11" s="1"/>
  <c r="I24" i="11" s="1"/>
  <c r="K24" i="11" s="1"/>
  <c r="I423" i="10"/>
  <c r="G82" i="11" s="1"/>
  <c r="I82" i="11" s="1"/>
  <c r="K82" i="11" s="1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G28" i="11" s="1"/>
  <c r="I28" i="11" s="1"/>
  <c r="K28" i="11" s="1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G63" i="11" s="1"/>
  <c r="I63" i="11" s="1"/>
  <c r="K63" i="11" s="1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G89" i="11" s="1"/>
  <c r="I89" i="11" s="1"/>
  <c r="K89" i="11" s="1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G60" i="11" s="1"/>
  <c r="J60" i="11" s="1"/>
  <c r="K60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G65" i="11" s="1"/>
  <c r="I65" i="11" s="1"/>
  <c r="K65" i="11" s="1"/>
  <c r="I12" i="10"/>
  <c r="I36" i="10"/>
  <c r="I103" i="10"/>
  <c r="I134" i="10"/>
  <c r="G49" i="11" s="1"/>
  <c r="H49" i="11" s="1"/>
  <c r="K49" i="11" s="1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G31" i="11" s="1"/>
  <c r="I31" i="11" s="1"/>
  <c r="K31" i="11" s="1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I402" i="10"/>
  <c r="G54" i="11" s="1"/>
  <c r="I54" i="11" s="1"/>
  <c r="K54" i="11" s="1"/>
  <c r="I427" i="10"/>
  <c r="I447" i="10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G51" i="11" s="1"/>
  <c r="H51" i="11" s="1"/>
  <c r="K51" i="11" s="1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G22" i="11" s="1"/>
  <c r="H22" i="11" s="1"/>
  <c r="K22" i="11" s="1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46" i="11" s="1"/>
  <c r="H146" i="11" s="1"/>
  <c r="K146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G86" i="11" s="1"/>
  <c r="J86" i="11" s="1"/>
  <c r="K86" i="11" s="1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99" i="11" s="1"/>
  <c r="J99" i="11" s="1"/>
  <c r="K99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G137" i="11" s="1"/>
  <c r="J137" i="11" s="1"/>
  <c r="K137" i="11" s="1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I575" i="10"/>
  <c r="I673" i="10"/>
  <c r="I726" i="10"/>
  <c r="I795" i="10"/>
  <c r="I858" i="10"/>
  <c r="I900" i="10"/>
  <c r="I1008" i="10"/>
  <c r="I1069" i="10"/>
  <c r="G147" i="11" s="1"/>
  <c r="J147" i="11" s="1"/>
  <c r="K147" i="11" s="1"/>
  <c r="I1114" i="10"/>
  <c r="I1162" i="10"/>
  <c r="I1226" i="10"/>
  <c r="I1333" i="10"/>
  <c r="I450" i="10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G53" i="11" s="1"/>
  <c r="I53" i="11" s="1"/>
  <c r="K53" i="11" s="1"/>
  <c r="I510" i="10"/>
  <c r="I570" i="10"/>
  <c r="I663" i="10"/>
  <c r="I721" i="10"/>
  <c r="I790" i="10"/>
  <c r="I847" i="10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G58" i="11" s="1"/>
  <c r="I58" i="11" s="1"/>
  <c r="K58" i="11" s="1"/>
  <c r="I476" i="10"/>
  <c r="G29" i="11" s="1"/>
  <c r="I29" i="11" s="1"/>
  <c r="K29" i="11" s="1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G30" i="11" s="1"/>
  <c r="I30" i="11" s="1"/>
  <c r="K30" i="11" s="1"/>
  <c r="I574" i="10"/>
  <c r="I677" i="10"/>
  <c r="I752" i="10"/>
  <c r="I840" i="10"/>
  <c r="I991" i="10"/>
  <c r="I1077" i="10"/>
  <c r="I1165" i="10"/>
  <c r="G47" i="11" s="1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56" i="11" s="1"/>
  <c r="I56" i="11" s="1"/>
  <c r="K56" i="11" s="1"/>
  <c r="I469" i="10"/>
  <c r="I528" i="10"/>
  <c r="I588" i="10"/>
  <c r="I680" i="10"/>
  <c r="G93" i="11" s="1"/>
  <c r="J93" i="11" s="1"/>
  <c r="K93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G23" i="11" s="1"/>
  <c r="I23" i="11" s="1"/>
  <c r="K23" i="11" s="1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G27" i="11" s="1"/>
  <c r="I27" i="11" s="1"/>
  <c r="K27" i="11" s="1"/>
  <c r="I524" i="10"/>
  <c r="I590" i="10"/>
  <c r="I681" i="10"/>
  <c r="I734" i="10"/>
  <c r="I823" i="10"/>
  <c r="G71" i="11" s="1"/>
  <c r="J71" i="11" s="1"/>
  <c r="K71" i="11" s="1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159" i="11"/>
  <c r="I1235" i="10"/>
  <c r="I1234" i="10"/>
  <c r="I9" i="10"/>
  <c r="P192" i="10"/>
  <c r="P190" i="10"/>
  <c r="P194" i="10"/>
  <c r="P191" i="10"/>
  <c r="P193" i="10"/>
  <c r="P196" i="10"/>
  <c r="L205" i="10"/>
  <c r="L204" i="10"/>
  <c r="L126" i="10"/>
  <c r="L20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O9" i="54"/>
  <c r="G6" i="29"/>
  <c r="G7" i="39"/>
  <c r="G9" i="29"/>
  <c r="N1113" i="10"/>
  <c r="N1095" i="10"/>
  <c r="L172" i="29"/>
  <c r="B171" i="29" s="1"/>
  <c r="L42" i="39"/>
  <c r="B41" i="39" s="1"/>
  <c r="L207" i="10"/>
  <c r="L129" i="10"/>
  <c r="N1207" i="10"/>
  <c r="N1170" i="10"/>
  <c r="N1146" i="10"/>
  <c r="N1114" i="10"/>
  <c r="N1074" i="10"/>
  <c r="G8" i="39"/>
  <c r="I107" i="10"/>
  <c r="I1423" i="10"/>
  <c r="I1426" i="10"/>
  <c r="I1429" i="10"/>
  <c r="M120" i="10"/>
  <c r="M145" i="10"/>
  <c r="M231" i="10"/>
  <c r="M1432" i="10"/>
  <c r="M1442" i="10"/>
  <c r="M146" i="10"/>
  <c r="M227" i="10"/>
  <c r="M144" i="10"/>
  <c r="M248" i="10"/>
  <c r="M276" i="10"/>
  <c r="M142" i="10"/>
  <c r="M235" i="10"/>
  <c r="M193" i="10"/>
  <c r="M119" i="10"/>
  <c r="M1447" i="10"/>
  <c r="M118" i="10"/>
  <c r="M1428" i="10"/>
  <c r="M226" i="10"/>
  <c r="M229" i="10"/>
  <c r="N1066" i="10"/>
  <c r="N1058" i="10"/>
  <c r="P13" i="10"/>
  <c r="G8" i="29"/>
  <c r="K14" i="29"/>
  <c r="N1013" i="10"/>
  <c r="N1106" i="10"/>
  <c r="N1031" i="10"/>
  <c r="N1192" i="10"/>
  <c r="N1190" i="10"/>
  <c r="N1039" i="10"/>
  <c r="N956" i="10"/>
  <c r="N949" i="10"/>
  <c r="N933" i="10"/>
  <c r="N897" i="10"/>
  <c r="N877" i="10"/>
  <c r="N845" i="10"/>
  <c r="N829" i="10"/>
  <c r="N821" i="10"/>
  <c r="N781" i="10"/>
  <c r="N769" i="10"/>
  <c r="N765" i="10"/>
  <c r="N757" i="10"/>
  <c r="N741" i="10"/>
  <c r="N725" i="10"/>
  <c r="N916" i="10"/>
  <c r="N892" i="10"/>
  <c r="N860" i="10"/>
  <c r="N859" i="10"/>
  <c r="N836" i="10"/>
  <c r="N940" i="10"/>
  <c r="N939" i="10"/>
  <c r="N849" i="10"/>
  <c r="N693" i="10"/>
  <c r="N685" i="10"/>
  <c r="N677" i="10"/>
  <c r="N673" i="10"/>
  <c r="N661" i="10"/>
  <c r="N1225" i="10"/>
  <c r="N1253" i="10"/>
  <c r="L9" i="10"/>
  <c r="N1275" i="10"/>
  <c r="N1154" i="10"/>
  <c r="N1226" i="10"/>
  <c r="N1160" i="10"/>
  <c r="N1056" i="10"/>
  <c r="N861" i="10"/>
  <c r="N852" i="10"/>
  <c r="N1178" i="10"/>
  <c r="N1101" i="10"/>
  <c r="N1063" i="10"/>
  <c r="N837" i="10"/>
  <c r="N828" i="10"/>
  <c r="N957" i="10"/>
  <c r="N925" i="10"/>
  <c r="N895" i="10"/>
  <c r="N893" i="10"/>
  <c r="N853" i="10"/>
  <c r="N844" i="10"/>
  <c r="N812" i="10"/>
  <c r="N796" i="10"/>
  <c r="N792" i="10"/>
  <c r="N788" i="10"/>
  <c r="N784" i="10"/>
  <c r="N780" i="10"/>
  <c r="N704" i="10"/>
  <c r="N692" i="10"/>
  <c r="N688" i="10"/>
  <c r="N680" i="10"/>
  <c r="N676" i="10"/>
  <c r="N672" i="10"/>
  <c r="N660" i="10"/>
  <c r="N656" i="10"/>
  <c r="N1021" i="10"/>
  <c r="N984" i="10"/>
  <c r="N969" i="10"/>
  <c r="N835" i="10"/>
  <c r="N831" i="10"/>
  <c r="N795" i="10"/>
  <c r="N787" i="10"/>
  <c r="N734" i="10"/>
  <c r="N720" i="10"/>
  <c r="N756" i="10"/>
  <c r="N740" i="10"/>
  <c r="N724" i="10"/>
  <c r="N717" i="10"/>
  <c r="N715" i="10"/>
  <c r="N707" i="10"/>
  <c r="N644" i="10"/>
  <c r="N1173" i="10"/>
  <c r="N1152" i="10"/>
  <c r="N1105" i="10"/>
  <c r="N1071" i="10"/>
  <c r="N1181" i="10"/>
  <c r="L80" i="10"/>
  <c r="N80" i="10" s="1"/>
  <c r="L262" i="10"/>
  <c r="L247" i="10"/>
  <c r="L274" i="10"/>
  <c r="L238" i="10"/>
  <c r="L246" i="10"/>
  <c r="L273" i="10"/>
  <c r="L181" i="10"/>
  <c r="N1136" i="10"/>
  <c r="N1287" i="10"/>
  <c r="N1238" i="10"/>
  <c r="N1186" i="10"/>
  <c r="N1153" i="10"/>
  <c r="N1125" i="10"/>
  <c r="N1091" i="10"/>
  <c r="N1012" i="10"/>
  <c r="N1130" i="10"/>
  <c r="N1049" i="10"/>
  <c r="N1004" i="10"/>
  <c r="P10" i="10"/>
  <c r="P204" i="10"/>
  <c r="P199" i="10"/>
  <c r="M98" i="10"/>
  <c r="M616" i="10"/>
  <c r="N616" i="10" s="1"/>
  <c r="M183" i="10"/>
  <c r="M99" i="10"/>
  <c r="M322" i="10"/>
  <c r="N322" i="10" s="1"/>
  <c r="M649" i="10"/>
  <c r="M608" i="10"/>
  <c r="N608" i="10" s="1"/>
  <c r="M194" i="10"/>
  <c r="M106" i="10"/>
  <c r="N106" i="10" s="1"/>
  <c r="M102" i="10"/>
  <c r="M1446" i="10"/>
  <c r="N1446" i="10" s="1"/>
  <c r="M323" i="10"/>
  <c r="N323" i="10" s="1"/>
  <c r="M105" i="10"/>
  <c r="N105" i="10" s="1"/>
  <c r="M100" i="10"/>
  <c r="M277" i="10"/>
  <c r="M617" i="10"/>
  <c r="M103" i="10"/>
  <c r="M369" i="10"/>
  <c r="N369" i="10" s="1"/>
  <c r="M108" i="10"/>
  <c r="M368" i="10"/>
  <c r="M104" i="10"/>
  <c r="M97" i="10"/>
  <c r="M147" i="10"/>
  <c r="M264" i="10"/>
  <c r="M1468" i="10"/>
  <c r="N1468" i="10" s="1"/>
  <c r="M101" i="10"/>
  <c r="M107" i="10"/>
  <c r="N107" i="10" s="1"/>
  <c r="M278" i="10"/>
  <c r="N278" i="10" s="1"/>
  <c r="M199" i="10"/>
  <c r="N199" i="10" s="1"/>
  <c r="M1450" i="10"/>
  <c r="M236" i="10"/>
  <c r="G66" i="11" l="1"/>
  <c r="I66" i="11" s="1"/>
  <c r="K66" i="11" s="1"/>
  <c r="G59" i="11"/>
  <c r="I59" i="11" s="1"/>
  <c r="K59" i="11" s="1"/>
  <c r="G97" i="11"/>
  <c r="I97" i="11" s="1"/>
  <c r="K97" i="11" s="1"/>
  <c r="G52" i="11"/>
  <c r="H52" i="11" s="1"/>
  <c r="K52" i="11" s="1"/>
  <c r="G136" i="11"/>
  <c r="H136" i="11" s="1"/>
  <c r="K136" i="11" s="1"/>
  <c r="G70" i="11"/>
  <c r="I70" i="11" s="1"/>
  <c r="K70" i="11" s="1"/>
  <c r="G91" i="11"/>
  <c r="I91" i="11" s="1"/>
  <c r="K91" i="11" s="1"/>
  <c r="G84" i="11"/>
  <c r="I84" i="11" s="1"/>
  <c r="K84" i="11" s="1"/>
  <c r="L128" i="10"/>
  <c r="G83" i="11"/>
  <c r="I83" i="11" s="1"/>
  <c r="K83" i="11" s="1"/>
  <c r="G16" i="11"/>
  <c r="I16" i="11" s="1"/>
  <c r="G26" i="11"/>
  <c r="I26" i="11" s="1"/>
  <c r="K26" i="11" s="1"/>
  <c r="G55" i="11"/>
  <c r="I55" i="11" s="1"/>
  <c r="K55" i="11" s="1"/>
  <c r="G25" i="11"/>
  <c r="I25" i="11" s="1"/>
  <c r="K25" i="11" s="1"/>
  <c r="G67" i="11"/>
  <c r="I67" i="11" s="1"/>
  <c r="K67" i="11" s="1"/>
  <c r="G98" i="11"/>
  <c r="I98" i="11" s="1"/>
  <c r="K98" i="11" s="1"/>
  <c r="L186" i="10"/>
  <c r="N186" i="10" s="1"/>
  <c r="G32" i="11"/>
  <c r="I32" i="11" s="1"/>
  <c r="K32" i="11" s="1"/>
  <c r="G69" i="11"/>
  <c r="I69" i="11" s="1"/>
  <c r="K69" i="11" s="1"/>
  <c r="G92" i="11"/>
  <c r="I92" i="11" s="1"/>
  <c r="K92" i="11" s="1"/>
  <c r="G85" i="11"/>
  <c r="I85" i="11" s="1"/>
  <c r="K85" i="11" s="1"/>
  <c r="N807" i="10"/>
  <c r="N799" i="10"/>
  <c r="N791" i="10"/>
  <c r="N783" i="10"/>
  <c r="N703" i="10"/>
  <c r="N687" i="10"/>
  <c r="N679" i="10"/>
  <c r="N671" i="10"/>
  <c r="N655" i="10"/>
  <c r="L228" i="10"/>
  <c r="N228" i="10" s="1"/>
  <c r="L135" i="10"/>
  <c r="N135" i="10" s="1"/>
  <c r="L70" i="10"/>
  <c r="N70" i="10" s="1"/>
  <c r="L137" i="10"/>
  <c r="N137" i="10" s="1"/>
  <c r="G64" i="11"/>
  <c r="I64" i="11" s="1"/>
  <c r="K64" i="11" s="1"/>
  <c r="G96" i="11"/>
  <c r="I96" i="11" s="1"/>
  <c r="K96" i="11" s="1"/>
  <c r="G102" i="11"/>
  <c r="I102" i="11" s="1"/>
  <c r="K102" i="11" s="1"/>
  <c r="L141" i="10"/>
  <c r="N141" i="10" s="1"/>
  <c r="N649" i="10"/>
  <c r="G106" i="11"/>
  <c r="I106" i="11" s="1"/>
  <c r="K106" i="11" s="1"/>
  <c r="G90" i="11"/>
  <c r="I90" i="11" s="1"/>
  <c r="K90" i="11" s="1"/>
  <c r="N368" i="10"/>
  <c r="L240" i="10"/>
  <c r="L91" i="10"/>
  <c r="N91" i="10" s="1"/>
  <c r="L123" i="10"/>
  <c r="N123" i="10" s="1"/>
  <c r="L242" i="10"/>
  <c r="G142" i="11"/>
  <c r="I142" i="11" s="1"/>
  <c r="K142" i="11" s="1"/>
  <c r="L31" i="10"/>
  <c r="N31" i="10" s="1"/>
  <c r="L226" i="10"/>
  <c r="N226" i="10" s="1"/>
  <c r="L220" i="10"/>
  <c r="N220" i="10" s="1"/>
  <c r="L251" i="10"/>
  <c r="L117" i="10"/>
  <c r="N117" i="10" s="1"/>
  <c r="G149" i="11"/>
  <c r="I149" i="11" s="1"/>
  <c r="N1087" i="10"/>
  <c r="N978" i="10"/>
  <c r="N970" i="10"/>
  <c r="N954" i="10"/>
  <c r="N938" i="10"/>
  <c r="G144" i="11"/>
  <c r="J144" i="11" s="1"/>
  <c r="G135" i="11"/>
  <c r="I135" i="11" s="1"/>
  <c r="K135" i="11" s="1"/>
  <c r="L90" i="10"/>
  <c r="N90" i="10" s="1"/>
  <c r="L93" i="10"/>
  <c r="N93" i="10" s="1"/>
  <c r="L232" i="10"/>
  <c r="N232" i="10" s="1"/>
  <c r="L229" i="10"/>
  <c r="N229" i="10" s="1"/>
  <c r="N1147" i="10"/>
  <c r="N1030" i="10"/>
  <c r="N974" i="10"/>
  <c r="N950" i="10"/>
  <c r="N902" i="10"/>
  <c r="G141" i="11"/>
  <c r="I141" i="11" s="1"/>
  <c r="K141" i="11" s="1"/>
  <c r="G143" i="11"/>
  <c r="I143" i="11" s="1"/>
  <c r="J16" i="11"/>
  <c r="J47" i="11"/>
  <c r="I47" i="11"/>
  <c r="I144" i="11"/>
  <c r="H149" i="11"/>
  <c r="H143" i="11"/>
  <c r="G104" i="11"/>
  <c r="N1437" i="10"/>
  <c r="N1341" i="10"/>
  <c r="N1145" i="10"/>
  <c r="N1128" i="10"/>
  <c r="N1096" i="10"/>
  <c r="N1068" i="10"/>
  <c r="N1061" i="10"/>
  <c r="G105" i="11"/>
  <c r="J105" i="11" s="1"/>
  <c r="G17" i="11"/>
  <c r="G148" i="11"/>
  <c r="G33" i="11"/>
  <c r="G18" i="11"/>
  <c r="G140" i="11"/>
  <c r="G103" i="11"/>
  <c r="I103" i="11" s="1"/>
  <c r="K103" i="11" s="1"/>
  <c r="G145" i="11"/>
  <c r="H145" i="11" s="1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152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A11" i="54"/>
  <c r="O10" i="54"/>
  <c r="B31" i="54"/>
  <c r="B32" i="54"/>
  <c r="D8" i="54"/>
  <c r="C9" i="54"/>
  <c r="H151" i="11"/>
  <c r="I151" i="11"/>
  <c r="J36" i="39"/>
  <c r="I36" i="39"/>
  <c r="H36" i="39"/>
  <c r="C227" i="29" l="1"/>
  <c r="D227" i="29" s="1"/>
  <c r="F227" i="29" s="1"/>
  <c r="C228" i="29"/>
  <c r="D228" i="29" s="1"/>
  <c r="E228" i="29" s="1"/>
  <c r="H144" i="11"/>
  <c r="K144" i="11" s="1"/>
  <c r="K47" i="11"/>
  <c r="K16" i="11"/>
  <c r="H148" i="11"/>
  <c r="I148" i="11"/>
  <c r="K143" i="11"/>
  <c r="K149" i="11"/>
  <c r="I145" i="11"/>
  <c r="J145" i="11"/>
  <c r="I104" i="11"/>
  <c r="H104" i="11"/>
  <c r="I140" i="11"/>
  <c r="J140" i="11"/>
  <c r="I105" i="11"/>
  <c r="H105" i="11"/>
  <c r="I33" i="11"/>
  <c r="J33" i="11"/>
  <c r="I18" i="11"/>
  <c r="J18" i="11"/>
  <c r="I17" i="11"/>
  <c r="J17" i="11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F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F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96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O11" i="54"/>
  <c r="A12" i="54"/>
  <c r="E8" i="54"/>
  <c r="L8" i="54" s="1"/>
  <c r="M8" i="54" s="1"/>
  <c r="I9" i="54"/>
  <c r="H9" i="54"/>
  <c r="C10" i="54"/>
  <c r="D9" i="54"/>
  <c r="K151" i="11"/>
  <c r="K36" i="39"/>
  <c r="F228" i="29"/>
  <c r="F316" i="29" l="1"/>
  <c r="E227" i="29"/>
  <c r="F298" i="29"/>
  <c r="F240" i="29"/>
  <c r="K148" i="11"/>
  <c r="E264" i="29"/>
  <c r="F293" i="29"/>
  <c r="F275" i="29"/>
  <c r="F250" i="29"/>
  <c r="E311" i="29"/>
  <c r="F232" i="29"/>
  <c r="K105" i="11"/>
  <c r="K140" i="11"/>
  <c r="K104" i="11"/>
  <c r="K145" i="11"/>
  <c r="F270" i="29"/>
  <c r="F235" i="29"/>
  <c r="K18" i="11"/>
  <c r="K17" i="11"/>
  <c r="K33" i="11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314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F343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54" i="11"/>
  <c r="H155" i="11" s="1"/>
  <c r="I154" i="11"/>
  <c r="I155" i="11" s="1"/>
  <c r="F346" i="29"/>
  <c r="F361" i="29"/>
  <c r="F334" i="29"/>
  <c r="F330" i="29"/>
  <c r="F325" i="29"/>
  <c r="F714" i="41"/>
  <c r="F345" i="29"/>
  <c r="E336" i="29"/>
  <c r="E71" i="39"/>
  <c r="E64" i="39"/>
  <c r="E356" i="29"/>
  <c r="F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F360" i="29"/>
  <c r="E360" i="29"/>
  <c r="E326" i="29"/>
  <c r="F326" i="29" s="1"/>
  <c r="E353" i="29"/>
  <c r="F353" i="29"/>
  <c r="E350" i="29"/>
  <c r="E341" i="29"/>
  <c r="E327" i="29"/>
  <c r="F327" i="29"/>
  <c r="E338" i="29"/>
  <c r="E335" i="29"/>
  <c r="E355" i="29"/>
  <c r="F355" i="29"/>
  <c r="E340" i="29"/>
  <c r="E329" i="29"/>
  <c r="E62" i="39"/>
  <c r="E352" i="29"/>
  <c r="O12" i="54"/>
  <c r="A13" i="54"/>
  <c r="E9" i="54"/>
  <c r="L9" i="54" s="1"/>
  <c r="M9" i="54" s="1"/>
  <c r="I10" i="54"/>
  <c r="H10" i="54"/>
  <c r="C11" i="54"/>
  <c r="D10" i="54"/>
  <c r="F65" i="39" l="1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156" i="11"/>
  <c r="I156" i="11"/>
  <c r="F364" i="29"/>
  <c r="F69" i="39"/>
  <c r="F72" i="39"/>
  <c r="F367" i="29"/>
  <c r="J152" i="11"/>
  <c r="K152" i="11" s="1"/>
  <c r="K154" i="11" s="1"/>
  <c r="K155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A14" i="54"/>
  <c r="O13" i="54"/>
  <c r="H11" i="54"/>
  <c r="I11" i="54"/>
  <c r="E10" i="54"/>
  <c r="D11" i="54"/>
  <c r="C12" i="54"/>
  <c r="F24" i="29" l="1"/>
  <c r="C26" i="29"/>
  <c r="B26" i="29" s="1"/>
  <c r="E26" i="29" s="1"/>
  <c r="F25" i="29"/>
  <c r="F26" i="29"/>
  <c r="C29" i="29"/>
  <c r="F29" i="29"/>
  <c r="C30" i="29"/>
  <c r="F30" i="29"/>
  <c r="C23" i="29"/>
  <c r="C27" i="29"/>
  <c r="F27" i="29"/>
  <c r="C28" i="29"/>
  <c r="F28" i="29"/>
  <c r="C25" i="29"/>
  <c r="C31" i="29"/>
  <c r="F31" i="29"/>
  <c r="F23" i="29"/>
  <c r="C24" i="29"/>
  <c r="C16" i="29"/>
  <c r="D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154" i="11"/>
  <c r="J155" i="11" s="1"/>
  <c r="K156" i="11"/>
  <c r="B15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C128" i="29"/>
  <c r="F149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56" i="29"/>
  <c r="C100" i="29"/>
  <c r="F135" i="29"/>
  <c r="F164" i="29"/>
  <c r="F105" i="29"/>
  <c r="C71" i="29"/>
  <c r="C103" i="29"/>
  <c r="C21" i="29"/>
  <c r="F54" i="29"/>
  <c r="C86" i="29"/>
  <c r="C66" i="29"/>
  <c r="F67" i="29"/>
  <c r="C133" i="29"/>
  <c r="C49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C161" i="29"/>
  <c r="C137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F141" i="29"/>
  <c r="F123" i="29"/>
  <c r="F160" i="29"/>
  <c r="C160" i="29"/>
  <c r="F93" i="29"/>
  <c r="F66" i="29"/>
  <c r="F47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39" i="29"/>
  <c r="C127" i="29"/>
  <c r="F130" i="29"/>
  <c r="F144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159" i="29"/>
  <c r="F142" i="29"/>
  <c r="F119" i="29"/>
  <c r="C124" i="29"/>
  <c r="C62" i="29"/>
  <c r="O14" i="54"/>
  <c r="A15" i="54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D26" i="29" l="1"/>
  <c r="G26" i="29"/>
  <c r="D31" i="29"/>
  <c r="B31" i="29"/>
  <c r="E31" i="29" s="1"/>
  <c r="G31" i="29"/>
  <c r="B30" i="29"/>
  <c r="E30" i="29" s="1"/>
  <c r="G30" i="29"/>
  <c r="D30" i="29"/>
  <c r="B24" i="29"/>
  <c r="E24" i="29" s="1"/>
  <c r="G24" i="29"/>
  <c r="D24" i="29"/>
  <c r="D25" i="29"/>
  <c r="B25" i="29"/>
  <c r="E25" i="29" s="1"/>
  <c r="G25" i="29"/>
  <c r="D27" i="29"/>
  <c r="B27" i="29"/>
  <c r="E27" i="29" s="1"/>
  <c r="G27" i="29"/>
  <c r="J26" i="29"/>
  <c r="H26" i="29"/>
  <c r="I26" i="29"/>
  <c r="B23" i="29"/>
  <c r="E23" i="29" s="1"/>
  <c r="D23" i="29"/>
  <c r="G23" i="29"/>
  <c r="D29" i="29"/>
  <c r="B29" i="29"/>
  <c r="E29" i="29" s="1"/>
  <c r="G29" i="29"/>
  <c r="B28" i="29"/>
  <c r="E28" i="29" s="1"/>
  <c r="G28" i="29"/>
  <c r="D28" i="29"/>
  <c r="G16" i="29"/>
  <c r="H16" i="29" s="1"/>
  <c r="K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F7" i="54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5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A16" i="54"/>
  <c r="O15" i="54"/>
  <c r="I13" i="54"/>
  <c r="H13" i="54"/>
  <c r="E7" i="54"/>
  <c r="L7" i="54" s="1"/>
  <c r="E12" i="54"/>
  <c r="C14" i="54"/>
  <c r="D13" i="54"/>
  <c r="K26" i="29" l="1"/>
  <c r="H23" i="29"/>
  <c r="K23" i="29" s="1"/>
  <c r="I23" i="29"/>
  <c r="J23" i="29"/>
  <c r="J28" i="29"/>
  <c r="H28" i="29"/>
  <c r="K28" i="29" s="1"/>
  <c r="I28" i="29"/>
  <c r="H29" i="29"/>
  <c r="I29" i="29"/>
  <c r="J29" i="29"/>
  <c r="H25" i="29"/>
  <c r="I25" i="29"/>
  <c r="J25" i="29"/>
  <c r="J30" i="29"/>
  <c r="H30" i="29"/>
  <c r="I30" i="29"/>
  <c r="H27" i="29"/>
  <c r="I27" i="29"/>
  <c r="J27" i="29"/>
  <c r="J24" i="29"/>
  <c r="H24" i="29"/>
  <c r="I24" i="29"/>
  <c r="H31" i="29"/>
  <c r="I31" i="29"/>
  <c r="J31" i="29"/>
  <c r="K35" i="39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H78" i="29"/>
  <c r="J78" i="29"/>
  <c r="I78" i="29"/>
  <c r="J106" i="29"/>
  <c r="H106" i="29"/>
  <c r="I106" i="29"/>
  <c r="O16" i="54"/>
  <c r="A17" i="54"/>
  <c r="M7" i="54"/>
  <c r="I14" i="54"/>
  <c r="H14" i="54"/>
  <c r="L12" i="54"/>
  <c r="M12" i="54" s="1"/>
  <c r="D14" i="54"/>
  <c r="C15" i="54"/>
  <c r="E13" i="54"/>
  <c r="L13" i="54" s="1"/>
  <c r="K31" i="29" l="1"/>
  <c r="K30" i="29"/>
  <c r="K24" i="29"/>
  <c r="K27" i="29"/>
  <c r="K29" i="29"/>
  <c r="K25" i="29"/>
  <c r="K17" i="39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159" i="29"/>
  <c r="K65" i="29"/>
  <c r="K156" i="29"/>
  <c r="K47" i="29"/>
  <c r="K129" i="29"/>
  <c r="K96" i="29"/>
  <c r="K44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155" i="29"/>
  <c r="K60" i="29"/>
  <c r="O17" i="54"/>
  <c r="A18" i="54"/>
  <c r="M13" i="54"/>
  <c r="H15" i="54"/>
  <c r="I15" i="54"/>
  <c r="C16" i="54"/>
  <c r="D15" i="54"/>
  <c r="E14" i="54"/>
  <c r="N13" i="54" l="1"/>
  <c r="P13" i="54" s="1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A19" i="54"/>
  <c r="O18" i="54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O19" i="54"/>
  <c r="A20" i="54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21" i="54" l="1"/>
  <c r="O20" i="54"/>
  <c r="L17" i="54"/>
  <c r="M17" i="54" s="1"/>
  <c r="I18" i="54"/>
  <c r="H18" i="54"/>
  <c r="J17" i="54"/>
  <c r="D18" i="54"/>
  <c r="C19" i="54"/>
  <c r="N16" i="54"/>
  <c r="S9" i="54"/>
  <c r="Q10" i="54"/>
  <c r="T9" i="54"/>
  <c r="A22" i="54" l="1"/>
  <c r="O21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3" i="54" l="1"/>
  <c r="O22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A24" i="54" l="1"/>
  <c r="O23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4" i="54" l="1"/>
  <c r="A25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5" i="54" l="1"/>
  <c r="A26" i="54"/>
  <c r="I23" i="54"/>
  <c r="H23" i="54"/>
  <c r="N21" i="54"/>
  <c r="P21" i="54" s="1"/>
  <c r="D23" i="54"/>
  <c r="C24" i="54"/>
  <c r="J22" i="54"/>
  <c r="E22" i="54"/>
  <c r="S14" i="54"/>
  <c r="Q15" i="54"/>
  <c r="T15" i="54" s="1"/>
  <c r="O26" i="54" l="1"/>
  <c r="A27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A28" i="54" l="1"/>
  <c r="O27" i="54"/>
  <c r="H25" i="54"/>
  <c r="I25" i="54"/>
  <c r="N23" i="54"/>
  <c r="P23" i="54" s="1"/>
  <c r="C26" i="54"/>
  <c r="D25" i="54"/>
  <c r="E24" i="54"/>
  <c r="J24" i="54"/>
  <c r="S16" i="54"/>
  <c r="Q17" i="54"/>
  <c r="T17" i="54" s="1"/>
  <c r="A29" i="54" l="1"/>
  <c r="O28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A30" i="54" l="1"/>
  <c r="O29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O30" i="54" l="1"/>
  <c r="A31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2" i="54" l="1"/>
  <c r="O32" i="54" s="1"/>
  <c r="O31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I30" i="54" l="1"/>
  <c r="H30" i="54"/>
  <c r="N28" i="54"/>
  <c r="P28" i="54" s="1"/>
  <c r="J29" i="54"/>
  <c r="E29" i="54"/>
  <c r="L29" i="54" s="1"/>
  <c r="D30" i="54"/>
  <c r="C31" i="54"/>
  <c r="S21" i="54"/>
  <c r="Q22" i="54"/>
  <c r="T22" i="54" s="1"/>
  <c r="I31" i="54" l="1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<sst xmlns="http://schemas.openxmlformats.org/spreadsheetml/2006/main" count="4904" uniqueCount="1663">
  <si>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</si>
  <si>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</si>
  <si>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</si>
  <si>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</si>
  <si>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</si>
  <si>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</si>
  <si>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</si>
  <si>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</si>
  <si>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</si>
  <si>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</si>
  <si>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</si>
  <si>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</si>
  <si>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</si>
  <si>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</si>
  <si>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</si>
  <si>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</si>
  <si>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</si>
  <si>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</si>
  <si>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</si>
  <si>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</si>
  <si>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</si>
  <si>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</si>
  <si>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</si>
  <si>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</si>
  <si>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</si>
  <si>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</si>
  <si>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</si>
  <si>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</si>
  <si>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</si>
  <si>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</si>
  <si>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</si>
  <si>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</si>
  <si>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</si>
  <si>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</si>
  <si>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</si>
  <si>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</si>
  <si>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</si>
  <si>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</si>
  <si>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</si>
  <si>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</si>
  <si>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</si>
  <si>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</si>
  <si>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</si>
  <si>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</si>
  <si>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</si>
  <si>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</si>
  <si>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</si>
  <si>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</si>
  <si>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</si>
  <si>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</si>
  <si>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</si>
  <si>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</si>
  <si>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</si>
  <si>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</si>
  <si>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</si>
  <si>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</si>
  <si>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</si>
  <si>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</si>
  <si>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</si>
  <si>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</si>
  <si>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</si>
  <si>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</si>
  <si>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</si>
  <si>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</si>
  <si>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</si>
  <si>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</si>
  <si>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</si>
  <si>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</si>
  <si>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</si>
  <si>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</si>
  <si>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</si>
  <si>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</si>
  <si>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</si>
  <si>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</si>
  <si>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</si>
  <si>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</si>
  <si>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</si>
  <si>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</si>
  <si>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</si>
  <si>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</si>
  <si>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</si>
  <si>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</si>
  <si>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</si>
  <si>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</si>
  <si>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</si>
  <si>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</si>
  <si>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</si>
  <si>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</si>
  <si>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</si>
  <si>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</si>
  <si>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</si>
  <si>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</si>
  <si>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</si>
  <si>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</si>
  <si>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</si>
  <si>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</si>
  <si>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</si>
  <si>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</si>
  <si>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</si>
  <si>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</si>
  <si>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</si>
  <si>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</si>
  <si>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</si>
  <si>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</si>
  <si>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</si>
  <si>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</si>
  <si>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</si>
  <si>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</si>
  <si>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</si>
  <si>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</si>
  <si>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</si>
  <si>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</si>
  <si>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</si>
  <si>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</si>
  <si>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</si>
  <si>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</si>
  <si>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</si>
  <si>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</si>
  <si>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</si>
  <si>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</si>
  <si>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</si>
  <si>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</si>
  <si>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</si>
  <si>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</si>
  <si>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</si>
  <si>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</si>
  <si>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</si>
  <si>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</si>
  <si>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</si>
  <si>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</si>
  <si>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</si>
  <si>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</si>
  <si>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</si>
  <si>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</si>
  <si>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</si>
  <si>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</si>
  <si>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</si>
  <si>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</si>
  <si>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</si>
  <si>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</si>
  <si>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</si>
  <si>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</si>
  <si>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</si>
  <si>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</si>
  <si>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</si>
  <si>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</si>
  <si>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</si>
  <si>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</si>
  <si>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</si>
  <si>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</si>
  <si>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</si>
  <si>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</si>
  <si>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</si>
  <si>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</si>
  <si>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</si>
  <si>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</si>
  <si>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</si>
  <si>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</si>
  <si>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</si>
  <si>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</si>
  <si>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</si>
  <si>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</si>
  <si>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</si>
  <si>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</si>
  <si>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</si>
  <si>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</si>
  <si>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</si>
  <si>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</si>
  <si>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</si>
  <si>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</si>
  <si>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</si>
  <si>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</si>
  <si>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</si>
  <si>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</si>
  <si>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</si>
  <si>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</si>
  <si>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</si>
  <si>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</si>
  <si>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</si>
  <si>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</si>
  <si>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</si>
  <si>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</si>
  <si>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</si>
  <si>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</si>
  <si>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</si>
  <si>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</si>
  <si>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</si>
  <si>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</si>
  <si>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</si>
  <si>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</si>
  <si>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</si>
  <si>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</si>
  <si>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</si>
  <si>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</si>
  <si>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</si>
  <si>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</si>
  <si>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</si>
  <si>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</si>
  <si>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</si>
  <si>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</si>
  <si>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</si>
  <si>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</si>
  <si>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</si>
  <si>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</si>
  <si>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</si>
  <si>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</si>
  <si>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</si>
  <si>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</si>
  <si>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</si>
  <si>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</si>
  <si>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</si>
  <si>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</si>
  <si>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</si>
  <si>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</si>
  <si>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</si>
  <si>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</si>
  <si>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</si>
  <si>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</si>
  <si>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</si>
  <si>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</si>
  <si>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</si>
  <si>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</si>
  <si>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</si>
  <si>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</si>
  <si>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</si>
  <si>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</si>
  <si>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</si>
  <si>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</si>
  <si>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</si>
  <si>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</si>
  <si>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</si>
  <si>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</si>
  <si>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</si>
  <si>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</si>
  <si>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</si>
  <si>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</si>
  <si>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</si>
  <si>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</si>
  <si>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</si>
  <si>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</si>
  <si>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</si>
  <si>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</si>
  <si>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</si>
  <si>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</si>
  <si>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</si>
  <si>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</si>
  <si>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</si>
  <si>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</si>
  <si>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</si>
  <si>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</si>
  <si>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</si>
  <si>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</si>
  <si>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</si>
  <si>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</si>
  <si>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</si>
  <si>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</si>
  <si>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</si>
  <si>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</si>
  <si>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</si>
  <si>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</si>
  <si>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</si>
  <si>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</si>
  <si>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</si>
  <si>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</si>
  <si>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</si>
  <si>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</si>
  <si>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</si>
  <si>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</si>
  <si>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</si>
  <si>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</si>
  <si>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</si>
  <si>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</si>
  <si>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</si>
  <si>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</si>
  <si>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</si>
  <si>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</si>
  <si>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</si>
  <si>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</si>
  <si>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</si>
  <si>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</si>
  <si>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</si>
  <si>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</si>
  <si>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</si>
  <si>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</si>
  <si>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</si>
  <si>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</si>
  <si>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</si>
  <si>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</si>
  <si>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</si>
  <si>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</si>
  <si>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</si>
  <si>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</si>
  <si>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</si>
  <si>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</si>
  <si>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</si>
  <si>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</si>
  <si>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</si>
  <si>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</si>
  <si>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</si>
  <si>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</si>
  <si>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</si>
  <si>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</si>
  <si>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</si>
  <si>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</si>
  <si>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</si>
  <si>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</si>
  <si>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</si>
  <si>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</si>
  <si>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</si>
  <si>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</si>
  <si>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</si>
  <si>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</si>
  <si>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</si>
  <si>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</si>
  <si>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</si>
  <si>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</si>
  <si>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</si>
  <si>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</si>
  <si>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</si>
  <si>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</si>
  <si>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</si>
  <si>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</si>
  <si>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</si>
  <si>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</si>
  <si>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</si>
  <si>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</si>
  <si>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</si>
  <si>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</si>
  <si>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</si>
  <si>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</si>
  <si>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</si>
  <si>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</si>
  <si>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</si>
  <si>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</si>
  <si>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</si>
  <si>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</si>
  <si>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</si>
  <si>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</si>
  <si>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</si>
  <si>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</si>
  <si>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</si>
  <si>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</si>
  <si>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</si>
  <si>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</si>
  <si>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</si>
  <si>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</si>
  <si>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</si>
  <si>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</si>
  <si>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</si>
  <si>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</si>
  <si>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</si>
  <si>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</si>
  <si>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</si>
  <si>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</si>
  <si>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</si>
  <si>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</si>
  <si>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</si>
  <si>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</si>
  <si>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</si>
  <si>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</si>
  <si>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</si>
  <si>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</si>
  <si>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</si>
  <si>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</si>
  <si>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</si>
  <si>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</si>
  <si>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</si>
  <si>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</si>
  <si>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</si>
  <si>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</si>
  <si>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</si>
  <si>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</si>
  <si>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</si>
  <si>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</si>
  <si>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</si>
  <si>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</si>
  <si>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</si>
  <si>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</si>
  <si>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</si>
  <si>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</si>
  <si>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</si>
  <si>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</si>
  <si>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</si>
  <si>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</si>
  <si>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</si>
  <si>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</si>
  <si>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</si>
  <si>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</si>
  <si>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</si>
  <si>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</si>
  <si>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</si>
  <si>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</si>
  <si>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</si>
  <si>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</si>
  <si>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</si>
  <si>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</si>
  <si>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</si>
  <si>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</si>
  <si>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</si>
  <si>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</si>
  <si>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</si>
  <si>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</si>
  <si>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</si>
  <si>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</si>
  <si>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</si>
  <si>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</si>
  <si>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</si>
  <si>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</si>
  <si>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</si>
  <si>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</si>
  <si>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</si>
  <si>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</si>
  <si>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</si>
  <si>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</si>
  <si>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</si>
  <si>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</si>
  <si>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</si>
  <si>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</si>
  <si>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</si>
  <si>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</si>
  <si>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</si>
  <si>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</si>
  <si>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</si>
  <si>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</si>
  <si>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</si>
  <si>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</si>
  <si>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</si>
  <si>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</si>
  <si>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</si>
  <si>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</si>
  <si>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</si>
  <si>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</si>
  <si>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</si>
  <si>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</si>
  <si>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</si>
  <si>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</si>
  <si>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</si>
  <si>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</si>
  <si>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</si>
  <si>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</si>
  <si>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</si>
  <si>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</si>
  <si>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</si>
  <si>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</si>
  <si>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</si>
  <si>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</si>
  <si>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</si>
  <si>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</si>
  <si>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</si>
  <si>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</si>
  <si>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</si>
  <si>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</si>
  <si>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</si>
  <si>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</si>
  <si>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</si>
  <si>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</si>
  <si>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</si>
  <si>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</si>
  <si>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</si>
  <si>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</si>
  <si>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</si>
  <si>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</si>
  <si>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</si>
  <si>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</si>
  <si>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</si>
  <si>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</si>
  <si>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</si>
  <si>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</si>
  <si>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</si>
  <si>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</si>
  <si>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</si>
  <si>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</si>
  <si>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</si>
  <si>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</si>
  <si>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</si>
  <si>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</si>
  <si>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</si>
  <si>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</si>
  <si>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</si>
  <si>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</si>
  <si>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</si>
  <si>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</si>
  <si>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</si>
  <si>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</si>
  <si>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</si>
  <si>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</si>
  <si>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</si>
  <si>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</si>
  <si>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</si>
  <si>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</si>
  <si>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</si>
  <si>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</si>
  <si>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</si>
  <si>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</si>
  <si>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</si>
  <si>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</si>
  <si>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</si>
  <si>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</si>
  <si>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</si>
  <si>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</si>
  <si>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</si>
  <si>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</si>
  <si>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</si>
  <si>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</si>
  <si>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</si>
  <si>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</si>
  <si>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</si>
  <si>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</si>
  <si>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</si>
  <si>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</si>
  <si>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</si>
  <si>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</si>
  <si>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</si>
  <si>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</si>
  <si>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</si>
  <si>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</si>
  <si>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</si>
  <si>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</si>
  <si>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</si>
  <si>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</si>
  <si>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</si>
  <si>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</si>
  <si>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</si>
  <si>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</si>
  <si>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</si>
  <si>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</si>
  <si>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</si>
  <si>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</si>
  <si>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</si>
  <si>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</si>
  <si>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</si>
  <si>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</si>
  <si>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</si>
  <si>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</si>
  <si>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</si>
  <si>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</si>
  <si>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</si>
  <si>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</si>
  <si>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</si>
  <si>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</si>
  <si>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</si>
  <si>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</si>
  <si>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</si>
  <si>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</si>
  <si>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</si>
  <si>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</si>
  <si>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</si>
  <si>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</si>
  <si>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</si>
  <si>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</si>
  <si>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</si>
  <si>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</si>
  <si>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</si>
  <si>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</si>
  <si>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</si>
  <si>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</si>
  <si>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</si>
  <si>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</si>
  <si>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</si>
  <si>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</si>
  <si>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</si>
  <si>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</si>
  <si>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</si>
  <si>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</si>
  <si>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</si>
  <si>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</si>
  <si>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</si>
  <si>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</si>
  <si>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</si>
  <si>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</si>
  <si>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</si>
  <si>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</si>
  <si>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</si>
  <si>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</si>
  <si>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</si>
  <si>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</si>
  <si>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</si>
  <si>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</si>
  <si>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</si>
  <si>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</si>
  <si>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</si>
  <si>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</si>
  <si>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</si>
  <si>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</si>
  <si>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</si>
  <si>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</si>
  <si>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</si>
  <si>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</si>
  <si>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</si>
  <si>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</si>
  <si>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</si>
  <si>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</si>
  <si>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</si>
  <si>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</si>
  <si>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</si>
  <si>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</si>
  <si>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</si>
  <si>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</si>
  <si>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</si>
  <si>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</si>
  <si>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</si>
  <si>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</si>
  <si>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</si>
  <si>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</si>
  <si>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</si>
  <si>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</si>
  <si>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</si>
  <si>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</si>
  <si>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</si>
  <si>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</si>
  <si>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</si>
  <si>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</si>
  <si>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</si>
  <si>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</si>
  <si>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</si>
  <si>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</si>
  <si>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</si>
  <si>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</si>
  <si>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</si>
  <si>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</si>
  <si>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</si>
  <si>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</si>
  <si>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</si>
  <si>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</si>
  <si>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</si>
  <si>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</si>
  <si>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</si>
  <si>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</si>
  <si>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</si>
  <si>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</si>
  <si>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</si>
  <si>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</si>
  <si>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</si>
  <si>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</si>
  <si>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</si>
  <si>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</si>
  <si>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</si>
  <si>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</si>
  <si>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</si>
  <si>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</si>
  <si>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</si>
  <si>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</si>
  <si>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</si>
  <si>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</si>
  <si>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</si>
  <si>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</si>
  <si>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</si>
  <si>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</si>
  <si>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</si>
  <si>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</si>
  <si>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</si>
  <si>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</si>
  <si>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</si>
  <si>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</si>
  <si>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</si>
  <si>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</si>
  <si>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</si>
  <si>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</si>
  <si>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</si>
  <si>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</si>
  <si>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</si>
  <si>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</si>
  <si>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</si>
  <si>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</si>
  <si>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</si>
  <si>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</si>
  <si>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</si>
  <si>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</si>
  <si>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</si>
  <si>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</si>
  <si>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</si>
  <si>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</si>
  <si>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</si>
  <si>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</si>
  <si>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</si>
  <si>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</si>
  <si>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</si>
  <si>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</si>
  <si>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</si>
  <si>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</si>
  <si>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</si>
  <si>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</si>
  <si>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</si>
  <si>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</si>
  <si>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</si>
  <si>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</si>
  <si>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</si>
  <si>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</si>
  <si>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</si>
  <si>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</si>
  <si>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</si>
  <si>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</si>
  <si>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</si>
  <si>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</si>
  <si>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</si>
  <si>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</si>
  <si>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</si>
  <si>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</si>
  <si>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</si>
  <si>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</si>
  <si>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</si>
  <si>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</si>
  <si>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</si>
  <si>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</si>
  <si>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</si>
  <si>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</si>
  <si>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</si>
  <si>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</si>
  <si>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</si>
  <si>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</si>
  <si>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</si>
  <si>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</si>
  <si>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</si>
  <si>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</si>
  <si>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</si>
  <si>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</si>
  <si>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</si>
  <si>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</si>
  <si>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</si>
  <si>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</si>
  <si>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</si>
  <si>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</si>
  <si>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</si>
  <si>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</si>
  <si>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</si>
  <si>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</si>
  <si>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</si>
  <si>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</si>
  <si>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</si>
  <si>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</si>
  <si>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</si>
  <si>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</si>
  <si>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</si>
  <si>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</si>
  <si>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</si>
  <si>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</si>
  <si>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</si>
  <si>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</si>
  <si>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</si>
  <si>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</si>
  <si>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</si>
  <si>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</si>
  <si>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</si>
  <si>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</si>
  <si>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</si>
  <si>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</si>
  <si>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</si>
  <si>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</si>
  <si>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</si>
  <si>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</si>
  <si>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</si>
  <si>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</si>
  <si>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</si>
  <si>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</si>
  <si>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</si>
  <si>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</si>
  <si>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</si>
  <si>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</si>
  <si>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</si>
  <si>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</si>
  <si>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</si>
  <si>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</si>
  <si>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</si>
  <si>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</si>
  <si>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</si>
  <si>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</si>
  <si>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</si>
  <si>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</si>
  <si>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</si>
  <si>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</si>
  <si>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</si>
  <si>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</si>
  <si>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</si>
  <si>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</si>
  <si>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</si>
  <si>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</si>
  <si>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</si>
  <si>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</si>
  <si>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</si>
  <si>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</si>
  <si>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</si>
  <si>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</si>
  <si>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</si>
  <si>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</si>
  <si>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</si>
  <si>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</si>
  <si>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</si>
  <si>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</si>
  <si>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</si>
  <si>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</si>
  <si>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</si>
  <si>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</si>
  <si>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</si>
  <si>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</si>
  <si>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</si>
  <si>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</si>
  <si>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</si>
  <si>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</si>
  <si>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</si>
  <si>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</si>
  <si>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</si>
  <si>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</si>
  <si>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</si>
  <si>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</si>
  <si>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</si>
  <si>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</si>
  <si>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</si>
  <si>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</si>
  <si>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</si>
  <si>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</si>
  <si>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</si>
  <si>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</si>
  <si>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</si>
  <si>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</si>
  <si>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</si>
  <si>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</si>
  <si>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</si>
  <si>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</si>
  <si>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</si>
  <si>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</si>
  <si>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</si>
  <si>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</si>
  <si>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</si>
  <si>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</si>
  <si>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</si>
  <si>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</si>
  <si>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</si>
  <si>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</si>
  <si>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</si>
  <si>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</si>
  <si>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</si>
  <si>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</si>
  <si>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</si>
  <si>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</si>
  <si>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</si>
  <si>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</si>
  <si>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</si>
  <si>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</si>
  <si>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</si>
  <si>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</si>
  <si>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</si>
  <si>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</si>
  <si>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</si>
  <si>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</si>
  <si>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</si>
  <si>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</si>
  <si>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</si>
  <si>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</si>
  <si>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</si>
  <si>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</si>
  <si>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</si>
  <si>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</si>
  <si>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</si>
  <si>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</si>
  <si>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</si>
  <si>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</si>
  <si>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</si>
  <si>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</si>
  <si>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</si>
  <si>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</si>
  <si>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</si>
  <si>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</si>
  <si>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</si>
  <si>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</si>
  <si>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</si>
  <si>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</si>
  <si>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</si>
  <si>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</si>
  <si>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</si>
  <si>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</si>
  <si>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</si>
  <si>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</si>
  <si>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</si>
  <si>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</si>
  <si>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</si>
  <si>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</si>
  <si>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</si>
  <si>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</si>
  <si>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</si>
  <si>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</si>
  <si>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</si>
  <si>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</si>
  <si>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</si>
  <si>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</si>
  <si>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</si>
  <si>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</si>
  <si>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</si>
  <si>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</si>
  <si>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</si>
  <si>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</si>
  <si>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</si>
  <si>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</si>
  <si>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</si>
  <si>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</si>
  <si>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</si>
  <si>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</si>
  <si>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</si>
  <si>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</si>
  <si>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</si>
  <si>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</si>
  <si>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</si>
  <si>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</si>
  <si>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</si>
  <si>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</si>
  <si>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</si>
  <si>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</si>
  <si>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</si>
  <si>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</si>
  <si>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</si>
  <si>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</si>
  <si>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</si>
  <si>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</si>
  <si>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</si>
  <si>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</si>
  <si>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</si>
  <si>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</si>
  <si>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</si>
  <si>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</si>
  <si>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</si>
  <si>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</si>
  <si>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</si>
  <si>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</si>
  <si>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</si>
  <si>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</si>
  <si>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</si>
  <si>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</si>
  <si>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</si>
  <si>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</si>
  <si>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</si>
  <si>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</si>
  <si>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</si>
  <si>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</si>
  <si>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</si>
  <si>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</si>
  <si>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</si>
  <si>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</si>
  <si>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</si>
  <si>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</si>
  <si>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</si>
  <si>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</si>
  <si>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</si>
  <si>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</si>
  <si>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</si>
  <si>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</si>
  <si>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</si>
  <si>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</si>
  <si>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</si>
  <si>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</si>
  <si>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</si>
  <si>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</si>
  <si>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</si>
  <si>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</si>
  <si>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</si>
  <si>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</si>
  <si>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</si>
  <si>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</si>
  <si>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</si>
  <si>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</si>
  <si>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</si>
  <si>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</si>
  <si>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</si>
  <si>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</si>
  <si>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</si>
  <si>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</si>
  <si>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</si>
  <si>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</si>
  <si>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</si>
  <si>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</si>
  <si>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</si>
  <si>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</si>
  <si>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</si>
  <si>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</si>
  <si>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</si>
  <si>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</si>
  <si>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</si>
  <si>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</si>
  <si>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</si>
  <si>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</si>
  <si>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</si>
  <si>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</si>
  <si>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</si>
  <si>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</si>
  <si>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</si>
  <si>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</si>
  <si>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</si>
  <si>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</si>
  <si>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</si>
  <si>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</si>
  <si>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</si>
  <si>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</si>
  <si>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</si>
  <si>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</si>
  <si>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</si>
  <si>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</si>
  <si>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</si>
  <si>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</si>
  <si>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</si>
  <si>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</si>
  <si>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</si>
  <si>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</si>
  <si>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</si>
  <si>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</si>
  <si>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</si>
  <si>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</si>
  <si>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</si>
  <si>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</si>
  <si>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</si>
  <si>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</si>
  <si>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</si>
  <si>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</si>
  <si>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</si>
  <si>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</si>
  <si>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</si>
  <si>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</si>
  <si>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</si>
  <si>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</si>
  <si>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</si>
  <si>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</si>
  <si>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</si>
  <si>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</si>
  <si>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</si>
  <si>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</si>
  <si>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</si>
  <si>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</si>
  <si>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</si>
  <si>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</si>
  <si>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</si>
  <si>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</si>
  <si>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</si>
  <si>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</si>
  <si>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</si>
  <si>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</si>
  <si>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</si>
  <si>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</si>
  <si>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</si>
  <si>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</si>
  <si>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</si>
  <si>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</si>
  <si>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</si>
  <si>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</si>
  <si>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</si>
  <si>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</si>
  <si>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</si>
  <si>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</si>
  <si>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</si>
  <si>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</si>
  <si>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</si>
  <si>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</si>
  <si>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</si>
  <si>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</si>
  <si>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</si>
  <si>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</si>
  <si>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</si>
  <si>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</si>
  <si>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</si>
  <si>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</si>
  <si>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</si>
  <si>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</si>
  <si>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</si>
  <si>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</si>
  <si>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</si>
  <si>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</si>
  <si>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</si>
  <si>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</si>
  <si>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</si>
  <si>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</si>
  <si>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</si>
  <si>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</si>
  <si>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</si>
  <si>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</si>
  <si>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</si>
  <si>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</si>
  <si>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</si>
  <si>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</si>
  <si>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</si>
  <si>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</si>
  <si>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</si>
  <si>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</si>
  <si>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</si>
  <si>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</si>
  <si>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</si>
  <si>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</si>
  <si>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</si>
  <si>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</si>
  <si>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</si>
  <si>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</si>
  <si>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</si>
  <si>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</si>
  <si>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</si>
  <si>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</si>
  <si>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</si>
  <si>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</si>
  <si>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</si>
  <si>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</si>
  <si>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</si>
  <si>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</si>
  <si>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</si>
  <si>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</si>
  <si>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</si>
  <si>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</si>
  <si>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</si>
  <si>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</si>
  <si>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</si>
  <si>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</si>
  <si>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</si>
  <si>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</si>
  <si>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</si>
  <si>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</si>
  <si>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</si>
  <si>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</si>
  <si>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</si>
  <si>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</si>
  <si>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</si>
  <si>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</si>
  <si>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</si>
  <si>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</si>
  <si>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</si>
  <si>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</si>
  <si>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</si>
  <si>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</si>
  <si>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</si>
  <si>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</si>
  <si>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</si>
  <si>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</si>
  <si>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</si>
  <si>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</si>
  <si>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</si>
  <si>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</si>
  <si>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</si>
  <si>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</si>
  <si>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</si>
  <si>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</si>
  <si>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</si>
  <si>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</si>
  <si>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</si>
  <si>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</si>
  <si>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</si>
  <si>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</si>
  <si>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</si>
  <si>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</si>
  <si>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</si>
  <si>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</si>
  <si>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</si>
  <si>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</si>
  <si>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</si>
  <si>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</si>
  <si>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</si>
  <si>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</si>
  <si>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</si>
  <si>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</si>
  <si>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</si>
  <si>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</si>
  <si>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</si>
  <si>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</si>
  <si>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</si>
  <si>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</si>
  <si>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</si>
  <si>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</si>
  <si>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</si>
  <si>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</si>
  <si>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</si>
  <si>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</si>
  <si>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</si>
  <si>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</si>
  <si>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</si>
  <si>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</si>
  <si>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</si>
  <si>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</si>
  <si>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</si>
  <si>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</si>
  <si>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</si>
  <si>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</si>
  <si>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</si>
  <si>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</si>
  <si>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</si>
  <si>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</si>
  <si>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</si>
  <si>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</si>
  <si>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</si>
  <si>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</si>
  <si>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</si>
  <si>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</si>
  <si>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</si>
  <si>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</si>
  <si>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</si>
  <si>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</si>
  <si>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</si>
  <si>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</si>
  <si>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</si>
  <si>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</si>
  <si>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</si>
  <si>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</si>
  <si>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</si>
  <si>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</si>
  <si>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</si>
  <si>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</si>
  <si>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</si>
  <si>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</si>
  <si>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</si>
  <si>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</si>
  <si>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</si>
  <si>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</si>
  <si>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</si>
  <si>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</si>
  <si>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</si>
  <si>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</si>
  <si>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</si>
  <si>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</si>
  <si>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</si>
  <si>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</si>
  <si>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</si>
  <si>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</si>
  <si>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</si>
  <si>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</si>
  <si>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</si>
  <si>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</si>
  <si>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</si>
  <si>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</si>
  <si>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</si>
  <si>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</si>
  <si>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</si>
  <si>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</si>
  <si>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</si>
  <si>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</si>
  <si>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</si>
  <si>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</si>
  <si>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</si>
  <si>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</si>
  <si>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</si>
  <si>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</si>
  <si>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</si>
  <si>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</si>
  <si>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</si>
  <si>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</si>
  <si>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</si>
  <si>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</si>
  <si>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</si>
  <si>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</si>
  <si>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</si>
  <si>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</si>
  <si>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</si>
  <si>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</si>
  <si>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</si>
  <si>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</si>
  <si>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</si>
  <si>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</si>
  <si>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</si>
  <si>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</si>
  <si>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</si>
  <si>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</si>
  <si>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</si>
  <si>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</si>
  <si>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</si>
  <si>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</si>
  <si>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</si>
  <si>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</si>
  <si>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</si>
  <si>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</si>
  <si>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</si>
  <si>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</si>
  <si>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</si>
  <si>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</si>
  <si>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</si>
  <si>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</si>
  <si>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</si>
  <si>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</si>
  <si>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</si>
  <si>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</si>
  <si>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</si>
  <si>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</si>
  <si>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</si>
  <si>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</si>
  <si>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</si>
  <si>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</si>
  <si>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</si>
  <si>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</si>
  <si>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</si>
  <si>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</si>
  <si>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</si>
  <si>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</si>
  <si>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</si>
  <si>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</si>
  <si>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</si>
  <si>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</si>
  <si>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</si>
  <si>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</si>
  <si>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</si>
  <si>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</si>
  <si>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</si>
  <si>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</si>
  <si>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</si>
  <si>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</si>
  <si>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</si>
  <si>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</si>
  <si>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</si>
  <si>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</si>
  <si>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</si>
  <si>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</si>
  <si>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</si>
  <si>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</si>
  <si>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</si>
  <si>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</si>
  <si>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</si>
  <si>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</si>
  <si>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</si>
  <si>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</si>
  <si>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</si>
  <si>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</si>
  <si>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</si>
  <si>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</si>
  <si>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</si>
  <si>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</si>
  <si>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</si>
  <si>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</si>
  <si>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</si>
  <si>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</si>
  <si>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</si>
  <si>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</si>
  <si>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</si>
  <si>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</si>
  <si>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</si>
  <si>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</si>
  <si>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</si>
  <si>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</si>
  <si>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</si>
  <si>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</si>
  <si>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</si>
  <si>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</si>
  <si>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</si>
  <si>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</si>
  <si>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</si>
  <si>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</si>
  <si>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</si>
  <si>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</si>
  <si>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</si>
  <si>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</si>
  <si>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</si>
  <si>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</si>
  <si>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</si>
  <si>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</si>
  <si>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</si>
  <si>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</si>
  <si>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</si>
  <si>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</si>
  <si>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</si>
  <si>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</si>
  <si>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</si>
  <si>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</si>
  <si>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</si>
  <si>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</si>
  <si>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</si>
  <si>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</si>
  <si>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</si>
  <si>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</si>
  <si>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</si>
  <si>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</si>
  <si>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</si>
  <si>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</si>
  <si>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</si>
  <si>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</si>
  <si>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</si>
  <si>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</si>
  <si>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</si>
  <si>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</si>
  <si>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</si>
  <si>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</si>
  <si>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</si>
  <si>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</si>
  <si>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</si>
  <si>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</si>
  <si>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</si>
  <si>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</si>
  <si>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</si>
  <si>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</si>
  <si>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</si>
  <si>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</si>
  <si>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</si>
  <si>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</si>
  <si>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</si>
  <si>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</si>
  <si>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</si>
  <si>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</si>
  <si>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</si>
  <si>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</si>
  <si>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</si>
  <si>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</si>
  <si>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</si>
  <si>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</si>
  <si>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</si>
  <si>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</si>
  <si>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</si>
  <si>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</si>
  <si>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</si>
  <si>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</si>
  <si>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</si>
  <si>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</si>
  <si>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</si>
  <si>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</si>
  <si>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</si>
  <si>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</si>
  <si>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</si>
  <si>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</si>
  <si>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</si>
  <si>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</si>
  <si>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</si>
  <si>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</si>
  <si>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</si>
  <si>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</si>
  <si>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</si>
  <si>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</si>
  <si>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</si>
  <si>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</si>
  <si>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</si>
  <si>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</si>
  <si>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</si>
  <si>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</si>
  <si>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</si>
  <si>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</si>
  <si>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</si>
  <si>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</si>
  <si>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</si>
  <si>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</si>
  <si>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</si>
  <si>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</si>
  <si>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</si>
  <si>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</si>
  <si>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</si>
  <si>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</si>
  <si>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</si>
  <si>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</si>
  <si>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</si>
  <si>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</si>
  <si>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</si>
  <si>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</si>
  <si>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</si>
  <si>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</si>
  <si>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</si>
  <si>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</si>
  <si>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</si>
  <si>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</si>
  <si>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</si>
  <si>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</si>
  <si>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</si>
  <si>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</si>
  <si>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</si>
  <si>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</si>
  <si>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</si>
  <si>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</si>
  <si>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</si>
  <si>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</si>
  <si>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</si>
  <si>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</si>
  <si>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</si>
  <si>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</si>
  <si>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</si>
  <si>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</si>
  <si>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</si>
  <si>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</si>
  <si>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</si>
  <si>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II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</si>
  <si>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</si>
  <si>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</si>
  <si>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</si>
  <si>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</si>
  <si>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</si>
  <si>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</si>
  <si>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</si>
  <si>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</si>
  <si>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</si>
  <si>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</si>
  <si>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</si>
  <si>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</si>
  <si>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</si>
  <si>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</si>
  <si>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</si>
  <si>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</si>
  <si>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</si>
  <si>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</si>
  <si>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</si>
  <si>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</si>
  <si>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</si>
  <si>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</si>
  <si>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</si>
  <si>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</si>
  <si>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</si>
  <si>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</si>
  <si>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</si>
  <si>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</si>
  <si>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</si>
  <si>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</si>
  <si>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</si>
  <si>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</si>
  <si>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</si>
  <si>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</si>
  <si>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</si>
  <si>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</si>
  <si>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</si>
  <si>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</si>
  <si>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</si>
  <si>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</si>
  <si>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</si>
  <si>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</si>
  <si>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</si>
  <si>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</si>
  <si>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</si>
  <si>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</si>
  <si>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</si>
  <si>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</si>
  <si>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</si>
  <si>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</si>
  <si>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</si>
  <si>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</si>
  <si>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</si>
  <si>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</si>
  <si>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</si>
  <si>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</si>
  <si>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</si>
  <si>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</si>
  <si>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</si>
  <si>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</si>
  <si>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</si>
  <si>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</si>
  <si>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</si>
  <si>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</si>
  <si>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</si>
  <si>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</si>
  <si>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</si>
  <si>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</si>
  <si>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</si>
  <si>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</si>
  <si>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</si>
  <si>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</si>
  <si>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</si>
  <si>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</si>
  <si>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</si>
  <si>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</si>
  <si>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</si>
  <si>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</si>
  <si>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</si>
  <si>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</si>
  <si>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</si>
  <si>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</si>
  <si>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</si>
  <si>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</si>
  <si>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</si>
  <si>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</si>
  <si>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</si>
  <si>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</si>
  <si>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</si>
  <si>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</si>
  <si>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</si>
  <si>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</si>
  <si>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</si>
  <si>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</si>
  <si>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</si>
  <si>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</si>
  <si>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</si>
  <si>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</si>
  <si>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</si>
  <si>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</si>
  <si>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</si>
  <si>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</si>
  <si>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</si>
  <si>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</si>
  <si>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</si>
  <si>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</si>
  <si>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</si>
  <si>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</si>
  <si>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</si>
  <si>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</si>
  <si>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</si>
  <si>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</si>
  <si>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</si>
  <si>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</si>
  <si>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</si>
  <si>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</si>
  <si>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</si>
  <si>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</si>
  <si>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</si>
  <si>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</si>
  <si>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</si>
  <si>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</si>
  <si>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</si>
  <si>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</si>
  <si>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</si>
  <si>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</si>
  <si>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</si>
  <si>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</si>
  <si>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</si>
  <si>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</si>
  <si>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</si>
  <si>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</si>
  <si>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</si>
  <si>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</si>
  <si>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</si>
  <si>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</si>
  <si>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</si>
  <si>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</si>
  <si>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</si>
  <si>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</si>
  <si>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</si>
  <si>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</si>
  <si>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</si>
  <si>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</si>
  <si>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</si>
  <si>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</si>
  <si>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</si>
  <si>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</si>
  <si>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</si>
  <si>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</si>
  <si>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</si>
  <si>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</si>
  <si>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</si>
  <si>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</si>
  <si>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</si>
  <si>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</si>
  <si>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</si>
  <si>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</si>
  <si>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</si>
  <si>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</si>
  <si>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</si>
  <si>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</si>
  <si>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</si>
  <si>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CJ6-T</t>
  </si>
  <si>
    <t>MJ6-T</t>
  </si>
  <si>
    <t>CM2-12A</t>
  </si>
  <si>
    <t>CM2-12</t>
  </si>
  <si>
    <t>Keterangan Tambahan :</t>
  </si>
  <si>
    <t>Spv. Ren Sis</t>
  </si>
  <si>
    <t>Man. Perencanaan</t>
  </si>
  <si>
    <t>KOORDINAT LOKASI :</t>
  </si>
  <si>
    <t>PEKERJAAN PEMASANGAN TIANG</t>
  </si>
  <si>
    <t>PEKERJAAN PEMASANGAN KONSTRUKSI</t>
  </si>
  <si>
    <t>C9-200 dAN</t>
  </si>
  <si>
    <t>III</t>
  </si>
  <si>
    <t>PEKERJAAN PEMASANGAN KONDUKTOR</t>
  </si>
  <si>
    <t>IV</t>
  </si>
  <si>
    <t>PEMASANGAN APP</t>
  </si>
  <si>
    <t>Daya 1.300 VA/2200 VA</t>
  </si>
  <si>
    <t>R1</t>
  </si>
  <si>
    <t>CA5-1</t>
  </si>
  <si>
    <t>CM2-11M</t>
  </si>
  <si>
    <t>Trafo 1 Fasa CSP 50 KVA (G105, G106, G136)</t>
  </si>
  <si>
    <t xml:space="preserve">Jumper Wire : </t>
  </si>
  <si>
    <t>Stainless Steel Strap 20 X 0.7 mm</t>
  </si>
  <si>
    <t>MANGUNJIWAN - KAB. DEMAK</t>
  </si>
  <si>
    <t>SINGLE LINE DIAGRAM LOKASI PERUMAHAN MANGUNJIWAN 5</t>
  </si>
  <si>
    <t>C12-350 dAN</t>
  </si>
  <si>
    <t>CE1-2</t>
  </si>
  <si>
    <t>F1-2</t>
  </si>
  <si>
    <t>LVTC 2X70+50</t>
  </si>
  <si>
    <t xml:space="preserve">  6°53'41.7"S 110°37'13.2"E</t>
  </si>
  <si>
    <t>CA5</t>
  </si>
  <si>
    <t>CE1-3</t>
  </si>
  <si>
    <t>CG-106</t>
  </si>
  <si>
    <t>F1-3</t>
  </si>
  <si>
    <t>Isolator Tarik ( Porcelain ) 20 KV + Primary Dead End Clamp 70-150 mm²</t>
  </si>
  <si>
    <t>CJ5-T</t>
  </si>
  <si>
    <t>A3C 70 mm2</t>
  </si>
  <si>
    <t>PUTRA MANGUNJIWAN ASRI VI</t>
  </si>
  <si>
    <t>Demak, 7 Desember 2023</t>
  </si>
  <si>
    <t>PETA LOKASI PERUMAHAN MANGUNJIWAN VI</t>
  </si>
  <si>
    <t>PUTRA MANGUNJIWAN ASRI VI DMK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</si>
</sst>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64"/>
      </bottom>
      <diagonal/>
    </border>
    <border>
      <left style="thin">
        <color indexed="10"/>
      </left>
      <right style="thin">
        <color theme="1"/>
      </right>
      <top style="thin">
        <color indexed="10"/>
      </top>
      <bottom style="thin">
        <color indexed="10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81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4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1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1" fillId="0" borderId="0"/>
    <xf numFmtId="0" fontId="111" fillId="0" borderId="0"/>
    <xf numFmtId="0" fontId="111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69" fillId="0" borderId="0"/>
    <xf numFmtId="0" fontId="36" fillId="0" borderId="0"/>
    <xf numFmtId="0" fontId="111" fillId="0" borderId="0"/>
    <xf numFmtId="0" fontId="36" fillId="0" borderId="0"/>
    <xf numFmtId="0" fontId="111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1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1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111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1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1" fillId="0" borderId="0"/>
    <xf numFmtId="0" fontId="11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1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1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1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111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1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1" fillId="0" borderId="0"/>
    <xf numFmtId="0" fontId="36" fillId="0" borderId="0"/>
    <xf numFmtId="0" fontId="22" fillId="0" borderId="0"/>
    <xf numFmtId="0" fontId="36" fillId="0" borderId="0"/>
    <xf numFmtId="0" fontId="111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1" fillId="0" borderId="0"/>
    <xf numFmtId="0" fontId="111" fillId="0" borderId="0"/>
    <xf numFmtId="0" fontId="111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1" fillId="0" borderId="0"/>
    <xf numFmtId="0" fontId="112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1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36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6" fillId="0" borderId="0"/>
    <xf numFmtId="0" fontId="36" fillId="0" borderId="0"/>
    <xf numFmtId="0" fontId="22" fillId="0" borderId="0"/>
    <xf numFmtId="0" fontId="113" fillId="0" borderId="0"/>
    <xf numFmtId="0" fontId="22" fillId="0" borderId="0"/>
    <xf numFmtId="0" fontId="22" fillId="0" borderId="0"/>
    <xf numFmtId="0" fontId="23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3" fillId="0" borderId="0"/>
    <xf numFmtId="0" fontId="112" fillId="0" borderId="0"/>
    <xf numFmtId="0" fontId="6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2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1" fillId="0" borderId="0"/>
    <xf numFmtId="0" fontId="111" fillId="0" borderId="0"/>
    <xf numFmtId="0" fontId="36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58" fillId="0" borderId="0" applyFont="0" applyFill="0" applyBorder="0" applyAlignment="0" applyProtection="0"/>
    <xf numFmtId="41" fontId="170" fillId="0" borderId="0" applyFont="0" applyFill="0" applyBorder="0" applyAlignment="0" applyProtection="0"/>
    <xf numFmtId="0" fontId="22" fillId="0" borderId="0"/>
    <xf numFmtId="0" fontId="6" fillId="0" borderId="0"/>
    <xf numFmtId="41" fontId="22" fillId="0" borderId="0" applyFont="0" applyFill="0" applyBorder="0" applyAlignment="0" applyProtection="0"/>
    <xf numFmtId="165" fontId="11" fillId="0" borderId="0" applyFont="0" applyFill="0" applyBorder="0" applyAlignment="0" applyProtection="0"/>
  </cellStyleXfs>
  <cellXfs count="724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1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6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6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43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2" fillId="0" borderId="0" xfId="1538" applyFont="1"/>
    <xf numFmtId="0" fontId="126" fillId="0" borderId="0" xfId="1538" applyFont="1"/>
    <xf numFmtId="0" fontId="53" fillId="0" borderId="43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2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2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2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53" fillId="0" borderId="21" xfId="1615" applyFont="1" applyBorder="1" applyAlignment="1">
      <alignment horizontal="center" vertic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48" fillId="0" borderId="20" xfId="1653" applyFont="1" applyBorder="1" applyAlignment="1">
      <alignment horizontal="center" vertical="center"/>
    </xf>
    <xf numFmtId="0" fontId="148" fillId="0" borderId="21" xfId="1652" applyFont="1" applyBorder="1" applyAlignment="1">
      <alignment horizontal="center" vertical="center"/>
    </xf>
    <xf numFmtId="0" fontId="148" fillId="33" borderId="21" xfId="1653" applyFont="1" applyFill="1" applyBorder="1" applyAlignment="1">
      <alignment vertical="center" wrapText="1"/>
    </xf>
    <xf numFmtId="0" fontId="148" fillId="0" borderId="21" xfId="1652" applyFont="1" applyBorder="1" applyAlignment="1">
      <alignment horizontal="left" vertical="center" wrapText="1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7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3" fontId="146" fillId="0" borderId="39" xfId="1614" applyNumberFormat="1" applyFont="1" applyBorder="1" applyAlignment="1">
      <alignment horizontal="center" vertical="center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45" fillId="0" borderId="0" xfId="1614" applyFont="1" applyAlignment="1">
      <alignment horizontal="center" vertic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66" xfId="2670" applyFont="1" applyFill="1" applyBorder="1" applyAlignment="1">
      <alignment horizontal="left" vertical="center"/>
    </xf>
    <xf numFmtId="0" fontId="156" fillId="39" borderId="67" xfId="2670" applyFont="1" applyFill="1" applyBorder="1" applyAlignment="1">
      <alignment horizontal="center" vertical="center"/>
    </xf>
    <xf numFmtId="0" fontId="156" fillId="39" borderId="69" xfId="2670" applyFont="1" applyFill="1" applyBorder="1" applyAlignment="1">
      <alignment horizontal="left" vertical="center"/>
    </xf>
    <xf numFmtId="0" fontId="156" fillId="39" borderId="65" xfId="2670" applyFont="1" applyFill="1" applyBorder="1" applyAlignment="1">
      <alignment horizontal="center"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4" fillId="0" borderId="0" xfId="1451" applyFont="1"/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57" xfId="2673" applyFont="1" applyBorder="1" applyAlignment="1">
      <alignment horizontal="center" vertical="center" wrapText="1"/>
    </xf>
    <xf numFmtId="0" fontId="160" fillId="0" borderId="0" xfId="2673" applyFont="1" applyAlignment="1">
      <alignment horizontal="center" vertical="center" wrapText="1"/>
    </xf>
    <xf numFmtId="0" fontId="161" fillId="0" borderId="0" xfId="2673" applyFont="1" applyAlignment="1">
      <alignment vertical="center" wrapText="1"/>
    </xf>
    <xf numFmtId="0" fontId="162" fillId="0" borderId="0" xfId="2673" applyFont="1" applyAlignment="1">
      <alignment vertical="center" wrapText="1"/>
    </xf>
    <xf numFmtId="0" fontId="143" fillId="35" borderId="77" xfId="2673" applyFont="1" applyFill="1" applyBorder="1" applyAlignment="1">
      <alignment vertical="center" wrapText="1"/>
    </xf>
    <xf numFmtId="0" fontId="143" fillId="42" borderId="77" xfId="2673" applyFont="1" applyFill="1" applyBorder="1" applyAlignment="1">
      <alignment vertical="center" wrapText="1"/>
    </xf>
    <xf numFmtId="0" fontId="159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2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48" xfId="2673" applyNumberFormat="1" applyFont="1" applyBorder="1" applyAlignment="1">
      <alignment vertical="center" wrapText="1"/>
    </xf>
    <xf numFmtId="0" fontId="167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2" fontId="167" fillId="0" borderId="0" xfId="2673" applyNumberFormat="1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43" fillId="35" borderId="49" xfId="2673" applyFont="1" applyFill="1" applyBorder="1" applyAlignment="1">
      <alignment vertical="center" wrapText="1"/>
    </xf>
    <xf numFmtId="0" fontId="143" fillId="0" borderId="51" xfId="2673" applyFont="1" applyBorder="1" applyAlignment="1">
      <alignment horizontal="center" vertical="center" wrapText="1"/>
    </xf>
    <xf numFmtId="0" fontId="143" fillId="35" borderId="47" xfId="2673" applyFont="1" applyFill="1" applyBorder="1" applyAlignment="1">
      <alignment vertical="center" wrapText="1"/>
    </xf>
    <xf numFmtId="1" fontId="132" fillId="0" borderId="56" xfId="2673" applyNumberFormat="1" applyFont="1" applyBorder="1" applyAlignment="1">
      <alignment vertical="center" wrapText="1"/>
    </xf>
    <xf numFmtId="0" fontId="132" fillId="35" borderId="47" xfId="2673" applyFont="1" applyFill="1" applyBorder="1" applyAlignment="1">
      <alignment vertical="center" wrapText="1"/>
    </xf>
    <xf numFmtId="0" fontId="132" fillId="35" borderId="81" xfId="2673" applyFont="1" applyFill="1" applyBorder="1" applyAlignment="1">
      <alignment vertical="center" wrapText="1"/>
    </xf>
    <xf numFmtId="0" fontId="106" fillId="0" borderId="59" xfId="2673" applyFont="1" applyBorder="1" applyAlignment="1">
      <alignment horizontal="center" vertical="center" wrapText="1"/>
    </xf>
    <xf numFmtId="0" fontId="143" fillId="0" borderId="49" xfId="2673" applyFont="1" applyBorder="1" applyAlignment="1">
      <alignment vertical="center" wrapText="1"/>
    </xf>
    <xf numFmtId="0" fontId="143" fillId="0" borderId="47" xfId="2673" applyFont="1" applyBorder="1" applyAlignment="1">
      <alignment vertical="center" wrapText="1"/>
    </xf>
    <xf numFmtId="0" fontId="132" fillId="0" borderId="47" xfId="2673" applyFont="1" applyBorder="1" applyAlignment="1">
      <alignment vertical="center" wrapText="1"/>
    </xf>
    <xf numFmtId="0" fontId="132" fillId="0" borderId="81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11" fillId="0" borderId="21" xfId="1614" applyFont="1" applyBorder="1" applyAlignment="1">
      <alignment horizontal="center" vertical="center"/>
    </xf>
    <xf numFmtId="41" fontId="149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169" fontId="141" fillId="46" borderId="0" xfId="2672" applyNumberFormat="1" applyFont="1" applyFill="1" applyBorder="1" applyAlignment="1" applyProtection="1">
      <alignment horizontal="right" vertical="center"/>
    </xf>
    <xf numFmtId="0" fontId="45" fillId="47" borderId="21" xfId="1451" applyFont="1" applyFill="1" applyBorder="1" applyAlignment="1">
      <alignment horizontal="left" vertical="center" wrapText="1"/>
    </xf>
    <xf numFmtId="3" fontId="45" fillId="47" borderId="21" xfId="1451" applyNumberFormat="1" applyFont="1" applyFill="1" applyBorder="1" applyAlignment="1">
      <alignment horizontal="center" vertical="center" wrapText="1"/>
    </xf>
    <xf numFmtId="0" fontId="8" fillId="47" borderId="21" xfId="1652" applyFont="1" applyFill="1" applyBorder="1" applyAlignment="1">
      <alignment vertical="center" wrapText="1"/>
    </xf>
    <xf numFmtId="0" fontId="6" fillId="47" borderId="21" xfId="1652" applyFont="1" applyFill="1" applyBorder="1" applyAlignment="1">
      <alignment vertical="center" wrapText="1"/>
    </xf>
    <xf numFmtId="0" fontId="45" fillId="47" borderId="21" xfId="1451" applyFont="1" applyFill="1" applyBorder="1" applyAlignment="1">
      <alignment horizontal="center" vertical="center"/>
    </xf>
    <xf numFmtId="0" fontId="54" fillId="47" borderId="21" xfId="1450" applyFont="1" applyFill="1" applyBorder="1" applyAlignment="1">
      <alignment horizontal="center" wrapText="1"/>
    </xf>
    <xf numFmtId="0" fontId="45" fillId="47" borderId="21" xfId="1450" applyFont="1" applyFill="1" applyBorder="1" applyAlignment="1">
      <alignment horizontal="center" vertical="center" wrapText="1"/>
    </xf>
    <xf numFmtId="3" fontId="45" fillId="47" borderId="21" xfId="1450" applyNumberFormat="1" applyFont="1" applyFill="1" applyBorder="1" applyAlignment="1">
      <alignment horizontal="center" vertical="center" wrapText="1"/>
    </xf>
    <xf numFmtId="169" fontId="45" fillId="47" borderId="21" xfId="728" applyFont="1" applyFill="1" applyBorder="1" applyAlignment="1">
      <alignment horizontal="center" vertical="center" wrapText="1"/>
    </xf>
    <xf numFmtId="0" fontId="115" fillId="33" borderId="0" xfId="2677" applyFont="1" applyFill="1" applyAlignment="1">
      <alignment horizontal="center"/>
    </xf>
    <xf numFmtId="0" fontId="115" fillId="33" borderId="26" xfId="2677" applyFont="1" applyFill="1" applyBorder="1" applyAlignment="1">
      <alignment horizontal="center"/>
    </xf>
    <xf numFmtId="0" fontId="115" fillId="33" borderId="36" xfId="2677" applyFont="1" applyFill="1" applyBorder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37" xfId="2677" applyFont="1" applyFill="1" applyBorder="1" applyAlignment="1">
      <alignment horizontal="center"/>
    </xf>
    <xf numFmtId="0" fontId="171" fillId="33" borderId="0" xfId="2677" applyFont="1" applyFill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0" fontId="115" fillId="33" borderId="38" xfId="2677" applyFont="1" applyFill="1" applyBorder="1" applyAlignment="1">
      <alignment horizontal="center"/>
    </xf>
    <xf numFmtId="0" fontId="172" fillId="33" borderId="82" xfId="2677" applyFont="1" applyFill="1" applyBorder="1" applyAlignment="1">
      <alignment horizontal="left" vertical="center"/>
    </xf>
    <xf numFmtId="0" fontId="172" fillId="33" borderId="83" xfId="2677" applyFont="1" applyFill="1" applyBorder="1" applyAlignment="1">
      <alignment horizontal="left" vertical="center"/>
    </xf>
    <xf numFmtId="0" fontId="172" fillId="33" borderId="85" xfId="2677" applyFont="1" applyFill="1" applyBorder="1" applyAlignment="1">
      <alignment horizontal="center" vertical="center"/>
    </xf>
    <xf numFmtId="0" fontId="115" fillId="33" borderId="3" xfId="2677" applyFont="1" applyFill="1" applyBorder="1" applyAlignment="1">
      <alignment horizontal="center" vertical="center"/>
    </xf>
    <xf numFmtId="0" fontId="115" fillId="33" borderId="39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/>
    </xf>
    <xf numFmtId="0" fontId="174" fillId="33" borderId="87" xfId="2677" applyFont="1" applyFill="1" applyBorder="1" applyAlignment="1">
      <alignment horizontal="left" vertical="center"/>
    </xf>
    <xf numFmtId="0" fontId="174" fillId="33" borderId="88" xfId="2677" applyFont="1" applyFill="1" applyBorder="1" applyAlignment="1">
      <alignment horizontal="left" vertical="center"/>
    </xf>
    <xf numFmtId="0" fontId="172" fillId="33" borderId="89" xfId="2677" applyFont="1" applyFill="1" applyBorder="1" applyAlignment="1">
      <alignment horizontal="center" vertical="center"/>
    </xf>
    <xf numFmtId="0" fontId="172" fillId="33" borderId="90" xfId="2677" applyFont="1" applyFill="1" applyBorder="1" applyAlignment="1">
      <alignment horizontal="left" vertical="center"/>
    </xf>
    <xf numFmtId="0" fontId="115" fillId="33" borderId="3" xfId="2677" applyFont="1" applyFill="1" applyBorder="1" applyAlignment="1">
      <alignment vertical="top" wrapText="1"/>
    </xf>
    <xf numFmtId="0" fontId="115" fillId="33" borderId="39" xfId="2677" applyFont="1" applyFill="1" applyBorder="1" applyAlignment="1">
      <alignment vertical="top" wrapText="1"/>
    </xf>
    <xf numFmtId="0" fontId="174" fillId="33" borderId="91" xfId="2677" applyFont="1" applyFill="1" applyBorder="1" applyAlignment="1">
      <alignment horizontal="center" vertical="center"/>
    </xf>
    <xf numFmtId="0" fontId="174" fillId="33" borderId="92" xfId="2677" applyFont="1" applyFill="1" applyBorder="1" applyAlignment="1">
      <alignment horizontal="center" vertical="center"/>
    </xf>
    <xf numFmtId="0" fontId="119" fillId="33" borderId="93" xfId="2677" applyFont="1" applyFill="1" applyBorder="1" applyAlignment="1">
      <alignment horizontal="center" vertical="top" wrapText="1"/>
    </xf>
    <xf numFmtId="0" fontId="119" fillId="33" borderId="94" xfId="2677" applyFont="1" applyFill="1" applyBorder="1" applyAlignment="1">
      <alignment horizontal="center" vertical="top" wrapText="1"/>
    </xf>
    <xf numFmtId="0" fontId="115" fillId="33" borderId="0" xfId="2677" applyFont="1" applyFill="1" applyAlignment="1">
      <alignment vertical="top" wrapText="1"/>
    </xf>
    <xf numFmtId="0" fontId="115" fillId="33" borderId="37" xfId="2677" applyFont="1" applyFill="1" applyBorder="1" applyAlignment="1">
      <alignment vertical="top" wrapText="1"/>
    </xf>
    <xf numFmtId="0" fontId="115" fillId="33" borderId="41" xfId="2677" applyFont="1" applyFill="1" applyBorder="1" applyAlignment="1">
      <alignment horizontal="center"/>
    </xf>
    <xf numFmtId="0" fontId="115" fillId="33" borderId="42" xfId="2677" applyFont="1" applyFill="1" applyBorder="1" applyAlignment="1">
      <alignment vertical="top" wrapText="1"/>
    </xf>
    <xf numFmtId="0" fontId="115" fillId="33" borderId="43" xfId="2677" applyFont="1" applyFill="1" applyBorder="1" applyAlignment="1">
      <alignment vertical="top" wrapText="1"/>
    </xf>
    <xf numFmtId="0" fontId="115" fillId="33" borderId="44" xfId="2677" applyFont="1" applyFill="1" applyBorder="1" applyAlignment="1">
      <alignment vertical="top" wrapText="1"/>
    </xf>
    <xf numFmtId="0" fontId="119" fillId="33" borderId="28" xfId="2677" applyFont="1" applyFill="1" applyBorder="1" applyAlignment="1">
      <alignment horizontal="center"/>
    </xf>
    <xf numFmtId="0" fontId="119" fillId="33" borderId="0" xfId="2677" applyFont="1" applyFill="1" applyAlignment="1">
      <alignment horizontal="center"/>
    </xf>
    <xf numFmtId="20" fontId="115" fillId="33" borderId="39" xfId="2677" applyNumberFormat="1" applyFont="1" applyFill="1" applyBorder="1" applyAlignment="1">
      <alignment horizontal="center"/>
    </xf>
    <xf numFmtId="0" fontId="115" fillId="33" borderId="41" xfId="2677" applyFont="1" applyFill="1" applyBorder="1" applyAlignment="1">
      <alignment horizontal="center" vertical="center" wrapText="1"/>
    </xf>
    <xf numFmtId="0" fontId="119" fillId="33" borderId="34" xfId="2677" applyFont="1" applyFill="1" applyBorder="1" applyAlignment="1">
      <alignment horizontal="center"/>
    </xf>
    <xf numFmtId="0" fontId="119" fillId="33" borderId="19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5" fillId="33" borderId="45" xfId="2677" applyFont="1" applyFill="1" applyBorder="1" applyAlignment="1">
      <alignment horizont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6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75" fillId="33" borderId="0" xfId="1451" applyFont="1" applyFill="1" applyAlignment="1">
      <alignment vertical="center"/>
    </xf>
    <xf numFmtId="0" fontId="175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20" fillId="33" borderId="0" xfId="1451" applyFont="1" applyFill="1" applyAlignment="1">
      <alignment horizontal="center" vertical="center"/>
    </xf>
    <xf numFmtId="0" fontId="120" fillId="33" borderId="0" xfId="1451" applyFont="1" applyFill="1" applyAlignment="1">
      <alignment horizontal="center"/>
    </xf>
    <xf numFmtId="0" fontId="122" fillId="35" borderId="0" xfId="1451" applyFont="1" applyFill="1" applyAlignment="1">
      <alignment vertical="center"/>
    </xf>
    <xf numFmtId="0" fontId="157" fillId="0" borderId="0" xfId="1451" applyFont="1"/>
    <xf numFmtId="0" fontId="122" fillId="0" borderId="0" xfId="1451" applyFont="1" applyAlignment="1">
      <alignment vertic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8" fillId="0" borderId="21" xfId="1653" applyFont="1" applyBorder="1" applyAlignment="1">
      <alignment vertical="center" wrapText="1"/>
    </xf>
    <xf numFmtId="0" fontId="115" fillId="33" borderId="3" xfId="2677" applyFont="1" applyFill="1" applyBorder="1" applyAlignment="1">
      <alignment horizontal="center"/>
    </xf>
    <xf numFmtId="0" fontId="115" fillId="33" borderId="39" xfId="2677" applyFont="1" applyFill="1" applyBorder="1" applyAlignment="1">
      <alignment horizontal="center"/>
    </xf>
    <xf numFmtId="0" fontId="116" fillId="33" borderId="18" xfId="2677" applyFont="1" applyFill="1" applyBorder="1" applyAlignment="1">
      <alignment horizontal="left"/>
    </xf>
    <xf numFmtId="0" fontId="115" fillId="33" borderId="7" xfId="2677" applyFont="1" applyFill="1" applyBorder="1" applyAlignment="1">
      <alignment horizontal="center" vertical="top" wrapText="1"/>
    </xf>
    <xf numFmtId="0" fontId="115" fillId="33" borderId="40" xfId="2677" applyFont="1" applyFill="1" applyBorder="1" applyAlignment="1">
      <alignment horizontal="center" vertical="top" wrapText="1"/>
    </xf>
    <xf numFmtId="0" fontId="172" fillId="33" borderId="84" xfId="2677" applyFont="1" applyFill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center" vertical="center"/>
    </xf>
    <xf numFmtId="3" fontId="11" fillId="0" borderId="21" xfId="1599" applyNumberFormat="1" applyFont="1" applyBorder="1" applyAlignment="1">
      <alignment horizontal="center" vertical="center"/>
    </xf>
    <xf numFmtId="0" fontId="148" fillId="0" borderId="21" xfId="1614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167" fontId="137" fillId="45" borderId="68" xfId="2672" applyFont="1" applyFill="1" applyBorder="1" applyAlignment="1" applyProtection="1">
      <alignment horizontal="right" vertical="center" wrapText="1"/>
      <protection locked="0"/>
    </xf>
    <xf numFmtId="167" fontId="137" fillId="45" borderId="70" xfId="2672" applyFont="1" applyFill="1" applyBorder="1" applyAlignment="1" applyProtection="1">
      <alignment horizontal="right" vertical="center"/>
      <protection locked="0"/>
    </xf>
    <xf numFmtId="169" fontId="137" fillId="45" borderId="70" xfId="2672" applyNumberFormat="1" applyFont="1" applyFill="1" applyBorder="1" applyAlignment="1" applyProtection="1">
      <alignment horizontal="right" vertical="center"/>
      <protection locked="0"/>
    </xf>
    <xf numFmtId="169" fontId="137" fillId="45" borderId="73" xfId="2672" applyNumberFormat="1" applyFont="1" applyFill="1" applyBorder="1" applyAlignment="1" applyProtection="1">
      <alignment horizontal="right" vertical="center"/>
      <protection locked="0"/>
    </xf>
    <xf numFmtId="49" fontId="172" fillId="33" borderId="82" xfId="2677" applyNumberFormat="1" applyFont="1" applyFill="1" applyBorder="1" applyAlignment="1">
      <alignment horizontal="left" vertical="center"/>
    </xf>
    <xf numFmtId="49" fontId="172" fillId="33" borderId="101" xfId="2677" applyNumberFormat="1" applyFont="1" applyFill="1" applyBorder="1" applyAlignment="1">
      <alignment horizontal="left" vertical="center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5" fillId="0" borderId="21" xfId="1450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172" fillId="33" borderId="105" xfId="2677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vertical="center" wrapText="1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1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1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62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6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47" xfId="1614" applyFont="1" applyBorder="1" applyAlignment="1">
      <alignment horizontal="center" vertical="center"/>
    </xf>
    <xf numFmtId="0" fontId="51" fillId="0" borderId="50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1" fillId="0" borderId="50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2" xfId="1614" applyFont="1" applyBorder="1" applyAlignment="1">
      <alignment horizontal="center" vertical="center"/>
    </xf>
    <xf numFmtId="0" fontId="9" fillId="0" borderId="79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80" xfId="2673" applyBorder="1" applyAlignment="1">
      <alignment horizontal="center" vertical="center" wrapText="1"/>
    </xf>
    <xf numFmtId="9" fontId="167" fillId="0" borderId="0" xfId="2675" applyFont="1" applyFill="1" applyBorder="1" applyAlignment="1">
      <alignment horizontal="center" vertical="center" wrapText="1"/>
    </xf>
    <xf numFmtId="0" fontId="164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6" xfId="2673" applyFont="1" applyFill="1" applyBorder="1" applyAlignment="1">
      <alignment horizontal="center" vertical="center" wrapText="1"/>
    </xf>
    <xf numFmtId="2" fontId="132" fillId="35" borderId="57" xfId="2673" applyNumberFormat="1" applyFont="1" applyFill="1" applyBorder="1" applyAlignment="1">
      <alignment horizontal="center" vertical="center" wrapText="1"/>
    </xf>
    <xf numFmtId="2" fontId="132" fillId="35" borderId="78" xfId="2673" applyNumberFormat="1" applyFont="1" applyFill="1" applyBorder="1" applyAlignment="1">
      <alignment horizontal="center" vertical="center" wrapText="1"/>
    </xf>
    <xf numFmtId="0" fontId="160" fillId="40" borderId="74" xfId="2673" applyFont="1" applyFill="1" applyBorder="1" applyAlignment="1">
      <alignment horizontal="center" vertical="center" wrapText="1"/>
    </xf>
    <xf numFmtId="0" fontId="160" fillId="40" borderId="75" xfId="2673" applyFont="1" applyFill="1" applyBorder="1" applyAlignment="1">
      <alignment horizontal="center" vertical="center" wrapText="1"/>
    </xf>
    <xf numFmtId="0" fontId="160" fillId="40" borderId="76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6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6" xfId="2673" applyNumberFormat="1" applyFont="1" applyFill="1" applyBorder="1" applyAlignment="1">
      <alignment horizontal="center" vertical="center" wrapText="1"/>
    </xf>
    <xf numFmtId="43" fontId="143" fillId="0" borderId="51" xfId="2673" applyNumberFormat="1" applyFont="1" applyBorder="1" applyAlignment="1">
      <alignment horizontal="center" vertical="center" wrapText="1"/>
    </xf>
    <xf numFmtId="0" fontId="143" fillId="0" borderId="52" xfId="2673" applyFont="1" applyBorder="1" applyAlignment="1">
      <alignment horizontal="center" vertical="center" wrapText="1"/>
    </xf>
    <xf numFmtId="43" fontId="143" fillId="43" borderId="51" xfId="2673" applyNumberFormat="1" applyFont="1" applyFill="1" applyBorder="1" applyAlignment="1">
      <alignment horizontal="center" vertical="center" wrapText="1"/>
    </xf>
    <xf numFmtId="0" fontId="143" fillId="43" borderId="52" xfId="2673" applyFont="1" applyFill="1" applyBorder="1" applyAlignment="1">
      <alignment horizontal="center" vertical="center" wrapText="1"/>
    </xf>
    <xf numFmtId="9" fontId="132" fillId="0" borderId="59" xfId="2675" applyFont="1" applyFill="1" applyBorder="1" applyAlignment="1">
      <alignment horizontal="center" vertical="center" wrapText="1"/>
    </xf>
    <xf numFmtId="9" fontId="132" fillId="0" borderId="60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59" xfId="2675" applyFont="1" applyFill="1" applyBorder="1" applyAlignment="1">
      <alignment horizontal="center" vertical="center" wrapText="1"/>
    </xf>
    <xf numFmtId="9" fontId="132" fillId="35" borderId="60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3" fillId="0" borderId="48" xfId="2673" applyFont="1" applyBorder="1" applyAlignment="1">
      <alignment horizontal="center" vertical="center" wrapText="1"/>
    </xf>
    <xf numFmtId="0" fontId="163" fillId="0" borderId="56" xfId="2673" applyFont="1" applyBorder="1" applyAlignment="1">
      <alignment horizontal="center" vertical="center" wrapText="1"/>
    </xf>
    <xf numFmtId="0" fontId="163" fillId="43" borderId="3" xfId="2673" applyFont="1" applyFill="1" applyBorder="1" applyAlignment="1">
      <alignment horizontal="center" vertical="center" wrapText="1"/>
    </xf>
    <xf numFmtId="0" fontId="163" fillId="43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4" borderId="3" xfId="2673" applyNumberFormat="1" applyFont="1" applyFill="1" applyBorder="1" applyAlignment="1">
      <alignment horizontal="center" vertical="center" wrapText="1"/>
    </xf>
    <xf numFmtId="2" fontId="132" fillId="44" borderId="39" xfId="2673" applyNumberFormat="1" applyFont="1" applyFill="1" applyBorder="1" applyAlignment="1">
      <alignment horizontal="center" vertical="center" wrapText="1"/>
    </xf>
    <xf numFmtId="0" fontId="160" fillId="41" borderId="74" xfId="2673" applyFont="1" applyFill="1" applyBorder="1" applyAlignment="1">
      <alignment horizontal="center" vertical="center" wrapText="1"/>
    </xf>
    <xf numFmtId="0" fontId="160" fillId="41" borderId="75" xfId="2673" applyFont="1" applyFill="1" applyBorder="1" applyAlignment="1">
      <alignment horizontal="center" vertical="center" wrapText="1"/>
    </xf>
    <xf numFmtId="0" fontId="160" fillId="41" borderId="76" xfId="2673" applyFont="1" applyFill="1" applyBorder="1" applyAlignment="1">
      <alignment horizontal="center" vertical="center" wrapText="1"/>
    </xf>
    <xf numFmtId="43" fontId="143" fillId="42" borderId="7" xfId="2673" applyNumberFormat="1" applyFont="1" applyFill="1" applyBorder="1" applyAlignment="1">
      <alignment horizontal="center" vertical="center" wrapText="1"/>
    </xf>
    <xf numFmtId="0" fontId="143" fillId="42" borderId="56" xfId="2673" applyFont="1" applyFill="1" applyBorder="1" applyAlignment="1">
      <alignment horizontal="center" vertical="center" wrapText="1"/>
    </xf>
    <xf numFmtId="1" fontId="132" fillId="42" borderId="7" xfId="2673" applyNumberFormat="1" applyFont="1" applyFill="1" applyBorder="1" applyAlignment="1">
      <alignment horizontal="center" vertical="center" wrapText="1"/>
    </xf>
    <xf numFmtId="1" fontId="132" fillId="42" borderId="56" xfId="2673" applyNumberFormat="1" applyFont="1" applyFill="1" applyBorder="1" applyAlignment="1">
      <alignment horizontal="center" vertical="center" wrapText="1"/>
    </xf>
    <xf numFmtId="0" fontId="132" fillId="42" borderId="7" xfId="2673" applyFont="1" applyFill="1" applyBorder="1" applyAlignment="1">
      <alignment horizontal="center" vertical="center" wrapText="1"/>
    </xf>
    <xf numFmtId="0" fontId="132" fillId="42" borderId="56" xfId="2673" applyFont="1" applyFill="1" applyBorder="1" applyAlignment="1">
      <alignment horizontal="center" vertical="center" wrapText="1"/>
    </xf>
    <xf numFmtId="1" fontId="143" fillId="43" borderId="3" xfId="2673" applyNumberFormat="1" applyFont="1" applyFill="1" applyBorder="1" applyAlignment="1">
      <alignment horizontal="center" vertical="center" wrapText="1"/>
    </xf>
    <xf numFmtId="1" fontId="143" fillId="43" borderId="39" xfId="2673" applyNumberFormat="1" applyFont="1" applyFill="1" applyBorder="1" applyAlignment="1">
      <alignment horizontal="center" vertical="center" wrapText="1"/>
    </xf>
    <xf numFmtId="2" fontId="132" fillId="42" borderId="57" xfId="2673" applyNumberFormat="1" applyFont="1" applyFill="1" applyBorder="1" applyAlignment="1">
      <alignment horizontal="center" vertical="center" wrapText="1"/>
    </xf>
    <xf numFmtId="2" fontId="132" fillId="42" borderId="78" xfId="2673" applyNumberFormat="1" applyFont="1" applyFill="1" applyBorder="1" applyAlignment="1">
      <alignment horizontal="center" vertical="center" wrapText="1"/>
    </xf>
    <xf numFmtId="0" fontId="10" fillId="34" borderId="63" xfId="2670" applyFill="1" applyBorder="1" applyAlignment="1">
      <alignment horizontal="center" vertical="center"/>
    </xf>
    <xf numFmtId="0" fontId="135" fillId="0" borderId="64" xfId="2670" applyFont="1" applyBorder="1" applyAlignment="1">
      <alignment horizontal="left" vertical="center"/>
    </xf>
    <xf numFmtId="0" fontId="53" fillId="0" borderId="43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47" xfId="1614" applyFont="1" applyFill="1" applyBorder="1" applyAlignment="1">
      <alignment horizontal="center" vertical="center"/>
    </xf>
    <xf numFmtId="0" fontId="152" fillId="35" borderId="50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0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9" fillId="0" borderId="26" xfId="1614" applyFont="1" applyBorder="1" applyAlignment="1">
      <alignment horizontal="left" vertical="center" wrapText="1"/>
    </xf>
    <xf numFmtId="0" fontId="169" fillId="0" borderId="36" xfId="1614" applyFont="1" applyBorder="1" applyAlignment="1">
      <alignment horizontal="left" vertical="center" wrapText="1"/>
    </xf>
    <xf numFmtId="0" fontId="169" fillId="0" borderId="46" xfId="1614" applyFont="1" applyBorder="1" applyAlignment="1">
      <alignment horizontal="left" vertical="center" wrapText="1"/>
    </xf>
    <xf numFmtId="0" fontId="169" fillId="0" borderId="28" xfId="1614" applyFont="1" applyBorder="1" applyAlignment="1">
      <alignment horizontal="left" vertical="center" wrapText="1"/>
    </xf>
    <xf numFmtId="0" fontId="169" fillId="0" borderId="0" xfId="1614" applyFont="1" applyAlignment="1">
      <alignment horizontal="left" vertical="center" wrapText="1"/>
    </xf>
    <xf numFmtId="0" fontId="169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15" fillId="33" borderId="48" xfId="2677" applyFont="1" applyFill="1" applyBorder="1" applyAlignment="1">
      <alignment horizontal="center"/>
    </xf>
    <xf numFmtId="0" fontId="115" fillId="33" borderId="40" xfId="2677" applyFont="1" applyFill="1" applyBorder="1" applyAlignment="1">
      <alignment horizontal="center"/>
    </xf>
    <xf numFmtId="0" fontId="115" fillId="33" borderId="7" xfId="2677" applyFont="1" applyFill="1" applyBorder="1" applyAlignment="1">
      <alignment horizontal="center"/>
    </xf>
    <xf numFmtId="0" fontId="115" fillId="33" borderId="3" xfId="2677" applyFont="1" applyFill="1" applyBorder="1" applyAlignment="1">
      <alignment horizontal="center"/>
    </xf>
    <xf numFmtId="0" fontId="115" fillId="33" borderId="39" xfId="2677" applyFont="1" applyFill="1" applyBorder="1" applyAlignment="1">
      <alignment horizontal="center"/>
    </xf>
    <xf numFmtId="0" fontId="115" fillId="33" borderId="102" xfId="2677" applyFont="1" applyFill="1" applyBorder="1" applyAlignment="1">
      <alignment horizontal="center"/>
    </xf>
    <xf numFmtId="0" fontId="115" fillId="33" borderId="58" xfId="2677" applyFont="1" applyFill="1" applyBorder="1" applyAlignment="1">
      <alignment horizontal="center"/>
    </xf>
    <xf numFmtId="0" fontId="115" fillId="33" borderId="57" xfId="2677" applyFont="1" applyFill="1" applyBorder="1" applyAlignment="1">
      <alignment horizontal="center"/>
    </xf>
    <xf numFmtId="0" fontId="115" fillId="33" borderId="59" xfId="2677" applyFont="1" applyFill="1" applyBorder="1" applyAlignment="1">
      <alignment horizontal="center"/>
    </xf>
    <xf numFmtId="0" fontId="115" fillId="33" borderId="60" xfId="2677" applyFont="1" applyFill="1" applyBorder="1" applyAlignment="1">
      <alignment horizontal="center"/>
    </xf>
    <xf numFmtId="15" fontId="115" fillId="33" borderId="48" xfId="2677" applyNumberFormat="1" applyFont="1" applyFill="1" applyBorder="1" applyAlignment="1">
      <alignment horizontal="center"/>
    </xf>
    <xf numFmtId="15" fontId="115" fillId="33" borderId="7" xfId="2677" applyNumberFormat="1" applyFont="1" applyFill="1" applyBorder="1" applyAlignment="1">
      <alignment horizontal="center"/>
    </xf>
    <xf numFmtId="15" fontId="115" fillId="33" borderId="40" xfId="2677" applyNumberFormat="1" applyFont="1" applyFill="1" applyBorder="1" applyAlignment="1">
      <alignment horizontal="center"/>
    </xf>
    <xf numFmtId="0" fontId="115" fillId="33" borderId="54" xfId="2677" applyFont="1" applyFill="1" applyBorder="1" applyAlignment="1">
      <alignment horizontal="center" vertical="center"/>
    </xf>
    <xf numFmtId="0" fontId="115" fillId="33" borderId="55" xfId="2677" applyFont="1" applyFill="1" applyBorder="1" applyAlignment="1">
      <alignment horizontal="center" vertical="center"/>
    </xf>
    <xf numFmtId="0" fontId="115" fillId="33" borderId="0" xfId="2677" applyFont="1" applyFill="1" applyAlignment="1">
      <alignment horizontal="center" vertical="center" wrapText="1"/>
    </xf>
    <xf numFmtId="0" fontId="115" fillId="33" borderId="37" xfId="2677" applyFont="1" applyFill="1" applyBorder="1" applyAlignment="1">
      <alignment horizontal="center" vertical="center" wrapText="1"/>
    </xf>
    <xf numFmtId="0" fontId="115" fillId="33" borderId="43" xfId="2677" applyFont="1" applyFill="1" applyBorder="1" applyAlignment="1">
      <alignment horizontal="center" vertical="center" wrapText="1"/>
    </xf>
    <xf numFmtId="0" fontId="115" fillId="33" borderId="44" xfId="2677" applyFont="1" applyFill="1" applyBorder="1" applyAlignment="1">
      <alignment horizontal="center" vertical="center" wrapText="1"/>
    </xf>
    <xf numFmtId="0" fontId="172" fillId="33" borderId="82" xfId="2677" applyFont="1" applyFill="1" applyBorder="1" applyAlignment="1">
      <alignment horizontal="center" vertical="center"/>
    </xf>
    <xf numFmtId="0" fontId="172" fillId="33" borderId="90" xfId="2677" applyFont="1" applyFill="1" applyBorder="1" applyAlignment="1">
      <alignment horizontal="center" vertical="center"/>
    </xf>
    <xf numFmtId="0" fontId="119" fillId="33" borderId="103" xfId="2677" applyFont="1" applyFill="1" applyBorder="1" applyAlignment="1">
      <alignment horizontal="center" vertical="center" wrapText="1"/>
    </xf>
    <xf numFmtId="0" fontId="119" fillId="33" borderId="104" xfId="2677" applyFont="1" applyFill="1" applyBorder="1" applyAlignment="1">
      <alignment horizontal="center" vertical="center" wrapText="1"/>
    </xf>
    <xf numFmtId="0" fontId="115" fillId="33" borderId="7" xfId="2677" applyFont="1" applyFill="1" applyBorder="1" applyAlignment="1">
      <alignment horizontal="center" vertical="top" wrapText="1"/>
    </xf>
    <xf numFmtId="0" fontId="115" fillId="33" borderId="40" xfId="2677" applyFont="1" applyFill="1" applyBorder="1" applyAlignment="1">
      <alignment horizontal="center" vertical="top" wrapText="1"/>
    </xf>
    <xf numFmtId="0" fontId="116" fillId="33" borderId="38" xfId="2677" applyFont="1" applyFill="1" applyBorder="1" applyAlignment="1">
      <alignment horizontal="left" vertical="top" wrapText="1"/>
    </xf>
    <xf numFmtId="0" fontId="116" fillId="33" borderId="54" xfId="2677" applyFont="1" applyFill="1" applyBorder="1" applyAlignment="1">
      <alignment horizontal="left" vertical="top" wrapText="1"/>
    </xf>
    <xf numFmtId="49" fontId="115" fillId="33" borderId="48" xfId="2677" applyNumberFormat="1" applyFont="1" applyFill="1" applyBorder="1" applyAlignment="1">
      <alignment horizontal="center" vertical="center"/>
    </xf>
    <xf numFmtId="49" fontId="115" fillId="33" borderId="40" xfId="2677" applyNumberFormat="1" applyFont="1" applyFill="1" applyBorder="1" applyAlignment="1">
      <alignment horizontal="center" vertical="center"/>
    </xf>
    <xf numFmtId="49" fontId="115" fillId="33" borderId="106" xfId="2677" applyNumberFormat="1" applyFont="1" applyFill="1" applyBorder="1" applyAlignment="1">
      <alignment horizontal="center" vertical="top" wrapText="1"/>
    </xf>
    <xf numFmtId="49" fontId="115" fillId="33" borderId="107" xfId="2677" applyNumberFormat="1" applyFont="1" applyFill="1" applyBorder="1" applyAlignment="1">
      <alignment horizontal="center" vertical="top" wrapText="1"/>
    </xf>
    <xf numFmtId="0" fontId="115" fillId="33" borderId="106" xfId="2677" applyFont="1" applyFill="1" applyBorder="1" applyAlignment="1">
      <alignment horizontal="center" vertical="top" wrapText="1"/>
    </xf>
    <xf numFmtId="0" fontId="115" fillId="33" borderId="107" xfId="2677" applyFont="1" applyFill="1" applyBorder="1" applyAlignment="1">
      <alignment horizontal="center" vertical="top" wrapText="1"/>
    </xf>
    <xf numFmtId="49" fontId="173" fillId="33" borderId="86" xfId="2677" applyNumberFormat="1" applyFont="1" applyFill="1" applyBorder="1" applyAlignment="1">
      <alignment horizontal="left" vertical="center"/>
    </xf>
    <xf numFmtId="49" fontId="173" fillId="33" borderId="84" xfId="2677" applyNumberFormat="1" applyFont="1" applyFill="1" applyBorder="1" applyAlignment="1">
      <alignment horizontal="left" vertical="center"/>
    </xf>
    <xf numFmtId="49" fontId="115" fillId="33" borderId="48" xfId="2677" applyNumberFormat="1" applyFont="1" applyFill="1" applyBorder="1" applyAlignment="1">
      <alignment horizontal="left" vertical="center"/>
    </xf>
    <xf numFmtId="49" fontId="115" fillId="33" borderId="40" xfId="2677" applyNumberFormat="1" applyFont="1" applyFill="1" applyBorder="1" applyAlignment="1">
      <alignment horizontal="left" vertical="center"/>
    </xf>
    <xf numFmtId="0" fontId="173" fillId="33" borderId="82" xfId="2677" applyFont="1" applyFill="1" applyBorder="1" applyAlignment="1">
      <alignment horizontal="left" vertical="center"/>
    </xf>
    <xf numFmtId="0" fontId="173" fillId="33" borderId="83" xfId="2677" applyFont="1" applyFill="1" applyBorder="1" applyAlignment="1">
      <alignment horizontal="left" vertical="center"/>
    </xf>
    <xf numFmtId="0" fontId="115" fillId="33" borderId="54" xfId="2677" applyFont="1" applyFill="1" applyBorder="1" applyAlignment="1">
      <alignment horizontal="center"/>
    </xf>
    <xf numFmtId="0" fontId="115" fillId="33" borderId="55" xfId="2677" applyFont="1" applyFill="1" applyBorder="1" applyAlignment="1">
      <alignment horizontal="center"/>
    </xf>
    <xf numFmtId="0" fontId="116" fillId="33" borderId="18" xfId="2677" applyFont="1" applyFill="1" applyBorder="1" applyAlignment="1">
      <alignment horizontal="left"/>
    </xf>
    <xf numFmtId="0" fontId="116" fillId="33" borderId="0" xfId="2677" applyFont="1" applyFill="1" applyAlignment="1">
      <alignment horizontal="left"/>
    </xf>
    <xf numFmtId="0" fontId="116" fillId="33" borderId="37" xfId="2677" applyFont="1" applyFill="1" applyBorder="1" applyAlignment="1">
      <alignment horizontal="left"/>
    </xf>
    <xf numFmtId="0" fontId="130" fillId="33" borderId="48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0" xfId="2677" applyFont="1" applyFill="1" applyBorder="1" applyAlignment="1">
      <alignment horizontal="center" vertical="center"/>
    </xf>
    <xf numFmtId="0" fontId="116" fillId="33" borderId="48" xfId="2677" applyFont="1" applyFill="1" applyBorder="1" applyAlignment="1">
      <alignment horizontal="center" vertical="center"/>
    </xf>
    <xf numFmtId="0" fontId="116" fillId="33" borderId="7" xfId="2677" applyFont="1" applyFill="1" applyBorder="1" applyAlignment="1">
      <alignment horizontal="center" vertical="center"/>
    </xf>
    <xf numFmtId="0" fontId="116" fillId="33" borderId="56" xfId="2677" applyFont="1" applyFill="1" applyBorder="1" applyAlignment="1">
      <alignment horizontal="center" vertical="center"/>
    </xf>
    <xf numFmtId="0" fontId="129" fillId="35" borderId="53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6" xfId="2677" applyFont="1" applyFill="1" applyBorder="1" applyAlignment="1">
      <alignment horizontal="center" vertical="center"/>
    </xf>
    <xf numFmtId="0" fontId="129" fillId="35" borderId="42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2" fillId="33" borderId="95" xfId="1451" applyFont="1" applyFill="1" applyBorder="1" applyAlignment="1">
      <alignment horizontal="center" vertical="center"/>
    </xf>
    <xf numFmtId="0" fontId="122" fillId="33" borderId="96" xfId="1451" applyFont="1" applyFill="1" applyBorder="1" applyAlignment="1">
      <alignment horizontal="center" vertical="center"/>
    </xf>
    <xf numFmtId="0" fontId="122" fillId="33" borderId="97" xfId="1451" applyFont="1" applyFill="1" applyBorder="1" applyAlignment="1">
      <alignment horizontal="center" vertical="center"/>
    </xf>
    <xf numFmtId="0" fontId="122" fillId="33" borderId="98" xfId="1451" applyFont="1" applyFill="1" applyBorder="1" applyAlignment="1">
      <alignment horizontal="center" vertical="center"/>
    </xf>
    <xf numFmtId="0" fontId="122" fillId="33" borderId="99" xfId="1451" applyFont="1" applyFill="1" applyBorder="1" applyAlignment="1">
      <alignment horizontal="center" vertical="center"/>
    </xf>
    <xf numFmtId="0" fontId="122" fillId="33" borderId="100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57" fillId="0" borderId="0" xfId="1451" applyFont="1" applyAlignment="1">
      <alignment horizontal="left"/>
    </xf>
  </cellXfs>
  <cellStyles count="268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CCFF99"/>
      <color rgb="FFFFCC99"/>
      <color rgb="FFFF0066"/>
      <color rgb="FF33CCFF"/>
      <color rgb="FFFFFF99"/>
      <color rgb="FFCCFF66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calcChain" Target="calcChain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0.50050000000000006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microsoft.com/office/2007/relationships/hdphoto" Target="../media/hdphoto1.wdp"/><Relationship Id="rId1" Type="http://schemas.openxmlformats.org/officeDocument/2006/relationships/image" Target="../media/image14.png"/><Relationship Id="rId4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345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345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166</xdr:row>
      <xdr:rowOff>81642</xdr:rowOff>
    </xdr:from>
    <xdr:to>
      <xdr:col>12</xdr:col>
      <xdr:colOff>41108</xdr:colOff>
      <xdr:row>169</xdr:row>
      <xdr:rowOff>150831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14</xdr:row>
      <xdr:rowOff>83820</xdr:rowOff>
    </xdr:from>
    <xdr:to>
      <xdr:col>21</xdr:col>
      <xdr:colOff>274320</xdr:colOff>
      <xdr:row>45</xdr:row>
      <xdr:rowOff>140501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AF2388-97A7-E82C-ACB6-000212C3A0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biLevel thresh="5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8938" l="2667" r="94000">
                      <a14:foregroundMark x1="62111" y1="10750" x2="62111" y2="10750"/>
                      <a14:foregroundMark x1="94222" y1="21813" x2="94222" y2="21813"/>
                      <a14:foregroundMark x1="51222" y1="88688" x2="51222" y2="88688"/>
                      <a14:foregroundMark x1="51889" y1="87250" x2="51889" y2="87250"/>
                      <a14:foregroundMark x1="48667" y1="95313" x2="48667" y2="95313"/>
                      <a14:foregroundMark x1="45111" y1="98938" x2="45111" y2="98938"/>
                      <a14:foregroundMark x1="2667" y1="90438" x2="2667" y2="90438"/>
                    </a14:backgroundRemoval>
                  </a14:imgEffect>
                  <a14:imgEffect>
                    <a14:artisticFilmGrai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10606" r="5051"/>
        <a:stretch/>
      </xdr:blipFill>
      <xdr:spPr>
        <a:xfrm rot="5400000">
          <a:off x="1795158" y="1189232"/>
          <a:ext cx="4703225" cy="7362576"/>
        </a:xfrm>
        <a:prstGeom prst="rect">
          <a:avLst/>
        </a:prstGeom>
      </xdr:spPr>
    </xdr:pic>
    <xdr:clientData/>
  </xdr:twoCellAnchor>
  <xdr:twoCellAnchor>
    <xdr:from>
      <xdr:col>3</xdr:col>
      <xdr:colOff>261727</xdr:colOff>
      <xdr:row>19</xdr:row>
      <xdr:rowOff>76171</xdr:rowOff>
    </xdr:from>
    <xdr:to>
      <xdr:col>15</xdr:col>
      <xdr:colOff>294119</xdr:colOff>
      <xdr:row>33</xdr:row>
      <xdr:rowOff>32669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6624187B-E42B-4B7F-990A-89A6D98068EE}"/>
            </a:ext>
          </a:extLst>
        </xdr:cNvPr>
        <xdr:cNvCxnSpPr>
          <a:cxnSpLocks/>
          <a:stCxn id="30" idx="7"/>
          <a:endCxn id="45" idx="3"/>
        </xdr:cNvCxnSpPr>
      </xdr:nvCxnSpPr>
      <xdr:spPr>
        <a:xfrm>
          <a:off x="951468" y="3288395"/>
          <a:ext cx="4604392" cy="2065136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283243</xdr:colOff>
      <xdr:row>0</xdr:row>
      <xdr:rowOff>0</xdr:rowOff>
    </xdr:from>
    <xdr:to>
      <xdr:col>28</xdr:col>
      <xdr:colOff>198182</xdr:colOff>
      <xdr:row>2</xdr:row>
      <xdr:rowOff>41587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7AB07D8-AE8F-41AD-978F-6DB2E73B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93" y="7904664"/>
          <a:ext cx="295939" cy="378285"/>
        </a:xfrm>
        <a:prstGeom prst="rect">
          <a:avLst/>
        </a:prstGeom>
      </xdr:spPr>
    </xdr:pic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233" name="Group 232">
          <a:extLst>
            <a:ext uri="{FF2B5EF4-FFF2-40B4-BE49-F238E27FC236}">
              <a16:creationId xmlns:a16="http://schemas.microsoft.com/office/drawing/2014/main" id="{F17F5FD6-49C2-4C96-B71C-95FEA5E09CDE}"/>
            </a:ext>
          </a:extLst>
        </xdr:cNvPr>
        <xdr:cNvGrpSpPr/>
      </xdr:nvGrpSpPr>
      <xdr:grpSpPr>
        <a:xfrm>
          <a:off x="9633618" y="818905"/>
          <a:ext cx="1376253" cy="1757375"/>
          <a:chOff x="9713886" y="808452"/>
          <a:chExt cx="1342558" cy="1766630"/>
        </a:xfrm>
      </xdr:grpSpPr>
      <xdr:grpSp>
        <xdr:nvGrpSpPr>
          <xdr:cNvPr id="234" name="Group 13">
            <a:extLst>
              <a:ext uri="{FF2B5EF4-FFF2-40B4-BE49-F238E27FC236}">
                <a16:creationId xmlns:a16="http://schemas.microsoft.com/office/drawing/2014/main" id="{A81ADBD9-7E0A-423E-AC38-209DE514CD4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3" name="Oval 1">
              <a:extLst>
                <a:ext uri="{FF2B5EF4-FFF2-40B4-BE49-F238E27FC236}">
                  <a16:creationId xmlns:a16="http://schemas.microsoft.com/office/drawing/2014/main" id="{A018CCC6-3290-46C6-879E-5D806AB7BA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4" name="Straight Connector 3">
              <a:extLst>
                <a:ext uri="{FF2B5EF4-FFF2-40B4-BE49-F238E27FC236}">
                  <a16:creationId xmlns:a16="http://schemas.microsoft.com/office/drawing/2014/main" id="{1B1793F4-36CB-482A-B01E-C8CD45566301}"/>
                </a:ext>
              </a:extLst>
            </xdr:cNvPr>
            <xdr:cNvCxnSpPr>
              <a:stCxn id="250" idx="1"/>
              <a:endCxn id="2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5" name="Straight Connector 7">
              <a:extLst>
                <a:ext uri="{FF2B5EF4-FFF2-40B4-BE49-F238E27FC236}">
                  <a16:creationId xmlns:a16="http://schemas.microsoft.com/office/drawing/2014/main" id="{7D3683D4-D993-47E2-84D2-264DCB18B7A7}"/>
                </a:ext>
              </a:extLst>
            </xdr:cNvPr>
            <xdr:cNvCxnSpPr>
              <a:stCxn id="250" idx="3"/>
              <a:endCxn id="2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5" name="Oval 234">
            <a:extLst>
              <a:ext uri="{FF2B5EF4-FFF2-40B4-BE49-F238E27FC236}">
                <a16:creationId xmlns:a16="http://schemas.microsoft.com/office/drawing/2014/main" id="{A3B97822-903C-422D-BAD3-9E9E2CDEB2F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6" name="Group 14">
            <a:extLst>
              <a:ext uri="{FF2B5EF4-FFF2-40B4-BE49-F238E27FC236}">
                <a16:creationId xmlns:a16="http://schemas.microsoft.com/office/drawing/2014/main" id="{B58DF94D-4F6E-4B98-A347-5CF3AA46B0F2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0" name="Oval 289">
              <a:extLst>
                <a:ext uri="{FF2B5EF4-FFF2-40B4-BE49-F238E27FC236}">
                  <a16:creationId xmlns:a16="http://schemas.microsoft.com/office/drawing/2014/main" id="{98C5DD69-6E23-4FA0-9FFD-868AA15F798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1" name="Straight Connector 290">
              <a:extLst>
                <a:ext uri="{FF2B5EF4-FFF2-40B4-BE49-F238E27FC236}">
                  <a16:creationId xmlns:a16="http://schemas.microsoft.com/office/drawing/2014/main" id="{6B312F5E-BC07-4D2E-8FCF-51350A538D37}"/>
                </a:ext>
              </a:extLst>
            </xdr:cNvPr>
            <xdr:cNvCxnSpPr>
              <a:stCxn id="290" idx="1"/>
              <a:endCxn id="2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CF449874-C442-4E8C-A007-C115DC12B2BF}"/>
                </a:ext>
              </a:extLst>
            </xdr:cNvPr>
            <xdr:cNvCxnSpPr>
              <a:stCxn id="290" idx="3"/>
              <a:endCxn id="2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" name="Oval 236">
            <a:extLst>
              <a:ext uri="{FF2B5EF4-FFF2-40B4-BE49-F238E27FC236}">
                <a16:creationId xmlns:a16="http://schemas.microsoft.com/office/drawing/2014/main" id="{4EDAACCF-1DF0-48C2-930F-54C17D4FA8D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5D9123DE-0CCB-4F28-A7B0-23665828899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7EEE6C86-0ED5-4FE1-9B03-AB77A31FD2C4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E7014EDF-86BF-4978-A597-761FA8BF40D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80F24076-2E87-4DD0-B94F-B1E152F0218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8FED43CD-77B4-4761-8418-C6976EC705D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9F0B0836-0311-4E5E-A956-8D3D79242EA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CB09C0CB-39D8-4D54-9CD2-9AEBD522F47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AB3F4C47-D1A6-4EAF-8439-9874A66DD8C6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E3E3602D-314E-4595-8D02-7D3253D2CED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F98443A5-3141-4CC6-A500-C4B11010F9D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F3EA3261-B0EA-4C04-AF9C-6A99ADE97BC7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3EBBB1E3-1E85-4D2D-AF6E-9B267BBD6B2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50">
            <a:extLst>
              <a:ext uri="{FF2B5EF4-FFF2-40B4-BE49-F238E27FC236}">
                <a16:creationId xmlns:a16="http://schemas.microsoft.com/office/drawing/2014/main" id="{AAAC02EF-6AA6-4B7C-8BBF-572ECDCEAC3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065FB327-836A-4B99-94CF-9F87C6C0A385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52">
            <a:extLst>
              <a:ext uri="{FF2B5EF4-FFF2-40B4-BE49-F238E27FC236}">
                <a16:creationId xmlns:a16="http://schemas.microsoft.com/office/drawing/2014/main" id="{517D2A0F-06AC-49B9-80D6-07FD837BF2B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256C5B89-1303-40BB-A4DA-4531994854B8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4CB4368D-2877-4B37-B4B9-58163D18E1F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187A2AD3-1958-4118-A009-FFFC5DD647A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D84E5D9-6057-4A2B-B919-FE0956C67DA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A02665CE-BA99-4070-A3D4-9CC99DFD6C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81DCCF2-7C7A-4319-9F4D-1CADB57ED92D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8535D83E-E581-49C7-8570-476AB25AA3CE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0" name="Isosceles Triangle 259">
            <a:extLst>
              <a:ext uri="{FF2B5EF4-FFF2-40B4-BE49-F238E27FC236}">
                <a16:creationId xmlns:a16="http://schemas.microsoft.com/office/drawing/2014/main" id="{6AF8A775-CF14-4EC1-B2F4-B42FE8AFF3F4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577BDAEF-7E7B-474B-8414-D12D1E95315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2" name="Group 73">
            <a:extLst>
              <a:ext uri="{FF2B5EF4-FFF2-40B4-BE49-F238E27FC236}">
                <a16:creationId xmlns:a16="http://schemas.microsoft.com/office/drawing/2014/main" id="{3D7CC238-C4A5-474C-9125-17548DA15387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88" name="TextBox 287">
              <a:extLst>
                <a:ext uri="{FF2B5EF4-FFF2-40B4-BE49-F238E27FC236}">
                  <a16:creationId xmlns:a16="http://schemas.microsoft.com/office/drawing/2014/main" id="{365A339D-DB81-42A8-9A24-5AE1F5F0D7A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89" name="Straight Connector 288">
              <a:extLst>
                <a:ext uri="{FF2B5EF4-FFF2-40B4-BE49-F238E27FC236}">
                  <a16:creationId xmlns:a16="http://schemas.microsoft.com/office/drawing/2014/main" id="{C76E9639-2F7B-4984-9765-FEA9D1A23C0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74">
            <a:extLst>
              <a:ext uri="{FF2B5EF4-FFF2-40B4-BE49-F238E27FC236}">
                <a16:creationId xmlns:a16="http://schemas.microsoft.com/office/drawing/2014/main" id="{02FA749E-AB8F-45E2-B3ED-DD103CEC98C8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6" name="TextBox 285">
              <a:extLst>
                <a:ext uri="{FF2B5EF4-FFF2-40B4-BE49-F238E27FC236}">
                  <a16:creationId xmlns:a16="http://schemas.microsoft.com/office/drawing/2014/main" id="{A73437A8-A7E7-4EDB-AC8D-463FA315B4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7" name="Straight Connector 286">
              <a:extLst>
                <a:ext uri="{FF2B5EF4-FFF2-40B4-BE49-F238E27FC236}">
                  <a16:creationId xmlns:a16="http://schemas.microsoft.com/office/drawing/2014/main" id="{78694C71-F26C-476E-8E9B-D9504DF5248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89">
            <a:extLst>
              <a:ext uri="{FF2B5EF4-FFF2-40B4-BE49-F238E27FC236}">
                <a16:creationId xmlns:a16="http://schemas.microsoft.com/office/drawing/2014/main" id="{AB83B316-EEB0-46EA-953A-9BD05FCDB39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D3577441-B577-405D-8618-9E90781F386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3" name="Straight Connector 79">
              <a:extLst>
                <a:ext uri="{FF2B5EF4-FFF2-40B4-BE49-F238E27FC236}">
                  <a16:creationId xmlns:a16="http://schemas.microsoft.com/office/drawing/2014/main" id="{2C168474-ADD6-4A7A-8C33-794E2D20E8D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80">
              <a:extLst>
                <a:ext uri="{FF2B5EF4-FFF2-40B4-BE49-F238E27FC236}">
                  <a16:creationId xmlns:a16="http://schemas.microsoft.com/office/drawing/2014/main" id="{1DCAFF59-C284-4F0C-8987-AE6693FB76E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8">
              <a:extLst>
                <a:ext uri="{FF2B5EF4-FFF2-40B4-BE49-F238E27FC236}">
                  <a16:creationId xmlns:a16="http://schemas.microsoft.com/office/drawing/2014/main" id="{2031E51E-EEB9-4D50-B0BF-AEF1CB9675A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90">
            <a:extLst>
              <a:ext uri="{FF2B5EF4-FFF2-40B4-BE49-F238E27FC236}">
                <a16:creationId xmlns:a16="http://schemas.microsoft.com/office/drawing/2014/main" id="{F587D899-06E5-498D-AEBB-A70E8475F14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8" name="Straight Connector 277">
              <a:extLst>
                <a:ext uri="{FF2B5EF4-FFF2-40B4-BE49-F238E27FC236}">
                  <a16:creationId xmlns:a16="http://schemas.microsoft.com/office/drawing/2014/main" id="{00E7B898-0314-4F6D-8150-9B5FB373686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6A2E84E-047B-45E1-A761-F359253FFE9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052444C4-4F5F-4027-AA9C-7753EB753E4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831D159E-5573-47B5-8928-913F39C67F2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2C7E392E-7D6B-44C0-AB62-6B84E48E5BC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E621544C-8C5B-4398-8930-8E4CAA252E5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Arrow Connector 267">
            <a:extLst>
              <a:ext uri="{FF2B5EF4-FFF2-40B4-BE49-F238E27FC236}">
                <a16:creationId xmlns:a16="http://schemas.microsoft.com/office/drawing/2014/main" id="{2E07403E-312A-483E-96DB-5E52D9A25DC9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066950DE-C359-43BD-A23F-978971BBDE6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0" name="Group 155">
            <a:extLst>
              <a:ext uri="{FF2B5EF4-FFF2-40B4-BE49-F238E27FC236}">
                <a16:creationId xmlns:a16="http://schemas.microsoft.com/office/drawing/2014/main" id="{13E0BF21-A67D-4EA6-B061-2F1BF2925CB1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D0056C32-45CE-4356-8630-6BA208D2D2F8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447DF515-41CC-420B-8749-7410D604B0C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F3A76198-FCE4-4A25-A1DE-92C30582208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1" name="Group 134">
            <a:extLst>
              <a:ext uri="{FF2B5EF4-FFF2-40B4-BE49-F238E27FC236}">
                <a16:creationId xmlns:a16="http://schemas.microsoft.com/office/drawing/2014/main" id="{7B48ECDC-9BBC-4D41-BB47-25B9AADC5E6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2" name="Isosceles Triangle 271">
              <a:extLst>
                <a:ext uri="{FF2B5EF4-FFF2-40B4-BE49-F238E27FC236}">
                  <a16:creationId xmlns:a16="http://schemas.microsoft.com/office/drawing/2014/main" id="{56C9035B-A949-4E9A-874D-784D053BDC6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398C62E1-8BC2-44FB-BA22-530AA280724E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C8A569E7-DB87-4D42-B952-F72B83A02E1E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61840</xdr:colOff>
      <xdr:row>1</xdr:row>
      <xdr:rowOff>145310</xdr:rowOff>
    </xdr:from>
    <xdr:ext cx="815004" cy="810444"/>
    <xdr:pic>
      <xdr:nvPicPr>
        <xdr:cNvPr id="296" name="Picture 295">
          <a:extLst>
            <a:ext uri="{FF2B5EF4-FFF2-40B4-BE49-F238E27FC236}">
              <a16:creationId xmlns:a16="http://schemas.microsoft.com/office/drawing/2014/main" id="{BFCEC38E-EC78-44D3-BCAE-7A8838985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843640" y="9022610"/>
          <a:ext cx="815004" cy="810444"/>
        </a:xfrm>
        <a:prstGeom prst="rect">
          <a:avLst/>
        </a:prstGeom>
      </xdr:spPr>
    </xdr:pic>
    <xdr:clientData/>
  </xdr:oneCellAnchor>
  <xdr:oneCellAnchor>
    <xdr:from>
      <xdr:col>27</xdr:col>
      <xdr:colOff>283243</xdr:colOff>
      <xdr:row>49</xdr:row>
      <xdr:rowOff>208464</xdr:rowOff>
    </xdr:from>
    <xdr:ext cx="295939" cy="378285"/>
    <xdr:pic>
      <xdr:nvPicPr>
        <xdr:cNvPr id="297" name="Picture 296">
          <a:extLst>
            <a:ext uri="{FF2B5EF4-FFF2-40B4-BE49-F238E27FC236}">
              <a16:creationId xmlns:a16="http://schemas.microsoft.com/office/drawing/2014/main" id="{DC52D4B1-D27A-4064-B6C9-98D48127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93" y="16591464"/>
          <a:ext cx="295939" cy="378285"/>
        </a:xfrm>
        <a:prstGeom prst="rect">
          <a:avLst/>
        </a:prstGeom>
      </xdr:spPr>
    </xdr:pic>
    <xdr:clientData/>
  </xdr:oneCellAnchor>
  <xdr:twoCellAnchor>
    <xdr:from>
      <xdr:col>7</xdr:col>
      <xdr:colOff>345651</xdr:colOff>
      <xdr:row>24</xdr:row>
      <xdr:rowOff>11006</xdr:rowOff>
    </xdr:from>
    <xdr:to>
      <xdr:col>8</xdr:col>
      <xdr:colOff>89731</xdr:colOff>
      <xdr:row>24</xdr:row>
      <xdr:rowOff>137248</xdr:rowOff>
    </xdr:to>
    <xdr:grpSp>
      <xdr:nvGrpSpPr>
        <xdr:cNvPr id="404" name="Group 682">
          <a:extLst>
            <a:ext uri="{FF2B5EF4-FFF2-40B4-BE49-F238E27FC236}">
              <a16:creationId xmlns:a16="http://schemas.microsoft.com/office/drawing/2014/main" id="{1925C743-96FE-4DE2-8E08-872746DB7235}"/>
            </a:ext>
          </a:extLst>
        </xdr:cNvPr>
        <xdr:cNvGrpSpPr>
          <a:grpSpLocks/>
        </xdr:cNvGrpSpPr>
      </xdr:nvGrpSpPr>
      <xdr:grpSpPr bwMode="auto">
        <a:xfrm rot="5400000">
          <a:off x="2564809" y="3639370"/>
          <a:ext cx="126242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05" name="Oval 404">
            <a:extLst>
              <a:ext uri="{FF2B5EF4-FFF2-40B4-BE49-F238E27FC236}">
                <a16:creationId xmlns:a16="http://schemas.microsoft.com/office/drawing/2014/main" id="{8575A9F0-964F-5246-F74F-0108FA48BEF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C3057E67-E3A0-29A0-3268-34E410766DC6}"/>
              </a:ext>
            </a:extLst>
          </xdr:cNvPr>
          <xdr:cNvCxnSpPr>
            <a:stCxn id="405" idx="1"/>
            <a:endCxn id="4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406">
            <a:extLst>
              <a:ext uri="{FF2B5EF4-FFF2-40B4-BE49-F238E27FC236}">
                <a16:creationId xmlns:a16="http://schemas.microsoft.com/office/drawing/2014/main" id="{28ED79FA-6333-CF07-8170-02DE62795A5A}"/>
              </a:ext>
            </a:extLst>
          </xdr:cNvPr>
          <xdr:cNvCxnSpPr>
            <a:stCxn id="405" idx="3"/>
            <a:endCxn id="4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317289</xdr:colOff>
      <xdr:row>21</xdr:row>
      <xdr:rowOff>150706</xdr:rowOff>
    </xdr:from>
    <xdr:to>
      <xdr:col>6</xdr:col>
      <xdr:colOff>185418</xdr:colOff>
      <xdr:row>22</xdr:row>
      <xdr:rowOff>79270</xdr:rowOff>
    </xdr:to>
    <xdr:grpSp>
      <xdr:nvGrpSpPr>
        <xdr:cNvPr id="446" name="Group 445">
          <a:extLst>
            <a:ext uri="{FF2B5EF4-FFF2-40B4-BE49-F238E27FC236}">
              <a16:creationId xmlns:a16="http://schemas.microsoft.com/office/drawing/2014/main" id="{A7437934-D928-4CBA-AAB9-D47030CD895D}"/>
            </a:ext>
          </a:extLst>
        </xdr:cNvPr>
        <xdr:cNvGrpSpPr/>
      </xdr:nvGrpSpPr>
      <xdr:grpSpPr>
        <a:xfrm rot="10800000">
          <a:off x="1775028" y="3331228"/>
          <a:ext cx="249129" cy="77651"/>
          <a:chOff x="2710544" y="4100104"/>
          <a:chExt cx="216081" cy="80012"/>
        </a:xfrm>
      </xdr:grpSpPr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272E6961-1C41-F2D6-BD09-1A5BF3426D36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Straight Connector 447">
            <a:extLst>
              <a:ext uri="{FF2B5EF4-FFF2-40B4-BE49-F238E27FC236}">
                <a16:creationId xmlns:a16="http://schemas.microsoft.com/office/drawing/2014/main" id="{D010CDA4-1838-75D9-6EB3-89FF041CE683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448">
            <a:extLst>
              <a:ext uri="{FF2B5EF4-FFF2-40B4-BE49-F238E27FC236}">
                <a16:creationId xmlns:a16="http://schemas.microsoft.com/office/drawing/2014/main" id="{9B93C166-D955-960F-8232-AA40A2DDB987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364836</xdr:colOff>
      <xdr:row>7</xdr:row>
      <xdr:rowOff>27708</xdr:rowOff>
    </xdr:from>
    <xdr:to>
      <xdr:col>9</xdr:col>
      <xdr:colOff>50900</xdr:colOff>
      <xdr:row>12</xdr:row>
      <xdr:rowOff>101600</xdr:rowOff>
    </xdr:to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ADC29866-B66B-4E20-BDAE-5A01657BBEE8}"/>
            </a:ext>
          </a:extLst>
        </xdr:cNvPr>
        <xdr:cNvSpPr txBox="1"/>
      </xdr:nvSpPr>
      <xdr:spPr>
        <a:xfrm>
          <a:off x="2238086" y="1412008"/>
          <a:ext cx="848114" cy="8358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SYG04-</a:t>
          </a:r>
          <a:r>
            <a:rPr lang="en-US" sz="800" b="1" u="sng" baseline="0">
              <a:solidFill>
                <a:schemeClr val="tx1"/>
              </a:solidFill>
            </a:rPr>
            <a:t> .../</a:t>
          </a:r>
          <a:endParaRPr lang="en-US" sz="800" b="1" u="sng">
            <a:solidFill>
              <a:schemeClr val="tx1"/>
            </a:solidFill>
          </a:endParaRPr>
        </a:p>
        <a:p>
          <a:pPr algn="l"/>
          <a:r>
            <a:rPr lang="id-ID" sz="800" baseline="0">
              <a:solidFill>
                <a:schemeClr val="tx1"/>
              </a:solidFill>
            </a:rPr>
            <a:t>1</a:t>
          </a:r>
          <a:r>
            <a:rPr lang="en-US" sz="800" baseline="0">
              <a:solidFill>
                <a:schemeClr val="tx1"/>
              </a:solidFill>
            </a:rPr>
            <a:t> </a:t>
          </a:r>
          <a:r>
            <a:rPr lang="id-ID" sz="800" baseline="0">
              <a:solidFill>
                <a:schemeClr val="tx1"/>
              </a:solidFill>
            </a:rPr>
            <a:t>C</a:t>
          </a:r>
          <a:r>
            <a:rPr lang="en-US" sz="800" baseline="0">
              <a:solidFill>
                <a:schemeClr val="tx1"/>
              </a:solidFill>
            </a:rPr>
            <a:t>12-350 dAN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CA5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CG-106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</xdr:txBody>
    </xdr:sp>
    <xdr:clientData/>
  </xdr:twoCellAnchor>
  <xdr:twoCellAnchor>
    <xdr:from>
      <xdr:col>4</xdr:col>
      <xdr:colOff>121920</xdr:colOff>
      <xdr:row>9</xdr:row>
      <xdr:rowOff>60960</xdr:rowOff>
    </xdr:from>
    <xdr:to>
      <xdr:col>6</xdr:col>
      <xdr:colOff>7620</xdr:colOff>
      <xdr:row>18</xdr:row>
      <xdr:rowOff>91440</xdr:rowOff>
    </xdr:to>
    <xdr:sp macro="" textlink="">
      <xdr:nvSpPr>
        <xdr:cNvPr id="18" name="Freeform: Shape 17">
          <a:extLst>
            <a:ext uri="{FF2B5EF4-FFF2-40B4-BE49-F238E27FC236}">
              <a16:creationId xmlns:a16="http://schemas.microsoft.com/office/drawing/2014/main" id="{D3761701-EB08-91B3-6682-5D360205A4BF}"/>
            </a:ext>
          </a:extLst>
        </xdr:cNvPr>
        <xdr:cNvSpPr/>
      </xdr:nvSpPr>
      <xdr:spPr>
        <a:xfrm>
          <a:off x="1219200" y="1752600"/>
          <a:ext cx="662940" cy="1409700"/>
        </a:xfrm>
        <a:custGeom>
          <a:avLst/>
          <a:gdLst>
            <a:gd name="connsiteX0" fmla="*/ 0 w 464820"/>
            <a:gd name="connsiteY0" fmla="*/ 952500 h 952500"/>
            <a:gd name="connsiteX1" fmla="*/ 464820 w 464820"/>
            <a:gd name="connsiteY1" fmla="*/ 0 h 952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464820" h="952500">
              <a:moveTo>
                <a:pt x="0" y="952500"/>
              </a:moveTo>
              <a:lnTo>
                <a:pt x="464820" y="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5</xdr:col>
      <xdr:colOff>228600</xdr:colOff>
      <xdr:row>11</xdr:row>
      <xdr:rowOff>151287</xdr:rowOff>
    </xdr:from>
    <xdr:to>
      <xdr:col>5</xdr:col>
      <xdr:colOff>354950</xdr:colOff>
      <xdr:row>12</xdr:row>
      <xdr:rowOff>125129</xdr:rowOff>
    </xdr:to>
    <xdr:grpSp>
      <xdr:nvGrpSpPr>
        <xdr:cNvPr id="20" name="Group 682">
          <a:extLst>
            <a:ext uri="{FF2B5EF4-FFF2-40B4-BE49-F238E27FC236}">
              <a16:creationId xmlns:a16="http://schemas.microsoft.com/office/drawing/2014/main" id="{33BB663D-814B-4F94-9588-8F1BB4109AFC}"/>
            </a:ext>
          </a:extLst>
        </xdr:cNvPr>
        <xdr:cNvGrpSpPr>
          <a:grpSpLocks/>
        </xdr:cNvGrpSpPr>
      </xdr:nvGrpSpPr>
      <xdr:grpSpPr bwMode="auto">
        <a:xfrm rot="5400000">
          <a:off x="1688049" y="1822664"/>
          <a:ext cx="122929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388B862F-9BFF-6A68-1835-A9A6704BC9D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24822B9F-4033-7D3A-7433-2089362B4233}"/>
              </a:ext>
            </a:extLst>
          </xdr:cNvPr>
          <xdr:cNvCxnSpPr>
            <a:stCxn id="21" idx="1"/>
            <a:endCxn id="2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7D688C03-EB21-8AF5-873C-E444910714DE}"/>
              </a:ext>
            </a:extLst>
          </xdr:cNvPr>
          <xdr:cNvCxnSpPr>
            <a:stCxn id="21" idx="3"/>
            <a:endCxn id="2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327387</xdr:colOff>
      <xdr:row>11</xdr:row>
      <xdr:rowOff>49531</xdr:rowOff>
    </xdr:from>
    <xdr:to>
      <xdr:col>6</xdr:col>
      <xdr:colOff>57150</xdr:colOff>
      <xdr:row>12</xdr:row>
      <xdr:rowOff>0</xdr:rowOff>
    </xdr:to>
    <xdr:sp macro="" textlink="">
      <xdr:nvSpPr>
        <xdr:cNvPr id="25" name="Isosceles Triangle 24">
          <a:extLst>
            <a:ext uri="{FF2B5EF4-FFF2-40B4-BE49-F238E27FC236}">
              <a16:creationId xmlns:a16="http://schemas.microsoft.com/office/drawing/2014/main" id="{A315E3C0-D938-46B9-82EA-3546B3A9D211}"/>
            </a:ext>
          </a:extLst>
        </xdr:cNvPr>
        <xdr:cNvSpPr/>
      </xdr:nvSpPr>
      <xdr:spPr>
        <a:xfrm>
          <a:off x="1813287" y="2043431"/>
          <a:ext cx="117113" cy="102869"/>
        </a:xfrm>
        <a:prstGeom prst="triangl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351686</xdr:colOff>
      <xdr:row>12</xdr:row>
      <xdr:rowOff>91401</xdr:rowOff>
    </xdr:from>
    <xdr:to>
      <xdr:col>6</xdr:col>
      <xdr:colOff>137160</xdr:colOff>
      <xdr:row>13</xdr:row>
      <xdr:rowOff>15240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B48DD03-5882-4FD9-88D1-453C915C1B45}"/>
            </a:ext>
          </a:extLst>
        </xdr:cNvPr>
        <xdr:cNvCxnSpPr/>
      </xdr:nvCxnSpPr>
      <xdr:spPr>
        <a:xfrm>
          <a:off x="1837586" y="2240241"/>
          <a:ext cx="174094" cy="83859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153881</xdr:colOff>
      <xdr:row>18</xdr:row>
      <xdr:rowOff>119503</xdr:rowOff>
    </xdr:from>
    <xdr:to>
      <xdr:col>3</xdr:col>
      <xdr:colOff>280231</xdr:colOff>
      <xdr:row>19</xdr:row>
      <xdr:rowOff>94659</xdr:rowOff>
    </xdr:to>
    <xdr:grpSp>
      <xdr:nvGrpSpPr>
        <xdr:cNvPr id="29" name="Group 682">
          <a:extLst>
            <a:ext uri="{FF2B5EF4-FFF2-40B4-BE49-F238E27FC236}">
              <a16:creationId xmlns:a16="http://schemas.microsoft.com/office/drawing/2014/main" id="{8F92462F-7928-4066-8DA9-9F8136E672EB}"/>
            </a:ext>
          </a:extLst>
        </xdr:cNvPr>
        <xdr:cNvGrpSpPr>
          <a:grpSpLocks/>
        </xdr:cNvGrpSpPr>
      </xdr:nvGrpSpPr>
      <xdr:grpSpPr bwMode="auto">
        <a:xfrm rot="5400000">
          <a:off x="850673" y="2851711"/>
          <a:ext cx="124243" cy="12635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A6408156-2D4D-88D7-E46B-3A8ACE4ACBF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5C4265D4-E188-7D90-1EAD-2279A1C7D974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F09D53DB-A3A9-2901-1F39-7715C400983D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419100</xdr:colOff>
      <xdr:row>9</xdr:row>
      <xdr:rowOff>22860</xdr:rowOff>
    </xdr:from>
    <xdr:to>
      <xdr:col>5</xdr:col>
      <xdr:colOff>152400</xdr:colOff>
      <xdr:row>27</xdr:row>
      <xdr:rowOff>53340</xdr:rowOff>
    </xdr:to>
    <xdr:sp macro="" textlink="">
      <xdr:nvSpPr>
        <xdr:cNvPr id="33" name="Freeform: Shape 32">
          <a:extLst>
            <a:ext uri="{FF2B5EF4-FFF2-40B4-BE49-F238E27FC236}">
              <a16:creationId xmlns:a16="http://schemas.microsoft.com/office/drawing/2014/main" id="{9EFAD006-F2B6-5C51-9E15-26A2A76358E6}"/>
            </a:ext>
          </a:extLst>
        </xdr:cNvPr>
        <xdr:cNvSpPr/>
      </xdr:nvSpPr>
      <xdr:spPr>
        <a:xfrm>
          <a:off x="617220" y="1714500"/>
          <a:ext cx="1021080" cy="2781300"/>
        </a:xfrm>
        <a:custGeom>
          <a:avLst/>
          <a:gdLst>
            <a:gd name="connsiteX0" fmla="*/ 1021080 w 1021080"/>
            <a:gd name="connsiteY0" fmla="*/ 0 h 2781300"/>
            <a:gd name="connsiteX1" fmla="*/ 350520 w 1021080"/>
            <a:gd name="connsiteY1" fmla="*/ 1508760 h 2781300"/>
            <a:gd name="connsiteX2" fmla="*/ 0 w 1021080"/>
            <a:gd name="connsiteY2" fmla="*/ 2781300 h 2781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21080" h="2781300">
              <a:moveTo>
                <a:pt x="1021080" y="0"/>
              </a:moveTo>
              <a:lnTo>
                <a:pt x="350520" y="1508760"/>
              </a:lnTo>
              <a:lnTo>
                <a:pt x="0" y="278130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3</xdr:col>
      <xdr:colOff>259080</xdr:colOff>
      <xdr:row>12</xdr:row>
      <xdr:rowOff>106641</xdr:rowOff>
    </xdr:from>
    <xdr:to>
      <xdr:col>5</xdr:col>
      <xdr:colOff>247104</xdr:colOff>
      <xdr:row>19</xdr:row>
      <xdr:rowOff>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093BD7D-6345-4C7F-B10E-4BC5D19DD333}"/>
            </a:ext>
          </a:extLst>
        </xdr:cNvPr>
        <xdr:cNvCxnSpPr>
          <a:stCxn id="21" idx="5"/>
          <a:endCxn id="33" idx="1"/>
        </xdr:cNvCxnSpPr>
      </xdr:nvCxnSpPr>
      <xdr:spPr>
        <a:xfrm flipH="1">
          <a:off x="967740" y="2255481"/>
          <a:ext cx="765264" cy="967779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444500</xdr:colOff>
      <xdr:row>19</xdr:row>
      <xdr:rowOff>85302</xdr:rowOff>
    </xdr:from>
    <xdr:to>
      <xdr:col>3</xdr:col>
      <xdr:colOff>144455</xdr:colOff>
      <xdr:row>19</xdr:row>
      <xdr:rowOff>146050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322F3103-C557-4696-AD80-24DA0A51E73D}"/>
            </a:ext>
          </a:extLst>
        </xdr:cNvPr>
        <xdr:cNvCxnSpPr/>
      </xdr:nvCxnSpPr>
      <xdr:spPr>
        <a:xfrm flipH="1">
          <a:off x="647700" y="3304752"/>
          <a:ext cx="207955" cy="607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358351</xdr:colOff>
      <xdr:row>28</xdr:row>
      <xdr:rowOff>109431</xdr:rowOff>
    </xdr:from>
    <xdr:to>
      <xdr:col>12</xdr:col>
      <xdr:colOff>96081</xdr:colOff>
      <xdr:row>29</xdr:row>
      <xdr:rowOff>95973</xdr:rowOff>
    </xdr:to>
    <xdr:grpSp>
      <xdr:nvGrpSpPr>
        <xdr:cNvPr id="40" name="Group 682">
          <a:extLst>
            <a:ext uri="{FF2B5EF4-FFF2-40B4-BE49-F238E27FC236}">
              <a16:creationId xmlns:a16="http://schemas.microsoft.com/office/drawing/2014/main" id="{DADD5707-4C6F-4BA9-AB85-043CACE1BDAE}"/>
            </a:ext>
          </a:extLst>
        </xdr:cNvPr>
        <xdr:cNvGrpSpPr>
          <a:grpSpLocks/>
        </xdr:cNvGrpSpPr>
      </xdr:nvGrpSpPr>
      <xdr:grpSpPr bwMode="auto">
        <a:xfrm rot="5400000">
          <a:off x="4097781" y="4337870"/>
          <a:ext cx="127347" cy="11873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1" name="Oval 40">
            <a:extLst>
              <a:ext uri="{FF2B5EF4-FFF2-40B4-BE49-F238E27FC236}">
                <a16:creationId xmlns:a16="http://schemas.microsoft.com/office/drawing/2014/main" id="{56E964D9-1C69-6224-3973-E7C88000C5E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C99CBC1E-1255-803E-034F-1242FCD77F5B}"/>
              </a:ext>
            </a:extLst>
          </xdr:cNvPr>
          <xdr:cNvCxnSpPr>
            <a:stCxn id="41" idx="1"/>
            <a:endCxn id="4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5163B93-4803-80D8-52AD-9F091A191070}"/>
              </a:ext>
            </a:extLst>
          </xdr:cNvPr>
          <xdr:cNvCxnSpPr>
            <a:stCxn id="41" idx="3"/>
            <a:endCxn id="4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294119</xdr:colOff>
      <xdr:row>33</xdr:row>
      <xdr:rowOff>32669</xdr:rowOff>
    </xdr:from>
    <xdr:to>
      <xdr:col>16</xdr:col>
      <xdr:colOff>157656</xdr:colOff>
      <xdr:row>33</xdr:row>
      <xdr:rowOff>131379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F6B0D453-BEE7-497D-B554-2C4F79BE2D2F}"/>
            </a:ext>
          </a:extLst>
        </xdr:cNvPr>
        <xdr:cNvCxnSpPr>
          <a:stCxn id="45" idx="3"/>
        </xdr:cNvCxnSpPr>
      </xdr:nvCxnSpPr>
      <xdr:spPr>
        <a:xfrm>
          <a:off x="5555860" y="5353531"/>
          <a:ext cx="244537" cy="987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355389</xdr:colOff>
      <xdr:row>26</xdr:row>
      <xdr:rowOff>93556</xdr:rowOff>
    </xdr:from>
    <xdr:to>
      <xdr:col>10</xdr:col>
      <xdr:colOff>223518</xdr:colOff>
      <xdr:row>27</xdr:row>
      <xdr:rowOff>22120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BAE53822-2921-4EA3-B86A-1EA117272719}"/>
            </a:ext>
          </a:extLst>
        </xdr:cNvPr>
        <xdr:cNvGrpSpPr/>
      </xdr:nvGrpSpPr>
      <xdr:grpSpPr>
        <a:xfrm rot="10800000">
          <a:off x="3337128" y="4019513"/>
          <a:ext cx="249129" cy="77650"/>
          <a:chOff x="2710544" y="4100104"/>
          <a:chExt cx="216081" cy="80012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1091327-AF0A-B613-170E-C0F5A8FB1126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458A88C8-BE8F-1666-6C67-02A9BB3E1CB1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1519F847-13A1-5063-7F68-925277322AB8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177589</xdr:colOff>
      <xdr:row>30</xdr:row>
      <xdr:rowOff>118956</xdr:rowOff>
    </xdr:from>
    <xdr:to>
      <xdr:col>14</xdr:col>
      <xdr:colOff>45718</xdr:colOff>
      <xdr:row>31</xdr:row>
      <xdr:rowOff>47520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1A6C547E-2F51-4F02-867D-88F2DE4AB976}"/>
            </a:ext>
          </a:extLst>
        </xdr:cNvPr>
        <xdr:cNvGrpSpPr/>
      </xdr:nvGrpSpPr>
      <xdr:grpSpPr>
        <a:xfrm rot="10800000">
          <a:off x="4683328" y="4632978"/>
          <a:ext cx="249129" cy="77651"/>
          <a:chOff x="2710544" y="4100104"/>
          <a:chExt cx="216081" cy="80012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A95FE482-0AC3-EB30-432B-650187EAB1CE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2073795A-FAC5-1666-3B81-269E16872190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0" name="Straight Connector 469">
            <a:extLst>
              <a:ext uri="{FF2B5EF4-FFF2-40B4-BE49-F238E27FC236}">
                <a16:creationId xmlns:a16="http://schemas.microsoft.com/office/drawing/2014/main" id="{AC094419-AD07-A2F1-810C-BEA9D0ADF29B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63500</xdr:colOff>
      <xdr:row>18</xdr:row>
      <xdr:rowOff>101599</xdr:rowOff>
    </xdr:from>
    <xdr:to>
      <xdr:col>3</xdr:col>
      <xdr:colOff>180340</xdr:colOff>
      <xdr:row>19</xdr:row>
      <xdr:rowOff>34290</xdr:rowOff>
    </xdr:to>
    <xdr:sp macro="" textlink="">
      <xdr:nvSpPr>
        <xdr:cNvPr id="474" name="Isosceles Triangle 473">
          <a:extLst>
            <a:ext uri="{FF2B5EF4-FFF2-40B4-BE49-F238E27FC236}">
              <a16:creationId xmlns:a16="http://schemas.microsoft.com/office/drawing/2014/main" id="{1547446F-9AAB-4A71-88C0-55938381F8AE}"/>
            </a:ext>
          </a:extLst>
        </xdr:cNvPr>
        <xdr:cNvSpPr/>
      </xdr:nvSpPr>
      <xdr:spPr>
        <a:xfrm>
          <a:off x="774700" y="3168649"/>
          <a:ext cx="116840" cy="85091"/>
        </a:xfrm>
        <a:prstGeom prst="triangl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333086</xdr:colOff>
      <xdr:row>21</xdr:row>
      <xdr:rowOff>59458</xdr:rowOff>
    </xdr:from>
    <xdr:to>
      <xdr:col>4</xdr:col>
      <xdr:colOff>285850</xdr:colOff>
      <xdr:row>30</xdr:row>
      <xdr:rowOff>44450</xdr:rowOff>
    </xdr:to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D9A4990F-9270-434A-89AA-A889AC7EEDD8}"/>
            </a:ext>
          </a:extLst>
        </xdr:cNvPr>
        <xdr:cNvSpPr txBox="1"/>
      </xdr:nvSpPr>
      <xdr:spPr>
        <a:xfrm>
          <a:off x="536286" y="3583708"/>
          <a:ext cx="848114" cy="134389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12-350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CG-106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8</xdr:col>
      <xdr:colOff>180686</xdr:colOff>
      <xdr:row>19</xdr:row>
      <xdr:rowOff>84858</xdr:rowOff>
    </xdr:from>
    <xdr:to>
      <xdr:col>10</xdr:col>
      <xdr:colOff>254100</xdr:colOff>
      <xdr:row>23</xdr:row>
      <xdr:rowOff>69850</xdr:rowOff>
    </xdr:to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68E6E1DF-FB69-4C6D-8E49-5A073956F507}"/>
            </a:ext>
          </a:extLst>
        </xdr:cNvPr>
        <xdr:cNvSpPr txBox="1"/>
      </xdr:nvSpPr>
      <xdr:spPr>
        <a:xfrm>
          <a:off x="2828636" y="3304308"/>
          <a:ext cx="848114" cy="59459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12</xdr:col>
      <xdr:colOff>34636</xdr:colOff>
      <xdr:row>23</xdr:row>
      <xdr:rowOff>129308</xdr:rowOff>
    </xdr:from>
    <xdr:to>
      <xdr:col>14</xdr:col>
      <xdr:colOff>108050</xdr:colOff>
      <xdr:row>27</xdr:row>
      <xdr:rowOff>114300</xdr:rowOff>
    </xdr:to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BDE2B13C-DCFF-4793-820F-150D218342F9}"/>
            </a:ext>
          </a:extLst>
        </xdr:cNvPr>
        <xdr:cNvSpPr txBox="1"/>
      </xdr:nvSpPr>
      <xdr:spPr>
        <a:xfrm>
          <a:off x="4231986" y="3958358"/>
          <a:ext cx="848114" cy="59459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15</xdr:col>
      <xdr:colOff>212436</xdr:colOff>
      <xdr:row>24</xdr:row>
      <xdr:rowOff>84858</xdr:rowOff>
    </xdr:from>
    <xdr:to>
      <xdr:col>17</xdr:col>
      <xdr:colOff>285850</xdr:colOff>
      <xdr:row>31</xdr:row>
      <xdr:rowOff>133350</xdr:rowOff>
    </xdr:to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1F397669-76C0-4CD4-B771-DE1CBC8CEEDF}"/>
            </a:ext>
          </a:extLst>
        </xdr:cNvPr>
        <xdr:cNvSpPr txBox="1"/>
      </xdr:nvSpPr>
      <xdr:spPr>
        <a:xfrm>
          <a:off x="5571836" y="4066308"/>
          <a:ext cx="848114" cy="110259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SYG04-</a:t>
          </a:r>
          <a:r>
            <a:rPr lang="en-US" sz="800" b="1" u="sng" baseline="0">
              <a:solidFill>
                <a:srgbClr val="FF0000"/>
              </a:solidFill>
            </a:rPr>
            <a:t> .../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2</xdr:col>
      <xdr:colOff>381000</xdr:colOff>
      <xdr:row>8</xdr:row>
      <xdr:rowOff>147204</xdr:rowOff>
    </xdr:from>
    <xdr:to>
      <xdr:col>5</xdr:col>
      <xdr:colOff>247104</xdr:colOff>
      <xdr:row>12</xdr:row>
      <xdr:rowOff>14418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9F178DD1-07CB-4CFA-A058-BE4B88CEE842}"/>
            </a:ext>
          </a:extLst>
        </xdr:cNvPr>
        <xdr:cNvCxnSpPr>
          <a:endCxn id="21" idx="3"/>
        </xdr:cNvCxnSpPr>
      </xdr:nvCxnSpPr>
      <xdr:spPr>
        <a:xfrm>
          <a:off x="571500" y="1723159"/>
          <a:ext cx="1121672" cy="490668"/>
        </a:xfrm>
        <a:prstGeom prst="line">
          <a:avLst/>
        </a:prstGeom>
        <a:ln w="1270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275801</xdr:colOff>
      <xdr:row>33</xdr:row>
      <xdr:rowOff>14181</xdr:rowOff>
    </xdr:from>
    <xdr:to>
      <xdr:col>16</xdr:col>
      <xdr:colOff>19881</xdr:colOff>
      <xdr:row>33</xdr:row>
      <xdr:rowOff>140423</xdr:rowOff>
    </xdr:to>
    <xdr:grpSp>
      <xdr:nvGrpSpPr>
        <xdr:cNvPr id="44" name="Group 682">
          <a:extLst>
            <a:ext uri="{FF2B5EF4-FFF2-40B4-BE49-F238E27FC236}">
              <a16:creationId xmlns:a16="http://schemas.microsoft.com/office/drawing/2014/main" id="{99CFE3A8-D7AE-4348-9E31-3DE3B96AC2CE}"/>
            </a:ext>
          </a:extLst>
        </xdr:cNvPr>
        <xdr:cNvGrpSpPr>
          <a:grpSpLocks/>
        </xdr:cNvGrpSpPr>
      </xdr:nvGrpSpPr>
      <xdr:grpSpPr bwMode="auto">
        <a:xfrm rot="5400000">
          <a:off x="5542959" y="4976045"/>
          <a:ext cx="126242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55CCFB5A-D914-539B-EB1A-39E663B1C0B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8BCA7655-CA51-5248-91FB-47B720157D89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463E2AD1-8E91-D75A-CF2B-384577E7F15A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300496</xdr:colOff>
      <xdr:row>29</xdr:row>
      <xdr:rowOff>63938</xdr:rowOff>
    </xdr:from>
    <xdr:to>
      <xdr:col>14</xdr:col>
      <xdr:colOff>185140</xdr:colOff>
      <xdr:row>31</xdr:row>
      <xdr:rowOff>19487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4557CCA-7D8B-4911-82D3-B939D659A936}"/>
            </a:ext>
          </a:extLst>
        </xdr:cNvPr>
        <xdr:cNvSpPr txBox="1"/>
      </xdr:nvSpPr>
      <xdr:spPr>
        <a:xfrm rot="1244482">
          <a:off x="4425235" y="4727047"/>
          <a:ext cx="646644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8</xdr:col>
      <xdr:colOff>353504</xdr:colOff>
      <xdr:row>25</xdr:row>
      <xdr:rowOff>991</xdr:rowOff>
    </xdr:from>
    <xdr:to>
      <xdr:col>10</xdr:col>
      <xdr:colOff>238148</xdr:colOff>
      <xdr:row>26</xdr:row>
      <xdr:rowOff>105627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CF036D8-A6EC-4DED-BE99-035A5AA1F350}"/>
            </a:ext>
          </a:extLst>
        </xdr:cNvPr>
        <xdr:cNvSpPr txBox="1"/>
      </xdr:nvSpPr>
      <xdr:spPr>
        <a:xfrm rot="1244482">
          <a:off x="2954243" y="4076034"/>
          <a:ext cx="646644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4</xdr:col>
      <xdr:colOff>348535</xdr:colOff>
      <xdr:row>20</xdr:row>
      <xdr:rowOff>37433</xdr:rowOff>
    </xdr:from>
    <xdr:to>
      <xdr:col>6</xdr:col>
      <xdr:colOff>233179</xdr:colOff>
      <xdr:row>21</xdr:row>
      <xdr:rowOff>142069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3F7AB43-C679-4D95-A677-25FD2F56664E}"/>
            </a:ext>
          </a:extLst>
        </xdr:cNvPr>
        <xdr:cNvSpPr txBox="1"/>
      </xdr:nvSpPr>
      <xdr:spPr>
        <a:xfrm rot="1244482">
          <a:off x="1425274" y="3367042"/>
          <a:ext cx="646644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4</xdr:col>
      <xdr:colOff>59634</xdr:colOff>
      <xdr:row>11</xdr:row>
      <xdr:rowOff>142460</xdr:rowOff>
    </xdr:from>
    <xdr:to>
      <xdr:col>4</xdr:col>
      <xdr:colOff>313357</xdr:colOff>
      <xdr:row>16</xdr:row>
      <xdr:rowOff>27104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AA9AC1F-24BE-4D62-9C48-64E334F860B9}"/>
            </a:ext>
          </a:extLst>
        </xdr:cNvPr>
        <xdr:cNvSpPr txBox="1"/>
      </xdr:nvSpPr>
      <xdr:spPr>
        <a:xfrm rot="18608319">
          <a:off x="939913" y="2310181"/>
          <a:ext cx="646644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134470</xdr:colOff>
      <xdr:row>20</xdr:row>
      <xdr:rowOff>78441</xdr:rowOff>
    </xdr:from>
    <xdr:to>
      <xdr:col>17</xdr:col>
      <xdr:colOff>151558</xdr:colOff>
      <xdr:row>34</xdr:row>
      <xdr:rowOff>130609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EF10247-64E2-493C-B8C1-ED74442A6DC5}"/>
            </a:ext>
          </a:extLst>
        </xdr:cNvPr>
        <xdr:cNvCxnSpPr/>
      </xdr:nvCxnSpPr>
      <xdr:spPr>
        <a:xfrm>
          <a:off x="9164170" y="3259791"/>
          <a:ext cx="17088" cy="2319118"/>
        </a:xfrm>
        <a:prstGeom prst="line">
          <a:avLst/>
        </a:prstGeom>
        <a:ln w="28575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26276</xdr:colOff>
      <xdr:row>26</xdr:row>
      <xdr:rowOff>83466</xdr:rowOff>
    </xdr:from>
    <xdr:to>
      <xdr:col>17</xdr:col>
      <xdr:colOff>129834</xdr:colOff>
      <xdr:row>26</xdr:row>
      <xdr:rowOff>98534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F0E76E2-B435-413C-B45C-E53619DB4F87}"/>
            </a:ext>
          </a:extLst>
        </xdr:cNvPr>
        <xdr:cNvCxnSpPr/>
      </xdr:nvCxnSpPr>
      <xdr:spPr>
        <a:xfrm flipV="1">
          <a:off x="8446376" y="4236366"/>
          <a:ext cx="713158" cy="15068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575262</xdr:colOff>
      <xdr:row>22</xdr:row>
      <xdr:rowOff>137207</xdr:rowOff>
    </xdr:from>
    <xdr:to>
      <xdr:col>16</xdr:col>
      <xdr:colOff>192306</xdr:colOff>
      <xdr:row>28</xdr:row>
      <xdr:rowOff>129827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13248ED-C9DB-4505-88F9-66559DD9A774}"/>
            </a:ext>
          </a:extLst>
        </xdr:cNvPr>
        <xdr:cNvSpPr/>
      </xdr:nvSpPr>
      <xdr:spPr>
        <a:xfrm>
          <a:off x="7166562" y="3642407"/>
          <a:ext cx="1445844" cy="964170"/>
        </a:xfrm>
        <a:prstGeom prst="rect">
          <a:avLst/>
        </a:prstGeom>
        <a:solidFill>
          <a:srgbClr val="FFFF00"/>
        </a:solidFill>
        <a:ln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Perum. 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r>
            <a:rPr lang="id-ID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Canaya</a:t>
          </a:r>
          <a:r>
            <a:rPr lang="id-ID" sz="1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6</a:t>
          </a:r>
          <a:endParaRPr lang="en-US" sz="1400" b="1">
            <a:solidFill>
              <a:srgbClr val="FF0000"/>
            </a:solidFill>
            <a:effectLst/>
          </a:endParaRPr>
        </a:p>
        <a:p>
          <a:pPr algn="ctr"/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685800</xdr:colOff>
      <xdr:row>11</xdr:row>
      <xdr:rowOff>38101</xdr:rowOff>
    </xdr:from>
    <xdr:to>
      <xdr:col>28</xdr:col>
      <xdr:colOff>228600</xdr:colOff>
      <xdr:row>55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CB6B2D-2AD2-4DE1-92D3-9412462E3D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990" t="24273" r="6915" b="16011"/>
        <a:stretch/>
      </xdr:blipFill>
      <xdr:spPr>
        <a:xfrm>
          <a:off x="904875" y="1762126"/>
          <a:ext cx="14601825" cy="7200899"/>
        </a:xfrm>
        <a:prstGeom prst="rect">
          <a:avLst/>
        </a:prstGeom>
      </xdr:spPr>
    </xdr:pic>
    <xdr:clientData/>
  </xdr:twoCellAnchor>
  <xdr:twoCellAnchor>
    <xdr:from>
      <xdr:col>19</xdr:col>
      <xdr:colOff>54429</xdr:colOff>
      <xdr:row>29</xdr:row>
      <xdr:rowOff>13607</xdr:rowOff>
    </xdr:from>
    <xdr:to>
      <xdr:col>19</xdr:col>
      <xdr:colOff>68036</xdr:colOff>
      <xdr:row>34</xdr:row>
      <xdr:rowOff>81643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DD0B3BA5-9549-4004-81EE-478D143892E1}"/>
            </a:ext>
          </a:extLst>
        </xdr:cNvPr>
        <xdr:cNvCxnSpPr/>
      </xdr:nvCxnSpPr>
      <xdr:spPr>
        <a:xfrm>
          <a:off x="10303329" y="4652282"/>
          <a:ext cx="13607" cy="87766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452746</xdr:colOff>
      <xdr:row>33</xdr:row>
      <xdr:rowOff>122465</xdr:rowOff>
    </xdr:from>
    <xdr:to>
      <xdr:col>21</xdr:col>
      <xdr:colOff>34636</xdr:colOff>
      <xdr:row>38</xdr:row>
      <xdr:rowOff>108858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CBE7671-11C6-4954-AF85-F07C14A5C0EB}"/>
            </a:ext>
          </a:extLst>
        </xdr:cNvPr>
        <xdr:cNvSpPr/>
      </xdr:nvSpPr>
      <xdr:spPr>
        <a:xfrm>
          <a:off x="10092046" y="5408840"/>
          <a:ext cx="1410690" cy="796018"/>
        </a:xfrm>
        <a:prstGeom prst="rect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chemeClr val="tx1"/>
              </a:solidFill>
            </a:rPr>
            <a:t>PERUM</a:t>
          </a:r>
          <a:r>
            <a:rPr lang="en-US" sz="1200" b="1" baseline="0">
              <a:solidFill>
                <a:schemeClr val="tx1"/>
              </a:solidFill>
            </a:rPr>
            <a:t> MANGUNJIWAN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68037</xdr:colOff>
      <xdr:row>64</xdr:row>
      <xdr:rowOff>40823</xdr:rowOff>
    </xdr:from>
    <xdr:to>
      <xdr:col>30</xdr:col>
      <xdr:colOff>136072</xdr:colOff>
      <xdr:row>67</xdr:row>
      <xdr:rowOff>40822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6BEDD0-58E7-4141-A62D-FEC7AE713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660462" y="10346873"/>
          <a:ext cx="382360" cy="4952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108858</xdr:colOff>
      <xdr:row>7</xdr:row>
      <xdr:rowOff>108857</xdr:rowOff>
    </xdr:from>
    <xdr:to>
      <xdr:col>20</xdr:col>
      <xdr:colOff>928687</xdr:colOff>
      <xdr:row>47</xdr:row>
      <xdr:rowOff>71436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D83C5CB8-BCF8-1AC6-3A00-0426BB0AFFAE}"/>
            </a:ext>
          </a:extLst>
        </xdr:cNvPr>
        <xdr:cNvGrpSpPr/>
      </xdr:nvGrpSpPr>
      <xdr:grpSpPr>
        <a:xfrm>
          <a:off x="942296" y="1489982"/>
          <a:ext cx="11511641" cy="6630079"/>
          <a:chOff x="942296" y="1489983"/>
          <a:chExt cx="9639265" cy="633412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A654F7A-EB63-0BC2-A184-3FC849AF75B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7371" t="8926" r="5022" b="8789"/>
          <a:stretch/>
        </xdr:blipFill>
        <xdr:spPr>
          <a:xfrm>
            <a:off x="942296" y="1489983"/>
            <a:ext cx="9639265" cy="6334124"/>
          </a:xfrm>
          <a:prstGeom prst="rect">
            <a:avLst/>
          </a:prstGeom>
        </xdr:spPr>
      </xdr:pic>
      <xdr:sp macro="" textlink="">
        <xdr:nvSpPr>
          <xdr:cNvPr id="4" name="Freeform: Shape 3">
            <a:extLst>
              <a:ext uri="{FF2B5EF4-FFF2-40B4-BE49-F238E27FC236}">
                <a16:creationId xmlns:a16="http://schemas.microsoft.com/office/drawing/2014/main" id="{F1081AD6-2680-8A5B-6339-5E9B2A189B25}"/>
              </a:ext>
            </a:extLst>
          </xdr:cNvPr>
          <xdr:cNvSpPr/>
        </xdr:nvSpPr>
        <xdr:spPr>
          <a:xfrm>
            <a:off x="2423432" y="2769053"/>
            <a:ext cx="7169604" cy="4844825"/>
          </a:xfrm>
          <a:custGeom>
            <a:avLst/>
            <a:gdLst>
              <a:gd name="connsiteX0" fmla="*/ 598714 w 7184571"/>
              <a:gd name="connsiteY0" fmla="*/ 0 h 5061858"/>
              <a:gd name="connsiteX1" fmla="*/ 0 w 7184571"/>
              <a:gd name="connsiteY1" fmla="*/ 1709058 h 5061858"/>
              <a:gd name="connsiteX2" fmla="*/ 54428 w 7184571"/>
              <a:gd name="connsiteY2" fmla="*/ 1959429 h 5061858"/>
              <a:gd name="connsiteX3" fmla="*/ 87085 w 7184571"/>
              <a:gd name="connsiteY3" fmla="*/ 2046515 h 5061858"/>
              <a:gd name="connsiteX4" fmla="*/ 6259285 w 7184571"/>
              <a:gd name="connsiteY4" fmla="*/ 5061858 h 5061858"/>
              <a:gd name="connsiteX5" fmla="*/ 7184571 w 7184571"/>
              <a:gd name="connsiteY5" fmla="*/ 3243943 h 5061858"/>
              <a:gd name="connsiteX6" fmla="*/ 598714 w 7184571"/>
              <a:gd name="connsiteY6" fmla="*/ 0 h 506185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184571" h="5061858">
                <a:moveTo>
                  <a:pt x="598714" y="0"/>
                </a:moveTo>
                <a:lnTo>
                  <a:pt x="0" y="1709058"/>
                </a:lnTo>
                <a:lnTo>
                  <a:pt x="54428" y="1959429"/>
                </a:lnTo>
                <a:lnTo>
                  <a:pt x="87085" y="2046515"/>
                </a:lnTo>
                <a:lnTo>
                  <a:pt x="6259285" y="5061858"/>
                </a:lnTo>
                <a:lnTo>
                  <a:pt x="7184571" y="3243943"/>
                </a:lnTo>
                <a:lnTo>
                  <a:pt x="598714" y="0"/>
                </a:lnTo>
                <a:close/>
              </a:path>
            </a:pathLst>
          </a:custGeom>
          <a:noFill/>
          <a:ln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uropati\2018\01.%20Executive%20Summary\10.%20Okt%202018\harga%20matria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NO. PRK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MAT"/>
      <sheetName val="JS"/>
      <sheetName val="WIL"/>
      <sheetName val="GAB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PROGRAM"/>
      <sheetName val="LOKASI"/>
      <sheetName val="prod03"/>
      <sheetName val="TDL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DExp.Lmb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DExp.Lmb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UshDeb00"/>
      <sheetName val="JAN09"/>
      <sheetName val="graf2"/>
      <sheetName val="JAN07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Mat"/>
      <sheetName val="Pro"/>
      <sheetName val="Uph"/>
      <sheetName val="Kons"/>
      <sheetName val="Tamb"/>
      <sheetName val="SR-APP"/>
      <sheetName val="Sort"/>
      <sheetName val="PUNCAK-89"/>
      <sheetName val="JAN07"/>
      <sheetName val="graf2"/>
      <sheetName val="PL-2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UshDeb00"/>
      <sheetName val="x"/>
      <sheetName val="MEMO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FORM-B"/>
      <sheetName val="Indikator215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REKAP"/>
      <sheetName val="FORM_B"/>
      <sheetName val="JAN09"/>
      <sheetName val="x"/>
      <sheetName val="NEKons"/>
      <sheetName val="rkap2008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Kamus"/>
      <sheetName val="LK2004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Harga BBM Indonesia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REAL-LR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ACUAN"/>
      <sheetName val="DENPASAR"/>
      <sheetName val="x"/>
      <sheetName val="FORM-B"/>
      <sheetName val="Neraca seAPJ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>
        <row r="120">
          <cell r="H120">
            <v>9000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source Plan _2_"/>
      <sheetName val="REF"/>
      <sheetName val="bahan"/>
      <sheetName val="Upah"/>
      <sheetName val="REAL-LR"/>
      <sheetName val="Smg"/>
      <sheetName val="DynamicChart"/>
      <sheetName val="DataTable"/>
      <sheetName val="PLN staffing v18-v31"/>
      <sheetName val="Marshal"/>
      <sheetName val="GeneralInfo"/>
      <sheetName val="Hg.Sat"/>
      <sheetName val="List"/>
      <sheetName val="DATA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item"/>
      <sheetName val="rekap"/>
      <sheetName val="PERIODIK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assumption"/>
      <sheetName val="Tabel Istilah"/>
      <sheetName val="MENU"/>
      <sheetName val="PARAMETER"/>
      <sheetName val="Rekap 2011"/>
      <sheetName val="LK-1"/>
      <sheetName val="ACUAN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O &amp; M"/>
      <sheetName val="se006t"/>
      <sheetName val="pagub2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Cover_sheet"/>
      <sheetName val="DC REAL PER TW"/>
      <sheetName val="LR"/>
      <sheetName val="PSP Master JEIA 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>
        <row r="120">
          <cell r="H120">
            <v>9000</v>
          </cell>
        </row>
      </sheetData>
      <sheetData sheetId="36">
        <row r="120">
          <cell r="H120">
            <v>9000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>
        <row r="120">
          <cell r="H120">
            <v>9000</v>
          </cell>
        </row>
      </sheetData>
      <sheetData sheetId="51">
        <row r="120">
          <cell r="H120">
            <v>9000</v>
          </cell>
        </row>
      </sheetData>
      <sheetData sheetId="52">
        <row r="120">
          <cell r="H120">
            <v>9000</v>
          </cell>
        </row>
      </sheetData>
      <sheetData sheetId="53">
        <row r="120">
          <cell r="H120">
            <v>9000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10 INDIKATOR"/>
      <sheetName val="Rekap PMG."/>
      <sheetName val="UPAH 2012"/>
      <sheetName val="Daftar Harga 2012 mmk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DeVIASI"/>
      <sheetName val="KoMposisi"/>
      <sheetName val="master rab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>
        <row r="8">
          <cell r="I8">
            <v>0</v>
          </cell>
        </row>
      </sheetData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TU"/>
      <sheetName val="Kamus"/>
      <sheetName val="Data"/>
      <sheetName val="harga material hps 2013"/>
      <sheetName val="JAN07"/>
      <sheetName val="RAB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Uraian"/>
      <sheetName val="RAB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MENU1"/>
      <sheetName val="Rekap PMG."/>
      <sheetName val="master rab"/>
      <sheetName val="Smg"/>
      <sheetName val="Format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ata"/>
      <sheetName val="MATERIAL juni 05"/>
      <sheetName val="UPDATE 25 JANUARI 2007"/>
      <sheetName val="Format"/>
      <sheetName val="DTU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E3. ANALISA HS HAR TEK SUTM"/>
      <sheetName val="E6. ANALISA HS HAR"/>
      <sheetName val="JAN07"/>
      <sheetName val="DTU"/>
      <sheetName val="Asumsi"/>
      <sheetName val="Kontrak vs Realisasi Gas"/>
      <sheetName val="Neraca seAPJ"/>
      <sheetName val="D2. ANALISA HS INSHAR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/>
      <sheetData sheetId="21"/>
      <sheetData sheetId="22"/>
      <sheetData sheetId="23"/>
      <sheetData sheetId="24">
        <row r="12">
          <cell r="D12">
            <v>0.54400000000000004</v>
          </cell>
        </row>
      </sheetData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DeVIASI"/>
      <sheetName val="KoMposisi"/>
      <sheetName val="BERKAS"/>
      <sheetName val="Database"/>
      <sheetName val="W-NAD"/>
      <sheetName val="Neraca seAPJ"/>
      <sheetName val="data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PMT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W-NAD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UPDATE 25 JANUARI 2007"/>
      <sheetName val="aruskas"/>
      <sheetName val="Hal-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Jasa"/>
      <sheetName val="Mat"/>
      <sheetName val="12RB09_SE217_KDS_2011"/>
      <sheetName val="Smg"/>
      <sheetName val="LAMP_1L"/>
      <sheetName val="LAMP_4L"/>
      <sheetName val="LAMP_5L"/>
      <sheetName val="LAMP_7L"/>
      <sheetName val="NO. PRK"/>
      <sheetName val="PMT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INPBA"/>
      <sheetName val="Data"/>
      <sheetName val="PROGRAM"/>
      <sheetName val="FORM-B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7">
          <cell r="B7" t="str">
            <v>URAIAN PEKERJAAN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ca"/>
      <sheetName val="aruskas"/>
      <sheetName val="Hal-1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TDL2001"/>
      <sheetName val="Cover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JURNAL"/>
      <sheetName val="BB PUSAT"/>
      <sheetName val="DTstok"/>
      <sheetName val="JAN07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RincianPMG"/>
      <sheetName val="Rekap PMG."/>
      <sheetName val="Rincian HTT"/>
      <sheetName val="Rekap HTT"/>
      <sheetName val="Rincian AT"/>
      <sheetName val="Rekap AT"/>
      <sheetName val="JAN07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Cover"/>
      <sheetName val="aruskas"/>
      <sheetName val="master rab"/>
      <sheetName val="APBN"/>
      <sheetName val="Rekap PMG."/>
      <sheetName val="DTU"/>
      <sheetName val="Jasa"/>
      <sheetName val="Mat"/>
      <sheetName val="Neraca seAPJ"/>
      <sheetName val="Analisa"/>
      <sheetName val="Blangko Analisa"/>
      <sheetName val="Blangko RAB"/>
      <sheetName val="HPS"/>
      <sheetName val="sr"/>
      <sheetName val="impedansi"/>
      <sheetName val="entry REC  trip"/>
      <sheetName val="JAN07"/>
      <sheetName val="HB2"/>
      <sheetName val="Sensitivitas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GE027"/>
      <sheetName val="GE051"/>
      <sheetName val="Tabel PTKP"/>
      <sheetName val="GAS PLN-14"/>
      <sheetName val="BBM-PRO-11"/>
      <sheetName val="Resume"/>
      <sheetName val="Neraca seAPJ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Rekap PMG."/>
      <sheetName val="Jasa"/>
      <sheetName val="Mat"/>
      <sheetName val="dengan pembangkitan"/>
      <sheetName val="Prices"/>
      <sheetName val="Sch-5"/>
      <sheetName val="NO. PRK"/>
      <sheetName val="TRANS"/>
      <sheetName val="tabel"/>
      <sheetName val="AR"/>
      <sheetName val="Sensitivitas"/>
      <sheetName val="bayar_04_fak"/>
      <sheetName val="HB BARU"/>
      <sheetName val="HB2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heet1"/>
      <sheetName val="Submission Form"/>
      <sheetName val="unit"/>
      <sheetName val="aruskas"/>
      <sheetName val="Sheet2"/>
      <sheetName val="Sheet3"/>
      <sheetName val="rkap2008"/>
      <sheetName val="List"/>
      <sheetName val="master rab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Sheet1"/>
      <sheetName val="01 A"/>
      <sheetName val="Har_Sus"/>
      <sheetName val="006 AC Standing Floor CT"/>
      <sheetName val="THN-7"/>
      <sheetName val="Sudah Berjalan"/>
      <sheetName val="RKA 2012 (GAS)"/>
      <sheetName val="KONTRAK RAFLINDO"/>
      <sheetName val="Komp-A"/>
      <sheetName val="Harian"/>
      <sheetName val="tabel-JHT"/>
      <sheetName val="XREF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AnalisaSIPIL RIIL"/>
      <sheetName val="IkhtisarBiop(12.0)"/>
      <sheetName val="PendOpLain(11B)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Usulan"/>
      <sheetName val="W1"/>
      <sheetName val="Material"/>
      <sheetName val="BBT HARDU"/>
      <sheetName val="KALK_GES"/>
      <sheetName val="LAIN2"/>
      <sheetName val="unit"/>
      <sheetName val="Penjualan"/>
      <sheetName val="ProdSendiri"/>
      <sheetName val="PS&amp;Susut TL"/>
      <sheetName val="SewaBeli"/>
      <sheetName val="Transfer"/>
      <sheetName val="Formulas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BBT HARJAR"/>
      <sheetName val="IN OUT"/>
      <sheetName val="Sheet3"/>
      <sheetName val="TRANS"/>
      <sheetName val="RJBR"/>
      <sheetName val="16 - Alternative Unit Pricing"/>
      <sheetName val="Estimate"/>
      <sheetName val="Fuel Gas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 Report-Akum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R-SM-KIN"/>
      <sheetName val="REFERENSI"/>
      <sheetName val="PDPKonstruksi"/>
      <sheetName val="form"/>
      <sheetName val="bahps"/>
      <sheetName val="Rekap PMG."/>
      <sheetName val="bantu"/>
      <sheetName val="master rab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Sheet2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Sheet3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950" activePane="bottomRight" state="frozen"/>
      <selection activeCell="D209" sqref="D209"/>
      <selection pane="topRight" activeCell="D209" sqref="D209"/>
      <selection pane="bottomLeft" activeCell="D209" sqref="D209"/>
      <selection pane="bottomRight" activeCell="C961" sqref="C96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0" t="s">
        <v>43</v>
      </c>
      <c r="C2" s="53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1" t="s">
        <v>23</v>
      </c>
      <c r="C4" s="532" t="s">
        <v>1016</v>
      </c>
      <c r="D4" s="532" t="s">
        <v>44</v>
      </c>
      <c r="E4" s="531" t="s">
        <v>45</v>
      </c>
      <c r="F4" s="108" t="s">
        <v>1609</v>
      </c>
      <c r="G4" s="108" t="s">
        <v>1608</v>
      </c>
      <c r="H4" s="529" t="s">
        <v>1029</v>
      </c>
      <c r="I4" s="193" t="s">
        <v>482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1"/>
      <c r="C5" s="532"/>
      <c r="D5" s="532"/>
      <c r="E5" s="531"/>
      <c r="F5" s="93"/>
      <c r="G5" s="93"/>
      <c r="H5" s="52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483</v>
      </c>
      <c r="C8" s="109" t="s">
        <v>484</v>
      </c>
      <c r="D8" s="213"/>
      <c r="E8" s="214"/>
      <c r="F8" s="176">
        <f>(IF(D8="JASA",G8*'[113]DETAIL USULAN'!$K$58,0))+(IF(D8="HDW",G8*'[113]DETAIL USULAN'!$J$58,0))+(IF(D8="MDU",G8*'[113]DETAIL USULAN'!$I$58,0))+(IF(D8="MDU-KD",G8*'[113]DETAIL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485</v>
      </c>
      <c r="D9" s="213" t="s">
        <v>46</v>
      </c>
      <c r="E9" s="214" t="s">
        <v>8</v>
      </c>
      <c r="F9" s="215">
        <v>294100</v>
      </c>
      <c r="G9" s="215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486</v>
      </c>
      <c r="D10" s="213" t="s">
        <v>47</v>
      </c>
      <c r="E10" s="214" t="s">
        <v>8</v>
      </c>
      <c r="F10" s="215">
        <v>1719200</v>
      </c>
      <c r="G10" s="215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487</v>
      </c>
      <c r="D11" s="213" t="s">
        <v>46</v>
      </c>
      <c r="E11" s="214" t="s">
        <v>8</v>
      </c>
      <c r="F11" s="215">
        <v>151000</v>
      </c>
      <c r="G11" s="215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1145</v>
      </c>
      <c r="D12" s="213" t="s">
        <v>46</v>
      </c>
      <c r="E12" s="214" t="s">
        <v>8</v>
      </c>
      <c r="F12" s="215">
        <v>1430000</v>
      </c>
      <c r="G12" s="215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1144</v>
      </c>
      <c r="D13" s="213" t="s">
        <v>46</v>
      </c>
      <c r="E13" s="214" t="s">
        <v>8</v>
      </c>
      <c r="F13" s="215">
        <v>16495000</v>
      </c>
      <c r="G13" s="215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1201</v>
      </c>
      <c r="D14" s="213" t="s">
        <v>46</v>
      </c>
      <c r="E14" s="214" t="s">
        <v>8</v>
      </c>
      <c r="F14" s="215">
        <v>1281430</v>
      </c>
      <c r="G14" s="215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1202</v>
      </c>
      <c r="D15" s="213" t="s">
        <v>46</v>
      </c>
      <c r="E15" s="214" t="s">
        <v>8</v>
      </c>
      <c r="F15" s="215">
        <v>1344430</v>
      </c>
      <c r="G15" s="215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1200</v>
      </c>
      <c r="D16" s="213" t="s">
        <v>46</v>
      </c>
      <c r="E16" s="214" t="s">
        <v>8</v>
      </c>
      <c r="F16" s="215">
        <v>1350430</v>
      </c>
      <c r="G16" s="215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1146</v>
      </c>
      <c r="D17" s="213" t="s">
        <v>47</v>
      </c>
      <c r="E17" s="214" t="s">
        <v>14</v>
      </c>
      <c r="F17" s="215">
        <v>1000000</v>
      </c>
      <c r="G17" s="215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488</v>
      </c>
      <c r="D18" s="213" t="s">
        <v>46</v>
      </c>
      <c r="E18" s="214" t="s">
        <v>8</v>
      </c>
      <c r="F18" s="215">
        <v>35000</v>
      </c>
      <c r="G18" s="215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489</v>
      </c>
      <c r="D19" s="213" t="s">
        <v>46</v>
      </c>
      <c r="E19" s="214" t="s">
        <v>8</v>
      </c>
      <c r="F19" s="215">
        <v>35000</v>
      </c>
      <c r="G19" s="215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490</v>
      </c>
      <c r="D20" s="213" t="s">
        <v>46</v>
      </c>
      <c r="E20" s="214" t="s">
        <v>8</v>
      </c>
      <c r="F20" s="215">
        <v>35000</v>
      </c>
      <c r="G20" s="215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491</v>
      </c>
      <c r="D21" s="213" t="s">
        <v>46</v>
      </c>
      <c r="E21" s="214" t="s">
        <v>8</v>
      </c>
      <c r="F21" s="215">
        <v>35000</v>
      </c>
      <c r="G21" s="215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492</v>
      </c>
      <c r="D22" s="213" t="s">
        <v>46</v>
      </c>
      <c r="E22" s="214" t="s">
        <v>8</v>
      </c>
      <c r="F22" s="215">
        <v>35000</v>
      </c>
      <c r="G22" s="215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493</v>
      </c>
      <c r="D23" s="213" t="s">
        <v>46</v>
      </c>
      <c r="E23" s="214" t="s">
        <v>8</v>
      </c>
      <c r="F23" s="215">
        <v>35000</v>
      </c>
      <c r="G23" s="215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494</v>
      </c>
      <c r="D24" s="213" t="s">
        <v>46</v>
      </c>
      <c r="E24" s="214" t="s">
        <v>8</v>
      </c>
      <c r="F24" s="215">
        <v>35000</v>
      </c>
      <c r="G24" s="215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495</v>
      </c>
      <c r="D25" s="213" t="s">
        <v>46</v>
      </c>
      <c r="E25" s="214" t="s">
        <v>8</v>
      </c>
      <c r="F25" s="215">
        <v>35000</v>
      </c>
      <c r="G25" s="215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496</v>
      </c>
      <c r="D26" s="213" t="s">
        <v>46</v>
      </c>
      <c r="E26" s="214" t="s">
        <v>8</v>
      </c>
      <c r="F26" s="215">
        <v>35000</v>
      </c>
      <c r="G26" s="215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497</v>
      </c>
      <c r="D27" s="213" t="s">
        <v>46</v>
      </c>
      <c r="E27" s="214" t="s">
        <v>8</v>
      </c>
      <c r="F27" s="215">
        <v>155100</v>
      </c>
      <c r="G27" s="215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498</v>
      </c>
      <c r="D28" s="213" t="s">
        <v>46</v>
      </c>
      <c r="E28" s="214" t="s">
        <v>8</v>
      </c>
      <c r="F28" s="215">
        <v>155100</v>
      </c>
      <c r="G28" s="215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499</v>
      </c>
      <c r="D29" s="213" t="s">
        <v>46</v>
      </c>
      <c r="E29" s="214" t="s">
        <v>8</v>
      </c>
      <c r="F29" s="215">
        <v>155100</v>
      </c>
      <c r="G29" s="215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500</v>
      </c>
      <c r="D30" s="213" t="s">
        <v>46</v>
      </c>
      <c r="E30" s="214" t="s">
        <v>8</v>
      </c>
      <c r="F30" s="215">
        <v>155100</v>
      </c>
      <c r="G30" s="215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501</v>
      </c>
      <c r="D31" s="213" t="s">
        <v>46</v>
      </c>
      <c r="E31" s="214" t="s">
        <v>8</v>
      </c>
      <c r="F31" s="215">
        <v>155100</v>
      </c>
      <c r="G31" s="215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502</v>
      </c>
      <c r="D32" s="213" t="s">
        <v>47</v>
      </c>
      <c r="E32" s="214" t="s">
        <v>8</v>
      </c>
      <c r="F32" s="215">
        <v>723500</v>
      </c>
      <c r="G32" s="215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503</v>
      </c>
      <c r="D33" s="213" t="s">
        <v>47</v>
      </c>
      <c r="E33" s="214" t="s">
        <v>8</v>
      </c>
      <c r="F33" s="215">
        <v>723500</v>
      </c>
      <c r="G33" s="215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504</v>
      </c>
      <c r="D34" s="213" t="s">
        <v>47</v>
      </c>
      <c r="E34" s="214" t="s">
        <v>8</v>
      </c>
      <c r="F34" s="215">
        <v>757500</v>
      </c>
      <c r="G34" s="215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505</v>
      </c>
      <c r="D35" s="213" t="s">
        <v>47</v>
      </c>
      <c r="E35" s="214" t="s">
        <v>8</v>
      </c>
      <c r="F35" s="215">
        <v>757500</v>
      </c>
      <c r="G35" s="215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13" t="s">
        <v>47</v>
      </c>
      <c r="E36" s="214" t="s">
        <v>8</v>
      </c>
      <c r="F36" s="215">
        <v>733500</v>
      </c>
      <c r="G36" s="215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13" t="s">
        <v>47</v>
      </c>
      <c r="E37" s="214" t="s">
        <v>8</v>
      </c>
      <c r="F37" s="215">
        <v>823500</v>
      </c>
      <c r="G37" s="215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13" t="s">
        <v>47</v>
      </c>
      <c r="E38" s="214" t="s">
        <v>8</v>
      </c>
      <c r="F38" s="215">
        <v>1156500</v>
      </c>
      <c r="G38" s="215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13" t="s">
        <v>47</v>
      </c>
      <c r="E39" s="214" t="s">
        <v>8</v>
      </c>
      <c r="F39" s="215">
        <v>1237500</v>
      </c>
      <c r="G39" s="215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13" t="s">
        <v>47</v>
      </c>
      <c r="E40" s="214" t="s">
        <v>8</v>
      </c>
      <c r="F40" s="215">
        <v>1287000</v>
      </c>
      <c r="G40" s="215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13" t="s">
        <v>47</v>
      </c>
      <c r="E41" s="214" t="s">
        <v>8</v>
      </c>
      <c r="F41" s="215">
        <v>1336500</v>
      </c>
      <c r="G41" s="215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13" t="s">
        <v>47</v>
      </c>
      <c r="E42" s="214" t="s">
        <v>8</v>
      </c>
      <c r="F42" s="215">
        <v>1336500</v>
      </c>
      <c r="G42" s="215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13" t="s">
        <v>47</v>
      </c>
      <c r="E43" s="214" t="s">
        <v>8</v>
      </c>
      <c r="F43" s="215">
        <v>2866500</v>
      </c>
      <c r="G43" s="215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506</v>
      </c>
      <c r="D44" s="213" t="s">
        <v>47</v>
      </c>
      <c r="E44" s="214" t="s">
        <v>8</v>
      </c>
      <c r="F44" s="215">
        <v>545000</v>
      </c>
      <c r="G44" s="215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507</v>
      </c>
      <c r="D45" s="213" t="s">
        <v>47</v>
      </c>
      <c r="E45" s="214" t="s">
        <v>8</v>
      </c>
      <c r="F45" s="215">
        <v>545000</v>
      </c>
      <c r="G45" s="215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1327</v>
      </c>
      <c r="D46" s="213" t="s">
        <v>46</v>
      </c>
      <c r="E46" s="214" t="s">
        <v>8</v>
      </c>
      <c r="F46" s="215">
        <v>2250810</v>
      </c>
      <c r="G46" s="215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1328</v>
      </c>
      <c r="D47" s="213" t="s">
        <v>46</v>
      </c>
      <c r="E47" s="214" t="s">
        <v>8</v>
      </c>
      <c r="F47" s="215">
        <v>2250810</v>
      </c>
      <c r="G47" s="215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1329</v>
      </c>
      <c r="D48" s="213" t="s">
        <v>46</v>
      </c>
      <c r="E48" s="214" t="s">
        <v>8</v>
      </c>
      <c r="F48" s="215">
        <v>2250810</v>
      </c>
      <c r="G48" s="215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1330</v>
      </c>
      <c r="D49" s="213" t="s">
        <v>46</v>
      </c>
      <c r="E49" s="214" t="s">
        <v>8</v>
      </c>
      <c r="F49" s="215">
        <v>2250810</v>
      </c>
      <c r="G49" s="215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1331</v>
      </c>
      <c r="D50" s="213" t="s">
        <v>46</v>
      </c>
      <c r="E50" s="214" t="s">
        <v>8</v>
      </c>
      <c r="F50" s="215">
        <v>2250810</v>
      </c>
      <c r="G50" s="215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1332</v>
      </c>
      <c r="D51" s="213" t="s">
        <v>46</v>
      </c>
      <c r="E51" s="214" t="s">
        <v>8</v>
      </c>
      <c r="F51" s="215">
        <v>2250810</v>
      </c>
      <c r="G51" s="215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1333</v>
      </c>
      <c r="D52" s="213" t="s">
        <v>46</v>
      </c>
      <c r="E52" s="214" t="s">
        <v>8</v>
      </c>
      <c r="F52" s="215">
        <v>2250810</v>
      </c>
      <c r="G52" s="215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1334</v>
      </c>
      <c r="D53" s="213" t="s">
        <v>46</v>
      </c>
      <c r="E53" s="214" t="s">
        <v>8</v>
      </c>
      <c r="F53" s="215">
        <v>2250810</v>
      </c>
      <c r="G53" s="215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1335</v>
      </c>
      <c r="D54" s="213" t="s">
        <v>46</v>
      </c>
      <c r="E54" s="214" t="s">
        <v>8</v>
      </c>
      <c r="F54" s="215">
        <v>2250810</v>
      </c>
      <c r="G54" s="215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1336</v>
      </c>
      <c r="D55" s="213" t="s">
        <v>46</v>
      </c>
      <c r="E55" s="214" t="s">
        <v>8</v>
      </c>
      <c r="F55" s="215">
        <v>2250810</v>
      </c>
      <c r="G55" s="215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1337</v>
      </c>
      <c r="D56" s="213" t="s">
        <v>46</v>
      </c>
      <c r="E56" s="214" t="s">
        <v>8</v>
      </c>
      <c r="F56" s="215">
        <v>2250810</v>
      </c>
      <c r="G56" s="215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1338</v>
      </c>
      <c r="D57" s="213" t="s">
        <v>46</v>
      </c>
      <c r="E57" s="214" t="s">
        <v>8</v>
      </c>
      <c r="F57" s="215">
        <v>2250810</v>
      </c>
      <c r="G57" s="215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1339</v>
      </c>
      <c r="D58" s="213" t="s">
        <v>46</v>
      </c>
      <c r="E58" s="214" t="s">
        <v>8</v>
      </c>
      <c r="F58" s="215">
        <v>2250810</v>
      </c>
      <c r="G58" s="215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1340</v>
      </c>
      <c r="D59" s="213" t="s">
        <v>46</v>
      </c>
      <c r="E59" s="214" t="s">
        <v>8</v>
      </c>
      <c r="F59" s="215">
        <v>2250810</v>
      </c>
      <c r="G59" s="215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1341</v>
      </c>
      <c r="D60" s="213" t="s">
        <v>46</v>
      </c>
      <c r="E60" s="214" t="s">
        <v>8</v>
      </c>
      <c r="F60" s="215">
        <v>2250810</v>
      </c>
      <c r="G60" s="215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1342</v>
      </c>
      <c r="D61" s="213" t="s">
        <v>46</v>
      </c>
      <c r="E61" s="214" t="s">
        <v>8</v>
      </c>
      <c r="F61" s="215">
        <v>2250810</v>
      </c>
      <c r="G61" s="215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1343</v>
      </c>
      <c r="D62" s="213" t="s">
        <v>46</v>
      </c>
      <c r="E62" s="214" t="s">
        <v>8</v>
      </c>
      <c r="F62" s="215">
        <v>2250810</v>
      </c>
      <c r="G62" s="215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1344</v>
      </c>
      <c r="D63" s="213" t="s">
        <v>46</v>
      </c>
      <c r="E63" s="214" t="s">
        <v>8</v>
      </c>
      <c r="F63" s="215">
        <v>2250810</v>
      </c>
      <c r="G63" s="215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1345</v>
      </c>
      <c r="D64" s="213" t="s">
        <v>46</v>
      </c>
      <c r="E64" s="214" t="s">
        <v>8</v>
      </c>
      <c r="F64" s="215">
        <v>2250810</v>
      </c>
      <c r="G64" s="215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1346</v>
      </c>
      <c r="D65" s="213" t="s">
        <v>46</v>
      </c>
      <c r="E65" s="214" t="s">
        <v>8</v>
      </c>
      <c r="F65" s="215">
        <v>2250810</v>
      </c>
      <c r="G65" s="215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1347</v>
      </c>
      <c r="D66" s="213" t="s">
        <v>46</v>
      </c>
      <c r="E66" s="214" t="s">
        <v>8</v>
      </c>
      <c r="F66" s="215">
        <v>7034000</v>
      </c>
      <c r="G66" s="215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1348</v>
      </c>
      <c r="D67" s="213" t="s">
        <v>46</v>
      </c>
      <c r="E67" s="214" t="s">
        <v>8</v>
      </c>
      <c r="F67" s="215">
        <v>7034000</v>
      </c>
      <c r="G67" s="215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1385</v>
      </c>
      <c r="D68" s="213" t="s">
        <v>46</v>
      </c>
      <c r="E68" s="214" t="s">
        <v>8</v>
      </c>
      <c r="F68" s="215">
        <v>3826640</v>
      </c>
      <c r="G68" s="215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1386</v>
      </c>
      <c r="D69" s="213" t="s">
        <v>46</v>
      </c>
      <c r="E69" s="214" t="s">
        <v>8</v>
      </c>
      <c r="F69" s="215">
        <v>3826640</v>
      </c>
      <c r="G69" s="215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1387</v>
      </c>
      <c r="D70" s="213" t="s">
        <v>46</v>
      </c>
      <c r="E70" s="214" t="s">
        <v>8</v>
      </c>
      <c r="F70" s="215">
        <v>3826640</v>
      </c>
      <c r="G70" s="215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1388</v>
      </c>
      <c r="D71" s="213" t="s">
        <v>46</v>
      </c>
      <c r="E71" s="214" t="s">
        <v>8</v>
      </c>
      <c r="F71" s="215">
        <v>3826640</v>
      </c>
      <c r="G71" s="215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1389</v>
      </c>
      <c r="D72" s="213" t="s">
        <v>46</v>
      </c>
      <c r="E72" s="214" t="s">
        <v>8</v>
      </c>
      <c r="F72" s="215">
        <v>3826640</v>
      </c>
      <c r="G72" s="215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1390</v>
      </c>
      <c r="D73" s="213" t="s">
        <v>46</v>
      </c>
      <c r="E73" s="214" t="s">
        <v>8</v>
      </c>
      <c r="F73" s="215">
        <v>3826640</v>
      </c>
      <c r="G73" s="215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1391</v>
      </c>
      <c r="D74" s="213" t="s">
        <v>46</v>
      </c>
      <c r="E74" s="214" t="s">
        <v>8</v>
      </c>
      <c r="F74" s="215">
        <v>3826640</v>
      </c>
      <c r="G74" s="215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1392</v>
      </c>
      <c r="D75" s="213" t="s">
        <v>46</v>
      </c>
      <c r="E75" s="214" t="s">
        <v>8</v>
      </c>
      <c r="F75" s="215">
        <v>3826640</v>
      </c>
      <c r="G75" s="215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1393</v>
      </c>
      <c r="D76" s="213" t="s">
        <v>46</v>
      </c>
      <c r="E76" s="214" t="s">
        <v>8</v>
      </c>
      <c r="F76" s="215">
        <v>3826640</v>
      </c>
      <c r="G76" s="215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1394</v>
      </c>
      <c r="D77" s="213" t="s">
        <v>46</v>
      </c>
      <c r="E77" s="214" t="s">
        <v>8</v>
      </c>
      <c r="F77" s="215">
        <v>3826640</v>
      </c>
      <c r="G77" s="215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1395</v>
      </c>
      <c r="D78" s="213" t="s">
        <v>46</v>
      </c>
      <c r="E78" s="214" t="s">
        <v>8</v>
      </c>
      <c r="F78" s="215">
        <v>3826640</v>
      </c>
      <c r="G78" s="215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1396</v>
      </c>
      <c r="D79" s="213" t="s">
        <v>46</v>
      </c>
      <c r="E79" s="214" t="s">
        <v>8</v>
      </c>
      <c r="F79" s="215">
        <v>3826640</v>
      </c>
      <c r="G79" s="215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1397</v>
      </c>
      <c r="D80" s="213" t="s">
        <v>46</v>
      </c>
      <c r="E80" s="214" t="s">
        <v>8</v>
      </c>
      <c r="F80" s="215">
        <v>3826640</v>
      </c>
      <c r="G80" s="215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1398</v>
      </c>
      <c r="D81" s="213" t="s">
        <v>46</v>
      </c>
      <c r="E81" s="214" t="s">
        <v>8</v>
      </c>
      <c r="F81" s="215">
        <v>3826640</v>
      </c>
      <c r="G81" s="215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1399</v>
      </c>
      <c r="D82" s="213" t="s">
        <v>46</v>
      </c>
      <c r="E82" s="214" t="s">
        <v>8</v>
      </c>
      <c r="F82" s="215">
        <v>3826640</v>
      </c>
      <c r="G82" s="215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1400</v>
      </c>
      <c r="D83" s="213" t="s">
        <v>46</v>
      </c>
      <c r="E83" s="214" t="s">
        <v>8</v>
      </c>
      <c r="F83" s="215">
        <v>3826640</v>
      </c>
      <c r="G83" s="215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1349</v>
      </c>
      <c r="D84" s="213" t="s">
        <v>46</v>
      </c>
      <c r="E84" s="214" t="s">
        <v>8</v>
      </c>
      <c r="F84" s="215">
        <v>3551000</v>
      </c>
      <c r="G84" s="215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1350</v>
      </c>
      <c r="D85" s="213" t="s">
        <v>46</v>
      </c>
      <c r="E85" s="214" t="s">
        <v>8</v>
      </c>
      <c r="F85" s="215">
        <v>4585000</v>
      </c>
      <c r="G85" s="215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13" t="s">
        <v>50</v>
      </c>
      <c r="E86" s="214"/>
      <c r="F86" s="215"/>
      <c r="G86" s="215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508</v>
      </c>
      <c r="C87" s="109" t="s">
        <v>509</v>
      </c>
      <c r="D87" s="213" t="s">
        <v>50</v>
      </c>
      <c r="E87" s="214"/>
      <c r="F87" s="215"/>
      <c r="G87" s="215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510</v>
      </c>
      <c r="D88" s="213" t="s">
        <v>46</v>
      </c>
      <c r="E88" s="214" t="s">
        <v>14</v>
      </c>
      <c r="F88" s="215">
        <v>2980000</v>
      </c>
      <c r="G88" s="215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511</v>
      </c>
      <c r="D89" s="213" t="s">
        <v>46</v>
      </c>
      <c r="E89" s="214" t="s">
        <v>14</v>
      </c>
      <c r="F89" s="215">
        <v>2980000</v>
      </c>
      <c r="G89" s="215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512</v>
      </c>
      <c r="D90" s="213" t="s">
        <v>46</v>
      </c>
      <c r="E90" s="214" t="s">
        <v>14</v>
      </c>
      <c r="F90" s="215">
        <v>2980000</v>
      </c>
      <c r="G90" s="215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513</v>
      </c>
      <c r="D91" s="213" t="s">
        <v>46</v>
      </c>
      <c r="E91" s="214" t="s">
        <v>14</v>
      </c>
      <c r="F91" s="215">
        <v>2980000</v>
      </c>
      <c r="G91" s="215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514</v>
      </c>
      <c r="D92" s="213" t="s">
        <v>46</v>
      </c>
      <c r="E92" s="214" t="s">
        <v>14</v>
      </c>
      <c r="F92" s="215">
        <v>2980000</v>
      </c>
      <c r="G92" s="215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515</v>
      </c>
      <c r="D93" s="213" t="s">
        <v>46</v>
      </c>
      <c r="E93" s="214" t="s">
        <v>14</v>
      </c>
      <c r="F93" s="215">
        <v>2980000</v>
      </c>
      <c r="G93" s="215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516</v>
      </c>
      <c r="D94" s="213" t="s">
        <v>46</v>
      </c>
      <c r="E94" s="214" t="s">
        <v>14</v>
      </c>
      <c r="F94" s="215">
        <v>2980000</v>
      </c>
      <c r="G94" s="215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517</v>
      </c>
      <c r="D95" s="213" t="s">
        <v>46</v>
      </c>
      <c r="E95" s="214" t="s">
        <v>14</v>
      </c>
      <c r="F95" s="215">
        <v>2980000</v>
      </c>
      <c r="G95" s="215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518</v>
      </c>
      <c r="D96" s="213" t="s">
        <v>46</v>
      </c>
      <c r="E96" s="214" t="s">
        <v>14</v>
      </c>
      <c r="F96" s="215">
        <v>12249100</v>
      </c>
      <c r="G96" s="215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519</v>
      </c>
      <c r="D97" s="213" t="s">
        <v>46</v>
      </c>
      <c r="E97" s="214" t="s">
        <v>14</v>
      </c>
      <c r="F97" s="215">
        <v>12249100</v>
      </c>
      <c r="G97" s="215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520</v>
      </c>
      <c r="D98" s="213" t="s">
        <v>46</v>
      </c>
      <c r="E98" s="214" t="s">
        <v>14</v>
      </c>
      <c r="F98" s="215">
        <v>12764100</v>
      </c>
      <c r="G98" s="215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521</v>
      </c>
      <c r="D99" s="213" t="s">
        <v>46</v>
      </c>
      <c r="E99" s="214" t="s">
        <v>14</v>
      </c>
      <c r="F99" s="215">
        <v>12764100</v>
      </c>
      <c r="G99" s="215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522</v>
      </c>
      <c r="D100" s="213" t="s">
        <v>46</v>
      </c>
      <c r="E100" s="214" t="s">
        <v>14</v>
      </c>
      <c r="F100" s="215">
        <v>13444100</v>
      </c>
      <c r="G100" s="215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523</v>
      </c>
      <c r="D101" s="213" t="s">
        <v>46</v>
      </c>
      <c r="E101" s="214" t="s">
        <v>14</v>
      </c>
      <c r="F101" s="215">
        <v>13444100</v>
      </c>
      <c r="G101" s="215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524</v>
      </c>
      <c r="D102" s="213" t="s">
        <v>46</v>
      </c>
      <c r="E102" s="214" t="s">
        <v>14</v>
      </c>
      <c r="F102" s="215">
        <v>13444100</v>
      </c>
      <c r="G102" s="215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525</v>
      </c>
      <c r="D103" s="213" t="s">
        <v>46</v>
      </c>
      <c r="E103" s="214" t="s">
        <v>14</v>
      </c>
      <c r="F103" s="215">
        <v>14119100</v>
      </c>
      <c r="G103" s="215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526</v>
      </c>
      <c r="D104" s="213" t="s">
        <v>46</v>
      </c>
      <c r="E104" s="214" t="s">
        <v>14</v>
      </c>
      <c r="F104" s="215">
        <v>3050000</v>
      </c>
      <c r="G104" s="215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146</v>
      </c>
      <c r="D105" s="213" t="s">
        <v>47</v>
      </c>
      <c r="E105" s="214" t="s">
        <v>24</v>
      </c>
      <c r="F105" s="215">
        <v>61350.369301283834</v>
      </c>
      <c r="G105" s="215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147</v>
      </c>
      <c r="D106" s="213" t="s">
        <v>47</v>
      </c>
      <c r="E106" s="214" t="s">
        <v>24</v>
      </c>
      <c r="F106" s="215">
        <v>297606.44984038931</v>
      </c>
      <c r="G106" s="215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51</v>
      </c>
      <c r="D107" s="213" t="s">
        <v>47</v>
      </c>
      <c r="E107" s="214" t="s">
        <v>8</v>
      </c>
      <c r="F107" s="215">
        <v>63410.286500000002</v>
      </c>
      <c r="G107" s="215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52</v>
      </c>
      <c r="D108" s="213" t="s">
        <v>47</v>
      </c>
      <c r="E108" s="214" t="s">
        <v>8</v>
      </c>
      <c r="F108" s="215">
        <v>259574.27222222224</v>
      </c>
      <c r="G108" s="215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53</v>
      </c>
      <c r="D109" s="213" t="s">
        <v>47</v>
      </c>
      <c r="E109" s="214" t="s">
        <v>8</v>
      </c>
      <c r="F109" s="215">
        <v>5918293.4066666672</v>
      </c>
      <c r="G109" s="215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54</v>
      </c>
      <c r="D110" s="213" t="s">
        <v>47</v>
      </c>
      <c r="E110" s="214" t="s">
        <v>8</v>
      </c>
      <c r="F110" s="215">
        <v>7304865.0047999993</v>
      </c>
      <c r="G110" s="215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41</v>
      </c>
      <c r="D111" s="213" t="s">
        <v>47</v>
      </c>
      <c r="E111" s="214" t="s">
        <v>8</v>
      </c>
      <c r="F111" s="215">
        <v>7575415.5605333354</v>
      </c>
      <c r="G111" s="215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55</v>
      </c>
      <c r="D112" s="213" t="s">
        <v>47</v>
      </c>
      <c r="E112" s="214" t="s">
        <v>8</v>
      </c>
      <c r="F112" s="215">
        <v>7034314.449066666</v>
      </c>
      <c r="G112" s="215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13" t="s">
        <v>50</v>
      </c>
      <c r="E113" s="214"/>
      <c r="F113" s="215"/>
      <c r="G113" s="215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527</v>
      </c>
      <c r="C114" s="109" t="s">
        <v>1198</v>
      </c>
      <c r="D114" s="213" t="s">
        <v>50</v>
      </c>
      <c r="E114" s="214"/>
      <c r="F114" s="215"/>
      <c r="G114" s="215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1199</v>
      </c>
      <c r="D115" s="213" t="s">
        <v>47</v>
      </c>
      <c r="E115" s="214" t="s">
        <v>14</v>
      </c>
      <c r="F115" s="215"/>
      <c r="G115" s="215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1017</v>
      </c>
      <c r="D116" s="213" t="s">
        <v>46</v>
      </c>
      <c r="E116" s="214" t="s">
        <v>528</v>
      </c>
      <c r="F116" s="215">
        <v>16002920</v>
      </c>
      <c r="G116" s="215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1018</v>
      </c>
      <c r="D117" s="213" t="s">
        <v>46</v>
      </c>
      <c r="E117" s="214" t="s">
        <v>528</v>
      </c>
      <c r="F117" s="215">
        <v>18311920</v>
      </c>
      <c r="G117" s="215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1019</v>
      </c>
      <c r="D118" s="213" t="s">
        <v>46</v>
      </c>
      <c r="E118" s="214" t="s">
        <v>528</v>
      </c>
      <c r="F118" s="215">
        <v>79514150</v>
      </c>
      <c r="G118" s="215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1020</v>
      </c>
      <c r="D119" s="213" t="s">
        <v>46</v>
      </c>
      <c r="E119" s="214" t="s">
        <v>528</v>
      </c>
      <c r="F119" s="215">
        <v>46492920</v>
      </c>
      <c r="G119" s="215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1021</v>
      </c>
      <c r="D120" s="213" t="s">
        <v>46</v>
      </c>
      <c r="E120" s="214" t="s">
        <v>528</v>
      </c>
      <c r="F120" s="215">
        <v>229416150</v>
      </c>
      <c r="G120" s="215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1197</v>
      </c>
      <c r="D121" s="213" t="s">
        <v>46</v>
      </c>
      <c r="E121" s="214" t="s">
        <v>528</v>
      </c>
      <c r="F121" s="215">
        <v>46425420</v>
      </c>
      <c r="G121" s="215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1401</v>
      </c>
      <c r="D122" s="213" t="s">
        <v>50</v>
      </c>
      <c r="E122" s="214"/>
      <c r="F122" s="215"/>
      <c r="G122" s="215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1402</v>
      </c>
      <c r="D123" s="213" t="s">
        <v>46</v>
      </c>
      <c r="E123" s="214" t="s">
        <v>528</v>
      </c>
      <c r="F123" s="215">
        <v>241300000</v>
      </c>
      <c r="G123" s="215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1403</v>
      </c>
      <c r="D124" s="213" t="s">
        <v>46</v>
      </c>
      <c r="E124" s="214" t="s">
        <v>14</v>
      </c>
      <c r="F124" s="215">
        <v>42499000</v>
      </c>
      <c r="G124" s="215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13"/>
      <c r="E125" s="214"/>
      <c r="F125" s="215"/>
      <c r="G125" s="215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529</v>
      </c>
      <c r="C126" s="109" t="s">
        <v>530</v>
      </c>
      <c r="D126" s="213" t="s">
        <v>50</v>
      </c>
      <c r="E126" s="214"/>
      <c r="F126" s="215"/>
      <c r="G126" s="215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531</v>
      </c>
      <c r="D127" s="213" t="s">
        <v>46</v>
      </c>
      <c r="E127" s="214" t="s">
        <v>528</v>
      </c>
      <c r="F127" s="215">
        <v>126104830</v>
      </c>
      <c r="G127" s="215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532</v>
      </c>
      <c r="D128" s="213" t="s">
        <v>46</v>
      </c>
      <c r="E128" s="214" t="s">
        <v>528</v>
      </c>
      <c r="F128" s="215">
        <v>191704830</v>
      </c>
      <c r="G128" s="215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1147</v>
      </c>
      <c r="D129" s="213" t="s">
        <v>47</v>
      </c>
      <c r="E129" s="214" t="s">
        <v>528</v>
      </c>
      <c r="F129" s="215">
        <v>79200000</v>
      </c>
      <c r="G129" s="215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1148</v>
      </c>
      <c r="D130" s="213" t="s">
        <v>47</v>
      </c>
      <c r="E130" s="214" t="s">
        <v>14</v>
      </c>
      <c r="F130" s="215">
        <v>5975000</v>
      </c>
      <c r="G130" s="215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1149</v>
      </c>
      <c r="D131" s="213" t="s">
        <v>47</v>
      </c>
      <c r="E131" s="214" t="s">
        <v>24</v>
      </c>
      <c r="F131" s="215">
        <v>12500000</v>
      </c>
      <c r="G131" s="215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13" t="s">
        <v>50</v>
      </c>
      <c r="E132" s="214"/>
      <c r="F132" s="215"/>
      <c r="G132" s="215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533</v>
      </c>
      <c r="C133" s="109" t="s">
        <v>534</v>
      </c>
      <c r="D133" s="213" t="s">
        <v>50</v>
      </c>
      <c r="E133" s="214"/>
      <c r="F133" s="215"/>
      <c r="G133" s="215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535</v>
      </c>
      <c r="D134" s="213" t="s">
        <v>46</v>
      </c>
      <c r="E134" s="214" t="s">
        <v>8</v>
      </c>
      <c r="F134" s="215">
        <v>24998100</v>
      </c>
      <c r="G134" s="215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1150</v>
      </c>
      <c r="D135" s="213" t="s">
        <v>46</v>
      </c>
      <c r="E135" s="214" t="s">
        <v>8</v>
      </c>
      <c r="F135" s="215">
        <v>26746100</v>
      </c>
      <c r="G135" s="215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1151</v>
      </c>
      <c r="D136" s="213" t="s">
        <v>46</v>
      </c>
      <c r="E136" s="214" t="s">
        <v>8</v>
      </c>
      <c r="F136" s="215">
        <v>38097500</v>
      </c>
      <c r="G136" s="215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1152</v>
      </c>
      <c r="D137" s="213" t="s">
        <v>46</v>
      </c>
      <c r="E137" s="214" t="s">
        <v>8</v>
      </c>
      <c r="F137" s="215">
        <v>46697500</v>
      </c>
      <c r="G137" s="215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1153</v>
      </c>
      <c r="D138" s="213" t="s">
        <v>46</v>
      </c>
      <c r="E138" s="214" t="s">
        <v>8</v>
      </c>
      <c r="F138" s="215">
        <v>21530100</v>
      </c>
      <c r="G138" s="215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1154</v>
      </c>
      <c r="D139" s="213" t="s">
        <v>46</v>
      </c>
      <c r="E139" s="214" t="s">
        <v>8</v>
      </c>
      <c r="F139" s="215">
        <v>31630800</v>
      </c>
      <c r="G139" s="215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1155</v>
      </c>
      <c r="D140" s="213" t="s">
        <v>46</v>
      </c>
      <c r="E140" s="214" t="s">
        <v>8</v>
      </c>
      <c r="F140" s="215">
        <v>32680800</v>
      </c>
      <c r="G140" s="215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1156</v>
      </c>
      <c r="D141" s="213" t="s">
        <v>46</v>
      </c>
      <c r="E141" s="214" t="s">
        <v>8</v>
      </c>
      <c r="F141" s="215">
        <v>37313100</v>
      </c>
      <c r="G141" s="215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1462</v>
      </c>
      <c r="D142" s="213" t="s">
        <v>46</v>
      </c>
      <c r="E142" s="214" t="s">
        <v>8</v>
      </c>
      <c r="F142" s="215">
        <v>63057400</v>
      </c>
      <c r="G142" s="215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13" t="s">
        <v>46</v>
      </c>
      <c r="E143" s="214" t="s">
        <v>8</v>
      </c>
      <c r="F143" s="215">
        <v>87094400</v>
      </c>
      <c r="G143" s="215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1047</v>
      </c>
      <c r="D144" s="213" t="s">
        <v>46</v>
      </c>
      <c r="E144" s="214" t="s">
        <v>8</v>
      </c>
      <c r="F144" s="215">
        <v>10270090</v>
      </c>
      <c r="G144" s="215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1048</v>
      </c>
      <c r="D145" s="213" t="s">
        <v>46</v>
      </c>
      <c r="E145" s="214" t="s">
        <v>8</v>
      </c>
      <c r="F145" s="215">
        <v>8972560</v>
      </c>
      <c r="G145" s="215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1049</v>
      </c>
      <c r="D146" s="213" t="s">
        <v>46</v>
      </c>
      <c r="E146" s="214" t="s">
        <v>8</v>
      </c>
      <c r="F146" s="215">
        <v>10973865</v>
      </c>
      <c r="G146" s="215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1050</v>
      </c>
      <c r="D147" s="213" t="s">
        <v>46</v>
      </c>
      <c r="E147" s="214" t="s">
        <v>8</v>
      </c>
      <c r="F147" s="215">
        <v>12622540</v>
      </c>
      <c r="G147" s="215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13" t="s">
        <v>46</v>
      </c>
      <c r="E148" s="214" t="s">
        <v>14</v>
      </c>
      <c r="F148" s="215">
        <v>15724250</v>
      </c>
      <c r="G148" s="215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13"/>
      <c r="E149" s="214"/>
      <c r="F149" s="215"/>
      <c r="G149" s="215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536</v>
      </c>
      <c r="C150" s="109" t="s">
        <v>537</v>
      </c>
      <c r="D150" s="213" t="s">
        <v>50</v>
      </c>
      <c r="E150" s="214"/>
      <c r="F150" s="215"/>
      <c r="G150" s="215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538</v>
      </c>
      <c r="D151" s="213" t="s">
        <v>46</v>
      </c>
      <c r="E151" s="214" t="s">
        <v>8</v>
      </c>
      <c r="F151" s="215">
        <v>848250</v>
      </c>
      <c r="G151" s="215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56</v>
      </c>
      <c r="D152" s="213" t="s">
        <v>47</v>
      </c>
      <c r="E152" s="214" t="s">
        <v>8</v>
      </c>
      <c r="F152" s="215">
        <v>17500</v>
      </c>
      <c r="G152" s="215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539</v>
      </c>
      <c r="D153" s="213" t="s">
        <v>47</v>
      </c>
      <c r="E153" s="214" t="s">
        <v>8</v>
      </c>
      <c r="F153" s="215">
        <v>17500</v>
      </c>
      <c r="G153" s="215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540</v>
      </c>
      <c r="D154" s="213" t="s">
        <v>47</v>
      </c>
      <c r="E154" s="214" t="s">
        <v>8</v>
      </c>
      <c r="F154" s="215">
        <v>17500</v>
      </c>
      <c r="G154" s="215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57</v>
      </c>
      <c r="D155" s="213" t="s">
        <v>47</v>
      </c>
      <c r="E155" s="214" t="s">
        <v>8</v>
      </c>
      <c r="F155" s="215">
        <v>18000</v>
      </c>
      <c r="G155" s="215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58</v>
      </c>
      <c r="D156" s="213" t="s">
        <v>47</v>
      </c>
      <c r="E156" s="214" t="s">
        <v>8</v>
      </c>
      <c r="F156" s="215">
        <v>18000</v>
      </c>
      <c r="G156" s="215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59</v>
      </c>
      <c r="D157" s="213" t="s">
        <v>47</v>
      </c>
      <c r="E157" s="214" t="s">
        <v>8</v>
      </c>
      <c r="F157" s="215">
        <v>18000</v>
      </c>
      <c r="G157" s="215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541</v>
      </c>
      <c r="D158" s="213" t="s">
        <v>47</v>
      </c>
      <c r="E158" s="214" t="s">
        <v>8</v>
      </c>
      <c r="F158" s="215">
        <v>18000</v>
      </c>
      <c r="G158" s="215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60</v>
      </c>
      <c r="D159" s="213" t="s">
        <v>47</v>
      </c>
      <c r="E159" s="214" t="s">
        <v>8</v>
      </c>
      <c r="F159" s="215">
        <v>18000</v>
      </c>
      <c r="G159" s="215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61</v>
      </c>
      <c r="D160" s="213" t="s">
        <v>47</v>
      </c>
      <c r="E160" s="214" t="s">
        <v>8</v>
      </c>
      <c r="F160" s="215">
        <v>20000</v>
      </c>
      <c r="G160" s="215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62</v>
      </c>
      <c r="D161" s="213" t="s">
        <v>47</v>
      </c>
      <c r="E161" s="214" t="s">
        <v>8</v>
      </c>
      <c r="F161" s="215">
        <v>23000</v>
      </c>
      <c r="G161" s="215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63</v>
      </c>
      <c r="D162" s="213" t="s">
        <v>47</v>
      </c>
      <c r="E162" s="214" t="s">
        <v>8</v>
      </c>
      <c r="F162" s="215">
        <v>23700</v>
      </c>
      <c r="G162" s="215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64</v>
      </c>
      <c r="D163" s="213" t="s">
        <v>47</v>
      </c>
      <c r="E163" s="214" t="s">
        <v>8</v>
      </c>
      <c r="F163" s="215">
        <v>32500</v>
      </c>
      <c r="G163" s="215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65</v>
      </c>
      <c r="D164" s="213" t="s">
        <v>47</v>
      </c>
      <c r="E164" s="214" t="s">
        <v>8</v>
      </c>
      <c r="F164" s="215">
        <v>32500</v>
      </c>
      <c r="G164" s="215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1404</v>
      </c>
      <c r="D165" s="213" t="s">
        <v>47</v>
      </c>
      <c r="E165" s="214" t="s">
        <v>8</v>
      </c>
      <c r="F165" s="215">
        <v>32500</v>
      </c>
      <c r="G165" s="215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1405</v>
      </c>
      <c r="D166" s="213" t="s">
        <v>47</v>
      </c>
      <c r="E166" s="214" t="s">
        <v>8</v>
      </c>
      <c r="F166" s="215">
        <v>32500</v>
      </c>
      <c r="G166" s="215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542</v>
      </c>
      <c r="D167" s="213" t="s">
        <v>47</v>
      </c>
      <c r="E167" s="214" t="s">
        <v>8</v>
      </c>
      <c r="F167" s="215">
        <v>35700</v>
      </c>
      <c r="G167" s="215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543</v>
      </c>
      <c r="D168" s="213" t="s">
        <v>47</v>
      </c>
      <c r="E168" s="214" t="s">
        <v>8</v>
      </c>
      <c r="F168" s="215">
        <v>38700</v>
      </c>
      <c r="G168" s="215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544</v>
      </c>
      <c r="D169" s="213" t="s">
        <v>47</v>
      </c>
      <c r="E169" s="214" t="s">
        <v>8</v>
      </c>
      <c r="F169" s="215">
        <v>38700</v>
      </c>
      <c r="G169" s="215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545</v>
      </c>
      <c r="D170" s="213" t="s">
        <v>47</v>
      </c>
      <c r="E170" s="214" t="s">
        <v>8</v>
      </c>
      <c r="F170" s="215">
        <v>38700</v>
      </c>
      <c r="G170" s="215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546</v>
      </c>
      <c r="D171" s="213" t="s">
        <v>47</v>
      </c>
      <c r="E171" s="214" t="s">
        <v>8</v>
      </c>
      <c r="F171" s="215">
        <v>38700</v>
      </c>
      <c r="G171" s="215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547</v>
      </c>
      <c r="D172" s="213" t="s">
        <v>47</v>
      </c>
      <c r="E172" s="214" t="s">
        <v>8</v>
      </c>
      <c r="F172" s="215">
        <v>51000</v>
      </c>
      <c r="G172" s="215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548</v>
      </c>
      <c r="D173" s="213" t="s">
        <v>47</v>
      </c>
      <c r="E173" s="214" t="s">
        <v>8</v>
      </c>
      <c r="F173" s="215">
        <v>94200</v>
      </c>
      <c r="G173" s="215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549</v>
      </c>
      <c r="D174" s="213" t="s">
        <v>47</v>
      </c>
      <c r="E174" s="214" t="s">
        <v>8</v>
      </c>
      <c r="F174" s="215">
        <v>119300</v>
      </c>
      <c r="G174" s="215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550</v>
      </c>
      <c r="D175" s="213" t="s">
        <v>47</v>
      </c>
      <c r="E175" s="214" t="s">
        <v>8</v>
      </c>
      <c r="F175" s="215">
        <v>432900</v>
      </c>
      <c r="G175" s="215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551</v>
      </c>
      <c r="D176" s="213" t="s">
        <v>47</v>
      </c>
      <c r="E176" s="214" t="s">
        <v>8</v>
      </c>
      <c r="F176" s="215">
        <v>56700</v>
      </c>
      <c r="G176" s="215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552</v>
      </c>
      <c r="D177" s="213" t="s">
        <v>47</v>
      </c>
      <c r="E177" s="214" t="s">
        <v>8</v>
      </c>
      <c r="F177" s="215">
        <v>68300</v>
      </c>
      <c r="G177" s="215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553</v>
      </c>
      <c r="D178" s="213" t="s">
        <v>47</v>
      </c>
      <c r="E178" s="214" t="s">
        <v>8</v>
      </c>
      <c r="F178" s="215">
        <v>116200</v>
      </c>
      <c r="G178" s="215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554</v>
      </c>
      <c r="D179" s="213" t="s">
        <v>47</v>
      </c>
      <c r="E179" s="214" t="s">
        <v>8</v>
      </c>
      <c r="F179" s="215">
        <v>183000</v>
      </c>
      <c r="G179" s="215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555</v>
      </c>
      <c r="D180" s="213" t="s">
        <v>47</v>
      </c>
      <c r="E180" s="214" t="s">
        <v>8</v>
      </c>
      <c r="F180" s="215">
        <v>271100</v>
      </c>
      <c r="G180" s="215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556</v>
      </c>
      <c r="D181" s="213" t="s">
        <v>47</v>
      </c>
      <c r="E181" s="214" t="s">
        <v>8</v>
      </c>
      <c r="F181" s="215">
        <v>669000</v>
      </c>
      <c r="G181" s="215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66</v>
      </c>
      <c r="D182" s="213" t="s">
        <v>47</v>
      </c>
      <c r="E182" s="214" t="s">
        <v>8</v>
      </c>
      <c r="F182" s="215">
        <v>37900</v>
      </c>
      <c r="G182" s="215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50</v>
      </c>
      <c r="D183" s="213" t="s">
        <v>50</v>
      </c>
      <c r="E183" s="214"/>
      <c r="F183" s="215"/>
      <c r="G183" s="215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557</v>
      </c>
      <c r="C184" s="109" t="s">
        <v>1157</v>
      </c>
      <c r="D184" s="213" t="s">
        <v>50</v>
      </c>
      <c r="E184" s="214"/>
      <c r="F184" s="215"/>
      <c r="G184" s="215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558</v>
      </c>
      <c r="D185" s="213" t="s">
        <v>47</v>
      </c>
      <c r="E185" s="214" t="s">
        <v>24</v>
      </c>
      <c r="F185" s="215">
        <v>22250000</v>
      </c>
      <c r="G185" s="215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559</v>
      </c>
      <c r="D186" s="213" t="s">
        <v>46</v>
      </c>
      <c r="E186" s="214" t="s">
        <v>24</v>
      </c>
      <c r="F186" s="215">
        <v>80895000</v>
      </c>
      <c r="G186" s="215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1037</v>
      </c>
      <c r="D187" s="213" t="s">
        <v>46</v>
      </c>
      <c r="E187" s="214" t="s">
        <v>24</v>
      </c>
      <c r="F187" s="215">
        <v>157800000</v>
      </c>
      <c r="G187" s="215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13" t="s">
        <v>46</v>
      </c>
      <c r="E188" s="214" t="s">
        <v>24</v>
      </c>
      <c r="F188" s="215">
        <v>8595700</v>
      </c>
      <c r="G188" s="215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4</v>
      </c>
      <c r="C189" s="417" t="s">
        <v>1612</v>
      </c>
      <c r="D189" s="213" t="s">
        <v>46</v>
      </c>
      <c r="E189" s="214" t="s">
        <v>24</v>
      </c>
      <c r="F189" s="415">
        <v>8595700</v>
      </c>
      <c r="G189" s="415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94">
        <v>5</v>
      </c>
      <c r="C190" s="109" t="s">
        <v>1563</v>
      </c>
      <c r="D190" s="213" t="s">
        <v>46</v>
      </c>
      <c r="E190" s="214" t="s">
        <v>24</v>
      </c>
      <c r="F190" s="215">
        <v>8595700</v>
      </c>
      <c r="G190" s="215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/>
      <c r="C191" s="109"/>
      <c r="D191" s="213"/>
      <c r="E191" s="214"/>
      <c r="F191" s="215"/>
      <c r="G191" s="215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94" t="s">
        <v>560</v>
      </c>
      <c r="C192" s="109" t="s">
        <v>561</v>
      </c>
      <c r="D192" s="213" t="s">
        <v>50</v>
      </c>
      <c r="E192" s="214"/>
      <c r="F192" s="215"/>
      <c r="G192" s="215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562</v>
      </c>
      <c r="D193" s="213" t="s">
        <v>46</v>
      </c>
      <c r="E193" s="214" t="s">
        <v>8</v>
      </c>
      <c r="F193" s="215">
        <v>648050</v>
      </c>
      <c r="G193" s="215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563</v>
      </c>
      <c r="D194" s="213" t="s">
        <v>46</v>
      </c>
      <c r="E194" s="214" t="s">
        <v>8</v>
      </c>
      <c r="F194" s="215">
        <v>674300</v>
      </c>
      <c r="G194" s="215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110</v>
      </c>
      <c r="D195" s="213" t="s">
        <v>47</v>
      </c>
      <c r="E195" s="214" t="s">
        <v>8</v>
      </c>
      <c r="F195" s="215">
        <v>42100</v>
      </c>
      <c r="G195" s="215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111</v>
      </c>
      <c r="D196" s="213" t="s">
        <v>47</v>
      </c>
      <c r="E196" s="214" t="s">
        <v>8</v>
      </c>
      <c r="F196" s="215">
        <v>42100</v>
      </c>
      <c r="G196" s="215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1051</v>
      </c>
      <c r="D197" s="213" t="s">
        <v>47</v>
      </c>
      <c r="E197" s="214" t="s">
        <v>8</v>
      </c>
      <c r="F197" s="215">
        <v>3800000</v>
      </c>
      <c r="G197" s="215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/>
      <c r="C198" s="109"/>
      <c r="D198" s="213" t="s">
        <v>50</v>
      </c>
      <c r="E198" s="214"/>
      <c r="F198" s="215"/>
      <c r="G198" s="215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94" t="s">
        <v>10</v>
      </c>
      <c r="C199" s="109" t="s">
        <v>586</v>
      </c>
      <c r="D199" s="213" t="s">
        <v>50</v>
      </c>
      <c r="E199" s="214"/>
      <c r="F199" s="215"/>
      <c r="G199" s="215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587</v>
      </c>
      <c r="D200" s="213" t="s">
        <v>47</v>
      </c>
      <c r="E200" s="214" t="s">
        <v>24</v>
      </c>
      <c r="F200" s="215">
        <v>280800000</v>
      </c>
      <c r="G200" s="215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112</v>
      </c>
      <c r="D201" s="213" t="s">
        <v>47</v>
      </c>
      <c r="E201" s="214" t="s">
        <v>8</v>
      </c>
      <c r="F201" s="215">
        <v>34688200</v>
      </c>
      <c r="G201" s="215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113</v>
      </c>
      <c r="D202" s="213" t="s">
        <v>47</v>
      </c>
      <c r="E202" s="214" t="s">
        <v>8</v>
      </c>
      <c r="F202" s="215">
        <v>24774500</v>
      </c>
      <c r="G202" s="215">
        <v>24774500</v>
      </c>
      <c r="H202" s="171"/>
      <c r="I202" s="88">
        <f t="shared" si="16"/>
        <v>24774500</v>
      </c>
      <c r="J202" s="163">
        <f t="shared" ref="J202:J269" si="22">IF(D202="MDU-KD",1,0)</f>
        <v>0</v>
      </c>
      <c r="K202" s="155">
        <f t="shared" ref="K202:K269" si="23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4">IF(L202=0,M202,L202)</f>
        <v>201227113.79893059</v>
      </c>
      <c r="O202" s="155">
        <f t="shared" ref="O202:O269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94"/>
      <c r="C203" s="109" t="s">
        <v>50</v>
      </c>
      <c r="D203" s="213" t="s">
        <v>50</v>
      </c>
      <c r="E203" s="214"/>
      <c r="F203" s="215"/>
      <c r="G203" s="215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94" t="s">
        <v>565</v>
      </c>
      <c r="C204" s="109" t="s">
        <v>564</v>
      </c>
      <c r="D204" s="213" t="s">
        <v>50</v>
      </c>
      <c r="E204" s="214"/>
      <c r="F204" s="215"/>
      <c r="G204" s="215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94">
        <v>1</v>
      </c>
      <c r="C205" s="109" t="s">
        <v>104</v>
      </c>
      <c r="D205" s="213" t="s">
        <v>47</v>
      </c>
      <c r="E205" s="214" t="s">
        <v>103</v>
      </c>
      <c r="F205" s="215">
        <v>3036730</v>
      </c>
      <c r="G205" s="215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4"/>
        <v>201227114.79893059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94">
        <v>2</v>
      </c>
      <c r="C206" s="109" t="s">
        <v>105</v>
      </c>
      <c r="D206" s="213" t="s">
        <v>47</v>
      </c>
      <c r="E206" s="216" t="s">
        <v>103</v>
      </c>
      <c r="F206" s="215">
        <v>4137730</v>
      </c>
      <c r="G206" s="215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4"/>
        <v>201227115.79893059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94">
        <v>3</v>
      </c>
      <c r="C207" s="109" t="s">
        <v>106</v>
      </c>
      <c r="D207" s="213" t="s">
        <v>47</v>
      </c>
      <c r="E207" s="214" t="s">
        <v>103</v>
      </c>
      <c r="F207" s="215">
        <v>5206920</v>
      </c>
      <c r="G207" s="215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4"/>
        <v>201227116.79893059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94">
        <v>4</v>
      </c>
      <c r="C208" s="109" t="s">
        <v>107</v>
      </c>
      <c r="D208" s="213" t="s">
        <v>47</v>
      </c>
      <c r="E208" s="214" t="s">
        <v>103</v>
      </c>
      <c r="F208" s="215">
        <v>5453270</v>
      </c>
      <c r="G208" s="215">
        <v>6074400</v>
      </c>
      <c r="H208" s="171"/>
      <c r="I208" s="88">
        <f t="shared" ref="I208:I260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4"/>
        <v>201227117.79893059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94">
        <v>5</v>
      </c>
      <c r="C209" s="109" t="s">
        <v>108</v>
      </c>
      <c r="D209" s="213" t="s">
        <v>47</v>
      </c>
      <c r="E209" s="214" t="s">
        <v>103</v>
      </c>
      <c r="F209" s="215">
        <v>6453770</v>
      </c>
      <c r="G209" s="215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4"/>
        <v>201227118.79893059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94">
        <v>6</v>
      </c>
      <c r="C210" s="109" t="s">
        <v>109</v>
      </c>
      <c r="D210" s="213" t="s">
        <v>47</v>
      </c>
      <c r="E210" s="214" t="s">
        <v>103</v>
      </c>
      <c r="F210" s="215">
        <v>7728790</v>
      </c>
      <c r="G210" s="215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4"/>
        <v>201227119.79893059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94">
        <v>7</v>
      </c>
      <c r="C211" s="109" t="s">
        <v>6</v>
      </c>
      <c r="D211" s="213" t="s">
        <v>49</v>
      </c>
      <c r="E211" s="214" t="s">
        <v>103</v>
      </c>
      <c r="F211" s="215">
        <v>10066.666666666668</v>
      </c>
      <c r="G211" s="215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94">
        <v>8</v>
      </c>
      <c r="C212" s="109" t="s">
        <v>464</v>
      </c>
      <c r="D212" s="213" t="s">
        <v>47</v>
      </c>
      <c r="E212" s="214" t="s">
        <v>24</v>
      </c>
      <c r="F212" s="215">
        <v>200000</v>
      </c>
      <c r="G212" s="215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4"/>
        <v>201227120.79893059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94"/>
      <c r="C213" s="109" t="s">
        <v>50</v>
      </c>
      <c r="D213" s="213" t="s">
        <v>50</v>
      </c>
      <c r="E213" s="214"/>
      <c r="F213" s="215"/>
      <c r="G213" s="215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94" t="s">
        <v>567</v>
      </c>
      <c r="C214" s="109" t="s">
        <v>566</v>
      </c>
      <c r="D214" s="213" t="s">
        <v>50</v>
      </c>
      <c r="E214" s="214"/>
      <c r="F214" s="215"/>
      <c r="G214" s="215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94">
        <v>2</v>
      </c>
      <c r="C215" s="109" t="s">
        <v>1564</v>
      </c>
      <c r="D215" s="213" t="s">
        <v>46</v>
      </c>
      <c r="E215" s="214" t="s">
        <v>8</v>
      </c>
      <c r="F215" s="215">
        <v>217470</v>
      </c>
      <c r="G215" s="215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94">
        <v>2</v>
      </c>
      <c r="C216" s="416" t="s">
        <v>40</v>
      </c>
      <c r="D216" s="213" t="s">
        <v>46</v>
      </c>
      <c r="E216" s="214" t="s">
        <v>8</v>
      </c>
      <c r="F216" s="415">
        <v>217470</v>
      </c>
      <c r="G216" s="415">
        <v>235900</v>
      </c>
      <c r="H216" s="171"/>
      <c r="I216" s="88">
        <f t="shared" ref="I216" si="27">IF($I$5=$G$4,G216,(IF($I$5=$F$4,F216,0)))</f>
        <v>235900</v>
      </c>
      <c r="J216" s="163">
        <f t="shared" ref="J216" si="28">IF(D216="MDU-KD",1,0)</f>
        <v>1</v>
      </c>
      <c r="K216" s="155">
        <f t="shared" ref="K216" si="29"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 t="shared" ref="N216" si="30">IF(L216=0,M216,L216)</f>
        <v>113</v>
      </c>
      <c r="O216" s="155">
        <f t="shared" ref="O216" si="31"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94">
        <v>3</v>
      </c>
      <c r="C217" s="109" t="s">
        <v>1133</v>
      </c>
      <c r="D217" s="213" t="s">
        <v>46</v>
      </c>
      <c r="E217" s="214" t="s">
        <v>8</v>
      </c>
      <c r="F217" s="215">
        <v>212320</v>
      </c>
      <c r="G217" s="215">
        <v>176900</v>
      </c>
      <c r="H217" s="171"/>
      <c r="I217" s="88">
        <f t="shared" si="26"/>
        <v>176900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94">
        <v>3</v>
      </c>
      <c r="C218" s="414" t="s">
        <v>37</v>
      </c>
      <c r="D218" s="213" t="s">
        <v>46</v>
      </c>
      <c r="E218" s="214" t="s">
        <v>8</v>
      </c>
      <c r="F218" s="415">
        <v>212320</v>
      </c>
      <c r="G218" s="415">
        <v>176900</v>
      </c>
      <c r="H218" s="171"/>
      <c r="I218" s="88">
        <f t="shared" ref="I218" si="32">IF($I$5=$G$4,G218,(IF($I$5=$F$4,F218,0)))</f>
        <v>176900</v>
      </c>
      <c r="J218" s="163">
        <f t="shared" ref="J218" si="33">IF(D218="MDU-KD",1,0)</f>
        <v>1</v>
      </c>
      <c r="K218" s="155">
        <f t="shared" ref="K218" si="34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5">IF(L218=0,M218,L218)</f>
        <v>115</v>
      </c>
      <c r="O218" s="155">
        <f t="shared" ref="O218" si="36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94">
        <v>4</v>
      </c>
      <c r="C219" s="109" t="s">
        <v>1565</v>
      </c>
      <c r="D219" s="213" t="s">
        <v>46</v>
      </c>
      <c r="E219" s="214" t="s">
        <v>24</v>
      </c>
      <c r="F219" s="215">
        <v>394550</v>
      </c>
      <c r="G219" s="215">
        <v>430000</v>
      </c>
      <c r="H219" s="171"/>
      <c r="I219" s="88">
        <f t="shared" si="26"/>
        <v>430000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94">
        <v>7</v>
      </c>
      <c r="C220" s="109" t="s">
        <v>1566</v>
      </c>
      <c r="D220" s="213" t="s">
        <v>46</v>
      </c>
      <c r="E220" s="214" t="s">
        <v>24</v>
      </c>
      <c r="F220" s="215">
        <v>220800</v>
      </c>
      <c r="G220" s="215">
        <v>205700</v>
      </c>
      <c r="H220" s="171"/>
      <c r="I220" s="88">
        <f t="shared" si="26"/>
        <v>205700</v>
      </c>
      <c r="J220" s="163">
        <f t="shared" si="22"/>
        <v>1</v>
      </c>
      <c r="K220" s="155">
        <f t="shared" si="23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24"/>
        <v>117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94">
        <v>7</v>
      </c>
      <c r="C221" s="414" t="s">
        <v>1611</v>
      </c>
      <c r="D221" s="213" t="s">
        <v>46</v>
      </c>
      <c r="E221" s="214" t="s">
        <v>24</v>
      </c>
      <c r="F221" s="415">
        <v>394550</v>
      </c>
      <c r="G221" s="415">
        <v>430000</v>
      </c>
      <c r="H221" s="171"/>
      <c r="I221" s="88">
        <f t="shared" ref="I221" si="37">IF($I$5=$G$4,G221,(IF($I$5=$F$4,F221,0)))</f>
        <v>430000</v>
      </c>
      <c r="J221" s="163">
        <f t="shared" ref="J221" si="38">IF(D221="MDU-KD",1,0)</f>
        <v>1</v>
      </c>
      <c r="K221" s="155">
        <f t="shared" ref="K221" si="39"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 t="shared" ref="N221" si="40">IF(L221=0,M221,L221)</f>
        <v>118</v>
      </c>
      <c r="O221" s="155">
        <f t="shared" ref="O221" si="41"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94"/>
      <c r="C222" s="109"/>
      <c r="D222" s="213"/>
      <c r="E222" s="214"/>
      <c r="F222" s="215"/>
      <c r="G222" s="215"/>
      <c r="H222" s="171"/>
      <c r="I222" s="88">
        <f t="shared" si="26"/>
        <v>0</v>
      </c>
      <c r="J222" s="163">
        <f t="shared" si="22"/>
        <v>0</v>
      </c>
      <c r="K222" s="155">
        <f t="shared" si="23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4"/>
        <v>0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94" t="s">
        <v>569</v>
      </c>
      <c r="C223" s="109" t="s">
        <v>568</v>
      </c>
      <c r="D223" s="213" t="s">
        <v>50</v>
      </c>
      <c r="E223" s="214"/>
      <c r="F223" s="215"/>
      <c r="G223" s="215"/>
      <c r="H223" s="171"/>
      <c r="I223" s="88">
        <f t="shared" si="26"/>
        <v>0</v>
      </c>
      <c r="J223" s="163">
        <f t="shared" si="22"/>
        <v>0</v>
      </c>
      <c r="K223" s="155">
        <f t="shared" si="23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4"/>
        <v>0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94">
        <v>1</v>
      </c>
      <c r="C224" s="109" t="s">
        <v>67</v>
      </c>
      <c r="D224" s="213" t="s">
        <v>46</v>
      </c>
      <c r="E224" s="214" t="s">
        <v>7</v>
      </c>
      <c r="F224" s="215">
        <v>9831</v>
      </c>
      <c r="G224" s="215">
        <v>14200</v>
      </c>
      <c r="H224" s="171"/>
      <c r="I224" s="88">
        <f t="shared" si="26"/>
        <v>14200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94">
        <v>2</v>
      </c>
      <c r="C225" s="109" t="s">
        <v>68</v>
      </c>
      <c r="D225" s="213" t="s">
        <v>46</v>
      </c>
      <c r="E225" s="214" t="s">
        <v>7</v>
      </c>
      <c r="F225" s="215">
        <v>19368</v>
      </c>
      <c r="G225" s="215">
        <v>25300</v>
      </c>
      <c r="H225" s="171"/>
      <c r="I225" s="88">
        <f t="shared" si="26"/>
        <v>25300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94">
        <v>3</v>
      </c>
      <c r="C226" s="109" t="s">
        <v>69</v>
      </c>
      <c r="D226" s="213" t="s">
        <v>46</v>
      </c>
      <c r="E226" s="214" t="s">
        <v>7</v>
      </c>
      <c r="F226" s="215">
        <v>32428</v>
      </c>
      <c r="G226" s="215">
        <v>36900</v>
      </c>
      <c r="H226" s="171"/>
      <c r="I226" s="88">
        <f t="shared" si="26"/>
        <v>36900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94">
        <v>4</v>
      </c>
      <c r="C227" s="109" t="s">
        <v>70</v>
      </c>
      <c r="D227" s="213" t="s">
        <v>46</v>
      </c>
      <c r="E227" s="214" t="s">
        <v>7</v>
      </c>
      <c r="F227" s="215">
        <v>13740</v>
      </c>
      <c r="G227" s="215">
        <v>16600</v>
      </c>
      <c r="H227" s="171"/>
      <c r="I227" s="88">
        <f t="shared" si="26"/>
        <v>16600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94">
        <v>5</v>
      </c>
      <c r="C228" s="109" t="s">
        <v>71</v>
      </c>
      <c r="D228" s="213" t="s">
        <v>46</v>
      </c>
      <c r="E228" s="214" t="s">
        <v>7</v>
      </c>
      <c r="F228" s="215">
        <v>24590</v>
      </c>
      <c r="G228" s="215">
        <v>29000</v>
      </c>
      <c r="H228" s="171"/>
      <c r="I228" s="88">
        <f t="shared" si="26"/>
        <v>29000</v>
      </c>
      <c r="J228" s="163">
        <f t="shared" si="22"/>
        <v>1</v>
      </c>
      <c r="K228" s="155">
        <f t="shared" si="23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24"/>
        <v>123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94">
        <v>6</v>
      </c>
      <c r="C229" s="109" t="s">
        <v>72</v>
      </c>
      <c r="D229" s="213" t="s">
        <v>46</v>
      </c>
      <c r="E229" s="214" t="s">
        <v>7</v>
      </c>
      <c r="F229" s="215">
        <v>39175</v>
      </c>
      <c r="G229" s="215">
        <v>44300</v>
      </c>
      <c r="H229" s="171"/>
      <c r="I229" s="88">
        <f t="shared" si="26"/>
        <v>44300</v>
      </c>
      <c r="J229" s="163">
        <f t="shared" si="22"/>
        <v>1</v>
      </c>
      <c r="K229" s="155">
        <f t="shared" si="23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24"/>
        <v>124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94"/>
      <c r="C230" s="109"/>
      <c r="D230" s="213" t="s">
        <v>50</v>
      </c>
      <c r="E230" s="214"/>
      <c r="F230" s="215"/>
      <c r="G230" s="215"/>
      <c r="H230" s="171"/>
      <c r="I230" s="88">
        <f t="shared" si="26"/>
        <v>0</v>
      </c>
      <c r="J230" s="163">
        <f t="shared" si="22"/>
        <v>0</v>
      </c>
      <c r="K230" s="155">
        <f t="shared" si="23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4"/>
        <v>0</v>
      </c>
      <c r="O230" s="155">
        <f t="shared" si="25"/>
        <v>0</v>
      </c>
      <c r="P230" s="155">
        <f>IF(O230=1,SUM($O$6:O230),0)</f>
        <v>0</v>
      </c>
    </row>
    <row r="231" spans="1:16" ht="15" customHeight="1">
      <c r="A231" s="15"/>
      <c r="B231" s="194" t="s">
        <v>582</v>
      </c>
      <c r="C231" s="109" t="s">
        <v>570</v>
      </c>
      <c r="D231" s="213" t="s">
        <v>50</v>
      </c>
      <c r="E231" s="214"/>
      <c r="F231" s="215"/>
      <c r="G231" s="215"/>
      <c r="H231" s="171"/>
      <c r="I231" s="88">
        <f t="shared" si="26"/>
        <v>0</v>
      </c>
      <c r="J231" s="163">
        <f t="shared" si="22"/>
        <v>0</v>
      </c>
      <c r="K231" s="155">
        <f t="shared" si="23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4"/>
        <v>0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94">
        <v>1</v>
      </c>
      <c r="C232" s="307" t="s">
        <v>75</v>
      </c>
      <c r="D232" s="213" t="s">
        <v>46</v>
      </c>
      <c r="E232" s="214" t="s">
        <v>7</v>
      </c>
      <c r="F232" s="415">
        <v>47850</v>
      </c>
      <c r="G232" s="415">
        <v>53300</v>
      </c>
      <c r="H232" s="171"/>
      <c r="I232" s="88">
        <f t="shared" si="26"/>
        <v>53300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94">
        <v>1</v>
      </c>
      <c r="C233" s="109" t="s">
        <v>1406</v>
      </c>
      <c r="D233" s="213" t="s">
        <v>46</v>
      </c>
      <c r="E233" s="214" t="s">
        <v>7</v>
      </c>
      <c r="F233" s="215">
        <v>47850</v>
      </c>
      <c r="G233" s="215">
        <v>53300</v>
      </c>
      <c r="H233" s="171"/>
      <c r="I233" s="88">
        <f t="shared" ref="I233" si="42">IF($I$5=$G$4,G233,(IF($I$5=$F$4,F233,0)))</f>
        <v>53300</v>
      </c>
      <c r="J233" s="163">
        <f t="shared" ref="J233" si="43">IF(D233="MDU-KD",1,0)</f>
        <v>1</v>
      </c>
      <c r="K233" s="155">
        <f t="shared" ref="K233" si="44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5">IF(L233=0,M233,L233)</f>
        <v>126</v>
      </c>
      <c r="O233" s="155">
        <f t="shared" ref="O233" si="46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94">
        <v>2</v>
      </c>
      <c r="C234" s="109" t="s">
        <v>1407</v>
      </c>
      <c r="D234" s="213" t="s">
        <v>46</v>
      </c>
      <c r="E234" s="214" t="s">
        <v>7</v>
      </c>
      <c r="F234" s="215">
        <v>27280</v>
      </c>
      <c r="G234" s="215">
        <v>30400</v>
      </c>
      <c r="H234" s="171"/>
      <c r="I234" s="88">
        <f t="shared" si="26"/>
        <v>30400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94">
        <v>3</v>
      </c>
      <c r="C235" s="109" t="s">
        <v>1463</v>
      </c>
      <c r="D235" s="213" t="s">
        <v>46</v>
      </c>
      <c r="E235" s="214" t="s">
        <v>7</v>
      </c>
      <c r="F235" s="215">
        <v>48905</v>
      </c>
      <c r="G235" s="215">
        <v>54500</v>
      </c>
      <c r="H235" s="171"/>
      <c r="I235" s="88">
        <f t="shared" si="26"/>
        <v>54500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94">
        <v>4</v>
      </c>
      <c r="C236" s="109" t="s">
        <v>76</v>
      </c>
      <c r="D236" s="213" t="s">
        <v>46</v>
      </c>
      <c r="E236" s="214" t="s">
        <v>7</v>
      </c>
      <c r="F236" s="215">
        <v>3780</v>
      </c>
      <c r="G236" s="215">
        <v>4300</v>
      </c>
      <c r="H236" s="171"/>
      <c r="I236" s="88">
        <f t="shared" si="26"/>
        <v>4300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94">
        <v>5</v>
      </c>
      <c r="C237" s="109" t="s">
        <v>77</v>
      </c>
      <c r="D237" s="213" t="s">
        <v>46</v>
      </c>
      <c r="E237" s="214" t="s">
        <v>7</v>
      </c>
      <c r="F237" s="215">
        <v>5890</v>
      </c>
      <c r="G237" s="215">
        <v>6600</v>
      </c>
      <c r="H237" s="171"/>
      <c r="I237" s="88">
        <f t="shared" si="26"/>
        <v>6600</v>
      </c>
      <c r="J237" s="163">
        <f t="shared" si="22"/>
        <v>1</v>
      </c>
      <c r="K237" s="155">
        <f t="shared" si="23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24"/>
        <v>130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94">
        <v>6</v>
      </c>
      <c r="C238" s="109" t="s">
        <v>78</v>
      </c>
      <c r="D238" s="213" t="s">
        <v>47</v>
      </c>
      <c r="E238" s="214" t="s">
        <v>7</v>
      </c>
      <c r="F238" s="215">
        <v>8900</v>
      </c>
      <c r="G238" s="215">
        <v>8900</v>
      </c>
      <c r="H238" s="171"/>
      <c r="I238" s="88">
        <f t="shared" si="26"/>
        <v>8900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94">
        <v>7</v>
      </c>
      <c r="C239" s="109" t="s">
        <v>79</v>
      </c>
      <c r="D239" s="213" t="s">
        <v>47</v>
      </c>
      <c r="E239" s="214" t="s">
        <v>7</v>
      </c>
      <c r="F239" s="215">
        <v>10000</v>
      </c>
      <c r="G239" s="215">
        <v>10000</v>
      </c>
      <c r="H239" s="171"/>
      <c r="I239" s="88">
        <f t="shared" si="26"/>
        <v>10000</v>
      </c>
      <c r="J239" s="163">
        <f t="shared" si="22"/>
        <v>0</v>
      </c>
      <c r="K239" s="155">
        <f t="shared" si="23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4"/>
        <v>201227122.79893059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94">
        <v>8</v>
      </c>
      <c r="C240" s="109" t="s">
        <v>80</v>
      </c>
      <c r="D240" s="213" t="s">
        <v>46</v>
      </c>
      <c r="E240" s="214" t="s">
        <v>7</v>
      </c>
      <c r="F240" s="215">
        <v>12120</v>
      </c>
      <c r="G240" s="215">
        <v>13500</v>
      </c>
      <c r="H240" s="171"/>
      <c r="I240" s="88">
        <f t="shared" si="26"/>
        <v>13500</v>
      </c>
      <c r="J240" s="163">
        <f t="shared" si="22"/>
        <v>1</v>
      </c>
      <c r="K240" s="155">
        <f t="shared" si="23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24"/>
        <v>131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94">
        <v>9</v>
      </c>
      <c r="C241" s="109" t="s">
        <v>81</v>
      </c>
      <c r="D241" s="213" t="s">
        <v>47</v>
      </c>
      <c r="E241" s="214" t="s">
        <v>7</v>
      </c>
      <c r="F241" s="215">
        <v>23600</v>
      </c>
      <c r="G241" s="215">
        <v>23600</v>
      </c>
      <c r="H241" s="171"/>
      <c r="I241" s="88">
        <f t="shared" si="26"/>
        <v>23600</v>
      </c>
      <c r="J241" s="163">
        <f t="shared" si="22"/>
        <v>0</v>
      </c>
      <c r="K241" s="155">
        <f t="shared" si="23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4"/>
        <v>201227123.79893059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94">
        <v>10</v>
      </c>
      <c r="C242" s="109" t="s">
        <v>82</v>
      </c>
      <c r="D242" s="213" t="s">
        <v>46</v>
      </c>
      <c r="E242" s="214" t="s">
        <v>7</v>
      </c>
      <c r="F242" s="215">
        <v>290975</v>
      </c>
      <c r="G242" s="215">
        <v>290975</v>
      </c>
      <c r="H242" s="171"/>
      <c r="I242" s="88">
        <f t="shared" si="26"/>
        <v>290975</v>
      </c>
      <c r="J242" s="163">
        <f t="shared" si="22"/>
        <v>1</v>
      </c>
      <c r="K242" s="155">
        <f t="shared" si="23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24"/>
        <v>132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94">
        <v>11</v>
      </c>
      <c r="C243" s="109" t="s">
        <v>1464</v>
      </c>
      <c r="D243" s="213" t="s">
        <v>47</v>
      </c>
      <c r="E243" s="214" t="s">
        <v>7</v>
      </c>
      <c r="F243" s="215">
        <v>62800</v>
      </c>
      <c r="G243" s="215">
        <v>70000</v>
      </c>
      <c r="H243" s="171"/>
      <c r="I243" s="88">
        <f t="shared" si="26"/>
        <v>70000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94">
        <v>12</v>
      </c>
      <c r="C244" s="109" t="s">
        <v>571</v>
      </c>
      <c r="D244" s="213" t="s">
        <v>47</v>
      </c>
      <c r="E244" s="214" t="s">
        <v>7</v>
      </c>
      <c r="F244" s="215">
        <v>107300</v>
      </c>
      <c r="G244" s="215">
        <v>119500</v>
      </c>
      <c r="H244" s="171"/>
      <c r="I244" s="88">
        <f t="shared" si="26"/>
        <v>119500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94">
        <v>13</v>
      </c>
      <c r="C245" s="109" t="s">
        <v>572</v>
      </c>
      <c r="D245" s="213" t="s">
        <v>47</v>
      </c>
      <c r="E245" s="214" t="s">
        <v>7</v>
      </c>
      <c r="F245" s="215">
        <v>468300</v>
      </c>
      <c r="G245" s="215">
        <v>521600</v>
      </c>
      <c r="H245" s="171"/>
      <c r="I245" s="88">
        <f t="shared" si="26"/>
        <v>521600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94">
        <v>14</v>
      </c>
      <c r="C246" s="109" t="s">
        <v>573</v>
      </c>
      <c r="D246" s="213" t="s">
        <v>47</v>
      </c>
      <c r="E246" s="214" t="s">
        <v>7</v>
      </c>
      <c r="F246" s="215">
        <v>633500</v>
      </c>
      <c r="G246" s="215">
        <v>705700</v>
      </c>
      <c r="H246" s="171"/>
      <c r="I246" s="88">
        <f t="shared" si="26"/>
        <v>705700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94">
        <v>15</v>
      </c>
      <c r="C247" s="109" t="s">
        <v>574</v>
      </c>
      <c r="D247" s="213" t="s">
        <v>47</v>
      </c>
      <c r="E247" s="214" t="s">
        <v>7</v>
      </c>
      <c r="F247" s="215">
        <v>983500</v>
      </c>
      <c r="G247" s="215">
        <v>1095500</v>
      </c>
      <c r="H247" s="171"/>
      <c r="I247" s="88">
        <f t="shared" si="26"/>
        <v>1095500</v>
      </c>
      <c r="J247" s="163">
        <f t="shared" si="22"/>
        <v>0</v>
      </c>
      <c r="K247" s="155">
        <f t="shared" si="23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4"/>
        <v>201227128.79893059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94">
        <v>16</v>
      </c>
      <c r="C248" s="109" t="s">
        <v>83</v>
      </c>
      <c r="D248" s="213" t="s">
        <v>46</v>
      </c>
      <c r="E248" s="214" t="s">
        <v>7</v>
      </c>
      <c r="F248" s="215">
        <v>84991</v>
      </c>
      <c r="G248" s="215">
        <v>94700</v>
      </c>
      <c r="H248" s="171"/>
      <c r="I248" s="88">
        <f t="shared" si="26"/>
        <v>94700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94">
        <v>17</v>
      </c>
      <c r="C249" s="109" t="s">
        <v>84</v>
      </c>
      <c r="D249" s="213" t="s">
        <v>46</v>
      </c>
      <c r="E249" s="214" t="s">
        <v>7</v>
      </c>
      <c r="F249" s="215">
        <v>125850</v>
      </c>
      <c r="G249" s="215">
        <v>140200</v>
      </c>
      <c r="H249" s="171"/>
      <c r="I249" s="88">
        <f t="shared" si="26"/>
        <v>140200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94">
        <v>18</v>
      </c>
      <c r="C250" s="109" t="s">
        <v>85</v>
      </c>
      <c r="D250" s="213" t="s">
        <v>46</v>
      </c>
      <c r="E250" s="214" t="s">
        <v>7</v>
      </c>
      <c r="F250" s="215">
        <v>196270</v>
      </c>
      <c r="G250" s="215">
        <v>218600</v>
      </c>
      <c r="H250" s="171"/>
      <c r="I250" s="88">
        <f t="shared" si="26"/>
        <v>218600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94">
        <v>19</v>
      </c>
      <c r="C251" s="109" t="s">
        <v>86</v>
      </c>
      <c r="D251" s="213" t="s">
        <v>46</v>
      </c>
      <c r="E251" s="214" t="s">
        <v>7</v>
      </c>
      <c r="F251" s="215">
        <v>318390</v>
      </c>
      <c r="G251" s="215">
        <v>354700</v>
      </c>
      <c r="H251" s="171"/>
      <c r="I251" s="88">
        <f t="shared" si="26"/>
        <v>354700</v>
      </c>
      <c r="J251" s="163">
        <f t="shared" si="22"/>
        <v>1</v>
      </c>
      <c r="K251" s="155">
        <f t="shared" si="23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24"/>
        <v>136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94">
        <v>20</v>
      </c>
      <c r="C252" s="109" t="s">
        <v>575</v>
      </c>
      <c r="D252" s="213" t="s">
        <v>47</v>
      </c>
      <c r="E252" s="214" t="s">
        <v>7</v>
      </c>
      <c r="F252" s="215">
        <v>121560.8</v>
      </c>
      <c r="G252" s="215">
        <v>121560.8</v>
      </c>
      <c r="H252" s="171"/>
      <c r="I252" s="88">
        <f t="shared" si="26"/>
        <v>121560.8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94">
        <v>21</v>
      </c>
      <c r="C253" s="109" t="s">
        <v>576</v>
      </c>
      <c r="D253" s="213" t="s">
        <v>47</v>
      </c>
      <c r="E253" s="214" t="s">
        <v>7</v>
      </c>
      <c r="F253" s="215">
        <v>164883</v>
      </c>
      <c r="G253" s="215">
        <v>164883</v>
      </c>
      <c r="H253" s="171"/>
      <c r="I253" s="88">
        <f t="shared" si="26"/>
        <v>164883</v>
      </c>
      <c r="J253" s="163">
        <f t="shared" si="22"/>
        <v>0</v>
      </c>
      <c r="K253" s="155">
        <f t="shared" si="23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4"/>
        <v>201227130.79893059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94">
        <v>22</v>
      </c>
      <c r="C254" s="109" t="s">
        <v>577</v>
      </c>
      <c r="D254" s="213" t="s">
        <v>46</v>
      </c>
      <c r="E254" s="214" t="s">
        <v>7</v>
      </c>
      <c r="F254" s="215">
        <v>378330</v>
      </c>
      <c r="G254" s="215">
        <v>421400</v>
      </c>
      <c r="H254" s="171"/>
      <c r="I254" s="88">
        <f t="shared" si="26"/>
        <v>421400</v>
      </c>
      <c r="J254" s="163">
        <f t="shared" si="22"/>
        <v>1</v>
      </c>
      <c r="K254" s="155">
        <f t="shared" si="23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24"/>
        <v>137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94">
        <v>23</v>
      </c>
      <c r="C255" s="109" t="s">
        <v>578</v>
      </c>
      <c r="D255" s="213" t="s">
        <v>47</v>
      </c>
      <c r="E255" s="214" t="s">
        <v>7</v>
      </c>
      <c r="F255" s="215">
        <v>417044.06800000003</v>
      </c>
      <c r="G255" s="215">
        <v>417044.06800000003</v>
      </c>
      <c r="H255" s="171"/>
      <c r="I255" s="88">
        <f t="shared" si="26"/>
        <v>417044.06800000003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94">
        <v>24</v>
      </c>
      <c r="C256" s="109" t="s">
        <v>87</v>
      </c>
      <c r="D256" s="213" t="s">
        <v>47</v>
      </c>
      <c r="E256" s="214" t="s">
        <v>7</v>
      </c>
      <c r="F256" s="215">
        <v>82600</v>
      </c>
      <c r="G256" s="215">
        <v>82600</v>
      </c>
      <c r="H256" s="171"/>
      <c r="I256" s="88">
        <f t="shared" si="26"/>
        <v>82600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94">
        <v>25</v>
      </c>
      <c r="C257" s="109" t="s">
        <v>88</v>
      </c>
      <c r="D257" s="213" t="s">
        <v>47</v>
      </c>
      <c r="E257" s="214" t="s">
        <v>7</v>
      </c>
      <c r="F257" s="215">
        <v>116300</v>
      </c>
      <c r="G257" s="215">
        <v>116300</v>
      </c>
      <c r="H257" s="171"/>
      <c r="I257" s="88">
        <f t="shared" si="26"/>
        <v>116300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94">
        <v>26</v>
      </c>
      <c r="C258" s="109" t="s">
        <v>89</v>
      </c>
      <c r="D258" s="213" t="s">
        <v>47</v>
      </c>
      <c r="E258" s="214" t="s">
        <v>7</v>
      </c>
      <c r="F258" s="215">
        <v>139900</v>
      </c>
      <c r="G258" s="215">
        <v>139900</v>
      </c>
      <c r="H258" s="171"/>
      <c r="I258" s="88">
        <f t="shared" si="26"/>
        <v>139900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94">
        <v>27</v>
      </c>
      <c r="C259" s="109" t="s">
        <v>90</v>
      </c>
      <c r="D259" s="213" t="s">
        <v>47</v>
      </c>
      <c r="E259" s="214" t="s">
        <v>7</v>
      </c>
      <c r="F259" s="215">
        <v>154600</v>
      </c>
      <c r="G259" s="215">
        <v>154600</v>
      </c>
      <c r="H259" s="171"/>
      <c r="I259" s="88">
        <f t="shared" si="26"/>
        <v>154600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94">
        <v>28</v>
      </c>
      <c r="C260" s="109" t="s">
        <v>579</v>
      </c>
      <c r="D260" s="213" t="s">
        <v>47</v>
      </c>
      <c r="E260" s="214" t="s">
        <v>7</v>
      </c>
      <c r="F260" s="215">
        <v>103500</v>
      </c>
      <c r="G260" s="215">
        <v>103500</v>
      </c>
      <c r="H260" s="171"/>
      <c r="I260" s="88">
        <f t="shared" si="26"/>
        <v>103500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94">
        <v>29</v>
      </c>
      <c r="C261" s="109" t="s">
        <v>580</v>
      </c>
      <c r="D261" s="213" t="s">
        <v>47</v>
      </c>
      <c r="E261" s="214" t="s">
        <v>7</v>
      </c>
      <c r="F261" s="215">
        <v>106000</v>
      </c>
      <c r="G261" s="215">
        <v>106000</v>
      </c>
      <c r="H261" s="171"/>
      <c r="I261" s="88">
        <f t="shared" ref="I261:I329" si="47">IF($I$5=$G$4,G261,(IF($I$5=$F$4,F261,0)))</f>
        <v>106000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94">
        <v>30</v>
      </c>
      <c r="C262" s="109" t="s">
        <v>93</v>
      </c>
      <c r="D262" s="213" t="s">
        <v>47</v>
      </c>
      <c r="E262" s="214" t="s">
        <v>7</v>
      </c>
      <c r="F262" s="215">
        <v>135900</v>
      </c>
      <c r="G262" s="215">
        <v>135900</v>
      </c>
      <c r="H262" s="171"/>
      <c r="I262" s="88">
        <f t="shared" si="47"/>
        <v>135900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94">
        <v>31</v>
      </c>
      <c r="C263" s="109" t="s">
        <v>94</v>
      </c>
      <c r="D263" s="213" t="s">
        <v>47</v>
      </c>
      <c r="E263" s="214" t="s">
        <v>7</v>
      </c>
      <c r="F263" s="215">
        <v>160100</v>
      </c>
      <c r="G263" s="215">
        <v>160100</v>
      </c>
      <c r="H263" s="171"/>
      <c r="I263" s="88">
        <f t="shared" si="47"/>
        <v>160100</v>
      </c>
      <c r="J263" s="163">
        <f t="shared" si="22"/>
        <v>0</v>
      </c>
      <c r="K263" s="155">
        <f t="shared" si="23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4"/>
        <v>201227139.79893059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5"/>
      <c r="B264" s="194">
        <v>32</v>
      </c>
      <c r="C264" s="109" t="s">
        <v>581</v>
      </c>
      <c r="D264" s="213" t="s">
        <v>46</v>
      </c>
      <c r="E264" s="214" t="s">
        <v>7</v>
      </c>
      <c r="F264" s="215">
        <v>362130</v>
      </c>
      <c r="G264" s="215">
        <v>403400</v>
      </c>
      <c r="H264" s="171"/>
      <c r="I264" s="88">
        <f t="shared" si="47"/>
        <v>403400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7"/>
      <c r="B265" s="194">
        <v>33</v>
      </c>
      <c r="C265" s="109" t="s">
        <v>91</v>
      </c>
      <c r="D265" s="213" t="s">
        <v>46</v>
      </c>
      <c r="E265" s="214" t="s">
        <v>7</v>
      </c>
      <c r="F265" s="215">
        <v>418580</v>
      </c>
      <c r="G265" s="215">
        <v>466300</v>
      </c>
      <c r="H265" s="171"/>
      <c r="I265" s="88">
        <f t="shared" si="47"/>
        <v>466300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94">
        <v>34</v>
      </c>
      <c r="C266" s="109" t="s">
        <v>92</v>
      </c>
      <c r="D266" s="213" t="s">
        <v>46</v>
      </c>
      <c r="E266" s="214" t="s">
        <v>7</v>
      </c>
      <c r="F266" s="215">
        <v>447280</v>
      </c>
      <c r="G266" s="215">
        <v>585500</v>
      </c>
      <c r="H266" s="171"/>
      <c r="I266" s="88">
        <f t="shared" si="47"/>
        <v>585500</v>
      </c>
      <c r="J266" s="163">
        <f t="shared" si="22"/>
        <v>1</v>
      </c>
      <c r="K266" s="155">
        <f t="shared" si="23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24"/>
        <v>140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94">
        <v>35</v>
      </c>
      <c r="C267" s="109" t="s">
        <v>95</v>
      </c>
      <c r="D267" s="213" t="s">
        <v>47</v>
      </c>
      <c r="E267" s="214" t="s">
        <v>7</v>
      </c>
      <c r="F267" s="215">
        <v>3200</v>
      </c>
      <c r="G267" s="215">
        <v>3600</v>
      </c>
      <c r="H267" s="171"/>
      <c r="I267" s="88">
        <f t="shared" si="47"/>
        <v>3600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94">
        <v>36</v>
      </c>
      <c r="C268" s="109" t="s">
        <v>96</v>
      </c>
      <c r="D268" s="213" t="s">
        <v>47</v>
      </c>
      <c r="E268" s="214" t="s">
        <v>7</v>
      </c>
      <c r="F268" s="215">
        <v>4100</v>
      </c>
      <c r="G268" s="215">
        <v>4600</v>
      </c>
      <c r="H268" s="171"/>
      <c r="I268" s="88">
        <f t="shared" si="47"/>
        <v>4600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94">
        <v>37</v>
      </c>
      <c r="C269" s="109" t="s">
        <v>97</v>
      </c>
      <c r="D269" s="213" t="s">
        <v>47</v>
      </c>
      <c r="E269" s="214" t="s">
        <v>7</v>
      </c>
      <c r="F269" s="215">
        <v>6500</v>
      </c>
      <c r="G269" s="215">
        <v>7200</v>
      </c>
      <c r="H269" s="171"/>
      <c r="I269" s="88">
        <f t="shared" si="47"/>
        <v>7200</v>
      </c>
      <c r="J269" s="163">
        <f t="shared" si="22"/>
        <v>0</v>
      </c>
      <c r="K269" s="155">
        <f t="shared" si="23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4"/>
        <v>201227142.79893059</v>
      </c>
      <c r="O269" s="155">
        <f t="shared" si="25"/>
        <v>0</v>
      </c>
      <c r="P269" s="155">
        <f>IF(O269=1,SUM($O$6:O269),0)</f>
        <v>0</v>
      </c>
    </row>
    <row r="270" spans="1:16" ht="15" customHeight="1">
      <c r="A270" s="15"/>
      <c r="B270" s="194">
        <v>38</v>
      </c>
      <c r="C270" s="109" t="s">
        <v>98</v>
      </c>
      <c r="D270" s="213" t="s">
        <v>47</v>
      </c>
      <c r="E270" s="214" t="s">
        <v>7</v>
      </c>
      <c r="F270" s="215">
        <v>11400</v>
      </c>
      <c r="G270" s="215">
        <v>12700</v>
      </c>
      <c r="H270" s="171"/>
      <c r="I270" s="88">
        <f t="shared" si="47"/>
        <v>12700</v>
      </c>
      <c r="J270" s="163">
        <f t="shared" ref="J270:J336" si="48">IF(D270="MDU-KD",1,0)</f>
        <v>0</v>
      </c>
      <c r="K270" s="155">
        <f t="shared" ref="K270:K336" si="49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50">IF(L270=0,M270,L270)</f>
        <v>201227143.79893059</v>
      </c>
      <c r="O270" s="155">
        <f t="shared" ref="O270:O336" si="51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94">
        <v>39</v>
      </c>
      <c r="C271" s="109" t="s">
        <v>99</v>
      </c>
      <c r="D271" s="213" t="s">
        <v>47</v>
      </c>
      <c r="E271" s="214" t="s">
        <v>7</v>
      </c>
      <c r="F271" s="215">
        <v>16700</v>
      </c>
      <c r="G271" s="215">
        <v>31544.499999999996</v>
      </c>
      <c r="H271" s="171"/>
      <c r="I271" s="88">
        <f t="shared" si="47"/>
        <v>31544.499999999996</v>
      </c>
      <c r="J271" s="163">
        <f t="shared" si="48"/>
        <v>0</v>
      </c>
      <c r="K271" s="155">
        <f t="shared" si="4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50"/>
        <v>201227144.79893059</v>
      </c>
      <c r="O271" s="155">
        <f t="shared" si="51"/>
        <v>0</v>
      </c>
      <c r="P271" s="155">
        <f>IF(O271=1,SUM($O$6:O271),0)</f>
        <v>0</v>
      </c>
    </row>
    <row r="272" spans="1:16" ht="15" customHeight="1">
      <c r="A272" s="15"/>
      <c r="B272" s="194">
        <v>40</v>
      </c>
      <c r="C272" s="109" t="s">
        <v>100</v>
      </c>
      <c r="D272" s="213" t="s">
        <v>47</v>
      </c>
      <c r="E272" s="214" t="s">
        <v>7</v>
      </c>
      <c r="F272" s="215">
        <v>9600</v>
      </c>
      <c r="G272" s="215">
        <v>10700</v>
      </c>
      <c r="H272" s="171"/>
      <c r="I272" s="88">
        <f t="shared" si="47"/>
        <v>10700</v>
      </c>
      <c r="J272" s="163">
        <f t="shared" si="48"/>
        <v>0</v>
      </c>
      <c r="K272" s="155">
        <f t="shared" si="4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50"/>
        <v>201227145.79893059</v>
      </c>
      <c r="O272" s="155">
        <f t="shared" si="51"/>
        <v>0</v>
      </c>
      <c r="P272" s="155">
        <f>IF(O272=1,SUM($O$6:O272),0)</f>
        <v>0</v>
      </c>
    </row>
    <row r="273" spans="1:16" ht="15" customHeight="1">
      <c r="A273" s="15"/>
      <c r="B273" s="194">
        <v>41</v>
      </c>
      <c r="C273" s="109" t="s">
        <v>467</v>
      </c>
      <c r="D273" s="213" t="s">
        <v>47</v>
      </c>
      <c r="E273" s="214" t="s">
        <v>7</v>
      </c>
      <c r="F273" s="215">
        <v>11700</v>
      </c>
      <c r="G273" s="215">
        <v>13000</v>
      </c>
      <c r="H273" s="171"/>
      <c r="I273" s="88">
        <f t="shared" si="47"/>
        <v>13000</v>
      </c>
      <c r="J273" s="163">
        <f t="shared" si="48"/>
        <v>0</v>
      </c>
      <c r="K273" s="155">
        <f t="shared" si="4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50"/>
        <v>201227146.79893059</v>
      </c>
      <c r="O273" s="155">
        <f t="shared" si="51"/>
        <v>0</v>
      </c>
      <c r="P273" s="155">
        <f>IF(O273=1,SUM($O$6:O273),0)</f>
        <v>0</v>
      </c>
    </row>
    <row r="274" spans="1:16" ht="15" customHeight="1">
      <c r="A274" s="15"/>
      <c r="B274" s="194">
        <v>42</v>
      </c>
      <c r="C274" s="109" t="s">
        <v>101</v>
      </c>
      <c r="D274" s="213" t="s">
        <v>47</v>
      </c>
      <c r="E274" s="214" t="s">
        <v>7</v>
      </c>
      <c r="F274" s="215">
        <v>13300</v>
      </c>
      <c r="G274" s="215">
        <v>14800</v>
      </c>
      <c r="H274" s="171"/>
      <c r="I274" s="88">
        <f t="shared" si="47"/>
        <v>14800</v>
      </c>
      <c r="J274" s="163">
        <f t="shared" si="48"/>
        <v>0</v>
      </c>
      <c r="K274" s="155">
        <f t="shared" si="49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50"/>
        <v>201227147.79893059</v>
      </c>
      <c r="O274" s="155">
        <f t="shared" si="51"/>
        <v>0</v>
      </c>
      <c r="P274" s="155">
        <f>IF(O274=1,SUM($O$6:O274),0)</f>
        <v>0</v>
      </c>
    </row>
    <row r="275" spans="1:16" ht="15" customHeight="1">
      <c r="A275" s="15"/>
      <c r="B275" s="194">
        <v>43</v>
      </c>
      <c r="C275" s="109" t="s">
        <v>102</v>
      </c>
      <c r="D275" s="213" t="s">
        <v>47</v>
      </c>
      <c r="E275" s="214" t="s">
        <v>7</v>
      </c>
      <c r="F275" s="215">
        <v>17000</v>
      </c>
      <c r="G275" s="215">
        <v>18900</v>
      </c>
      <c r="H275" s="171"/>
      <c r="I275" s="88">
        <f t="shared" si="47"/>
        <v>18900</v>
      </c>
      <c r="J275" s="163">
        <f t="shared" si="48"/>
        <v>0</v>
      </c>
      <c r="K275" s="155">
        <f t="shared" si="49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50"/>
        <v>201227148.79893059</v>
      </c>
      <c r="O275" s="155">
        <f t="shared" si="51"/>
        <v>0</v>
      </c>
      <c r="P275" s="155">
        <f>IF(O275=1,SUM($O$6:O275),0)</f>
        <v>0</v>
      </c>
    </row>
    <row r="276" spans="1:16" ht="15" customHeight="1">
      <c r="A276" s="15"/>
      <c r="B276" s="194">
        <v>44</v>
      </c>
      <c r="C276" s="109" t="s">
        <v>73</v>
      </c>
      <c r="D276" s="213" t="s">
        <v>46</v>
      </c>
      <c r="E276" s="214" t="s">
        <v>7</v>
      </c>
      <c r="F276" s="215">
        <v>297630</v>
      </c>
      <c r="G276" s="215">
        <v>331500</v>
      </c>
      <c r="H276" s="171"/>
      <c r="I276" s="88">
        <f t="shared" si="47"/>
        <v>331500</v>
      </c>
      <c r="J276" s="163">
        <f t="shared" si="48"/>
        <v>1</v>
      </c>
      <c r="K276" s="155">
        <f t="shared" si="49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50"/>
        <v>141</v>
      </c>
      <c r="O276" s="155">
        <f t="shared" si="51"/>
        <v>0</v>
      </c>
      <c r="P276" s="155">
        <f>IF(O276=1,SUM($O$6:O276),0)</f>
        <v>0</v>
      </c>
    </row>
    <row r="277" spans="1:16" ht="15" customHeight="1">
      <c r="A277" s="15"/>
      <c r="B277" s="194">
        <v>45</v>
      </c>
      <c r="C277" s="109" t="s">
        <v>74</v>
      </c>
      <c r="D277" s="213" t="s">
        <v>46</v>
      </c>
      <c r="E277" s="214" t="s">
        <v>7</v>
      </c>
      <c r="F277" s="215">
        <v>361430</v>
      </c>
      <c r="G277" s="215">
        <v>402600</v>
      </c>
      <c r="H277" s="171"/>
      <c r="I277" s="88">
        <f t="shared" si="47"/>
        <v>402600</v>
      </c>
      <c r="J277" s="163">
        <f t="shared" si="48"/>
        <v>1</v>
      </c>
      <c r="K277" s="155">
        <f t="shared" si="49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50"/>
        <v>142</v>
      </c>
      <c r="O277" s="155">
        <f t="shared" si="51"/>
        <v>0</v>
      </c>
      <c r="P277" s="155">
        <f>IF(O277=1,SUM($O$6:O277),0)</f>
        <v>0</v>
      </c>
    </row>
    <row r="278" spans="1:16" ht="15" customHeight="1">
      <c r="A278" s="15"/>
      <c r="B278" s="194"/>
      <c r="C278" s="109"/>
      <c r="D278" s="213" t="s">
        <v>50</v>
      </c>
      <c r="E278" s="214"/>
      <c r="F278" s="215"/>
      <c r="G278" s="215"/>
      <c r="H278" s="171"/>
      <c r="I278" s="88">
        <f t="shared" si="47"/>
        <v>0</v>
      </c>
      <c r="J278" s="163">
        <f t="shared" si="48"/>
        <v>0</v>
      </c>
      <c r="K278" s="155">
        <f t="shared" si="49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50"/>
        <v>0</v>
      </c>
      <c r="O278" s="155">
        <f t="shared" si="51"/>
        <v>0</v>
      </c>
      <c r="P278" s="155">
        <f>IF(O278=1,SUM($O$6:O278),0)</f>
        <v>0</v>
      </c>
    </row>
    <row r="279" spans="1:16" ht="15" customHeight="1">
      <c r="A279" s="15"/>
      <c r="B279" s="194" t="s">
        <v>585</v>
      </c>
      <c r="C279" s="109" t="s">
        <v>583</v>
      </c>
      <c r="D279" s="213" t="s">
        <v>50</v>
      </c>
      <c r="E279" s="214"/>
      <c r="F279" s="215"/>
      <c r="G279" s="215"/>
      <c r="H279" s="171"/>
      <c r="I279" s="88">
        <f t="shared" si="47"/>
        <v>0</v>
      </c>
      <c r="J279" s="163">
        <f t="shared" si="48"/>
        <v>0</v>
      </c>
      <c r="K279" s="155">
        <f t="shared" si="49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50"/>
        <v>0</v>
      </c>
      <c r="O279" s="155">
        <f t="shared" si="51"/>
        <v>0</v>
      </c>
      <c r="P279" s="155">
        <f>IF(O279=1,SUM($O$6:O279),0)</f>
        <v>0</v>
      </c>
    </row>
    <row r="280" spans="1:16" ht="15" customHeight="1">
      <c r="A280" s="15"/>
      <c r="B280" s="194">
        <v>1</v>
      </c>
      <c r="C280" s="109" t="s">
        <v>1567</v>
      </c>
      <c r="D280" s="213" t="s">
        <v>47</v>
      </c>
      <c r="E280" s="214" t="s">
        <v>8</v>
      </c>
      <c r="F280" s="215">
        <v>34700</v>
      </c>
      <c r="G280" s="215">
        <v>38700</v>
      </c>
      <c r="H280" s="171"/>
      <c r="I280" s="88">
        <f t="shared" si="47"/>
        <v>38700</v>
      </c>
      <c r="J280" s="163">
        <f t="shared" si="48"/>
        <v>0</v>
      </c>
      <c r="K280" s="155">
        <f t="shared" si="4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50"/>
        <v>201227149.79893059</v>
      </c>
      <c r="O280" s="155">
        <f t="shared" si="51"/>
        <v>0</v>
      </c>
      <c r="P280" s="155">
        <f>IF(O280=1,SUM($O$6:O280),0)</f>
        <v>0</v>
      </c>
    </row>
    <row r="281" spans="1:16" ht="15" customHeight="1">
      <c r="A281" s="15"/>
      <c r="B281" s="194">
        <v>2</v>
      </c>
      <c r="C281" s="109" t="s">
        <v>1568</v>
      </c>
      <c r="D281" s="213" t="s">
        <v>47</v>
      </c>
      <c r="E281" s="214" t="s">
        <v>8</v>
      </c>
      <c r="F281" s="215">
        <v>40300</v>
      </c>
      <c r="G281" s="215">
        <v>44900</v>
      </c>
      <c r="H281" s="171"/>
      <c r="I281" s="88">
        <f t="shared" si="47"/>
        <v>44900</v>
      </c>
      <c r="J281" s="163">
        <f t="shared" si="48"/>
        <v>0</v>
      </c>
      <c r="K281" s="155">
        <f t="shared" si="49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50"/>
        <v>201227150.79893059</v>
      </c>
      <c r="O281" s="155">
        <f t="shared" si="51"/>
        <v>0</v>
      </c>
      <c r="P281" s="155">
        <f>IF(O281=1,SUM($O$6:O281),0)</f>
        <v>0</v>
      </c>
    </row>
    <row r="282" spans="1:16" ht="15" customHeight="1">
      <c r="A282" s="15"/>
      <c r="B282" s="194">
        <v>3</v>
      </c>
      <c r="C282" s="109" t="s">
        <v>1569</v>
      </c>
      <c r="D282" s="213" t="s">
        <v>47</v>
      </c>
      <c r="E282" s="214" t="s">
        <v>8</v>
      </c>
      <c r="F282" s="215">
        <v>44000</v>
      </c>
      <c r="G282" s="215">
        <v>49000</v>
      </c>
      <c r="H282" s="171"/>
      <c r="I282" s="88">
        <f t="shared" si="47"/>
        <v>49000</v>
      </c>
      <c r="J282" s="163">
        <f t="shared" si="48"/>
        <v>0</v>
      </c>
      <c r="K282" s="155">
        <f t="shared" si="4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50"/>
        <v>201227151.79893059</v>
      </c>
      <c r="O282" s="155">
        <f t="shared" si="51"/>
        <v>0</v>
      </c>
      <c r="P282" s="155">
        <f>IF(O282=1,SUM($O$6:O282),0)</f>
        <v>0</v>
      </c>
    </row>
    <row r="283" spans="1:16" ht="15" customHeight="1">
      <c r="A283" s="15"/>
      <c r="B283" s="194">
        <v>3</v>
      </c>
      <c r="C283" s="414" t="s">
        <v>584</v>
      </c>
      <c r="D283" s="213" t="s">
        <v>47</v>
      </c>
      <c r="E283" s="214" t="s">
        <v>8</v>
      </c>
      <c r="F283" s="415">
        <v>44000</v>
      </c>
      <c r="G283" s="415">
        <v>49000</v>
      </c>
      <c r="H283" s="171"/>
      <c r="I283" s="88">
        <f t="shared" ref="I283" si="52">IF($I$5=$G$4,G283,(IF($I$5=$F$4,F283,0)))</f>
        <v>49000</v>
      </c>
      <c r="J283" s="163">
        <f t="shared" ref="J283" si="53">IF(D283="MDU-KD",1,0)</f>
        <v>0</v>
      </c>
      <c r="K283" s="155">
        <f t="shared" ref="K283" si="54"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ref="N283" si="55">IF(L283=0,M283,L283)</f>
        <v>201227152.79893059</v>
      </c>
      <c r="O283" s="155">
        <f t="shared" ref="O283" si="56"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94">
        <v>4</v>
      </c>
      <c r="C284" s="109" t="s">
        <v>1570</v>
      </c>
      <c r="D284" s="213" t="s">
        <v>47</v>
      </c>
      <c r="E284" s="214" t="s">
        <v>8</v>
      </c>
      <c r="F284" s="215">
        <v>57700</v>
      </c>
      <c r="G284" s="215">
        <v>64300</v>
      </c>
      <c r="H284" s="171"/>
      <c r="I284" s="88">
        <f t="shared" si="47"/>
        <v>64300</v>
      </c>
      <c r="J284" s="163">
        <f t="shared" si="48"/>
        <v>0</v>
      </c>
      <c r="K284" s="155">
        <f t="shared" si="4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50"/>
        <v>201227153.79893059</v>
      </c>
      <c r="O284" s="155">
        <f t="shared" si="51"/>
        <v>0</v>
      </c>
      <c r="P284" s="155">
        <f>IF(O284=1,SUM($O$6:O284),0)</f>
        <v>0</v>
      </c>
    </row>
    <row r="285" spans="1:16" ht="15" customHeight="1">
      <c r="A285" s="15"/>
      <c r="B285" s="194">
        <v>5</v>
      </c>
      <c r="C285" s="109" t="s">
        <v>1571</v>
      </c>
      <c r="D285" s="213" t="s">
        <v>47</v>
      </c>
      <c r="E285" s="214" t="s">
        <v>8</v>
      </c>
      <c r="F285" s="215">
        <v>83000</v>
      </c>
      <c r="G285" s="215">
        <v>92500</v>
      </c>
      <c r="H285" s="171"/>
      <c r="I285" s="88">
        <f t="shared" si="47"/>
        <v>92500</v>
      </c>
      <c r="J285" s="163">
        <f t="shared" si="48"/>
        <v>0</v>
      </c>
      <c r="K285" s="155">
        <f t="shared" si="4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50"/>
        <v>201227154.79893059</v>
      </c>
      <c r="O285" s="155">
        <f t="shared" si="51"/>
        <v>0</v>
      </c>
      <c r="P285" s="155">
        <f>IF(O285=1,SUM($O$6:O285),0)</f>
        <v>0</v>
      </c>
    </row>
    <row r="286" spans="1:16" ht="15" customHeight="1">
      <c r="A286" s="15"/>
      <c r="B286" s="194">
        <v>6</v>
      </c>
      <c r="C286" s="109" t="s">
        <v>1572</v>
      </c>
      <c r="D286" s="213" t="s">
        <v>47</v>
      </c>
      <c r="E286" s="214" t="s">
        <v>8</v>
      </c>
      <c r="F286" s="215">
        <v>90450</v>
      </c>
      <c r="G286" s="215">
        <v>100800</v>
      </c>
      <c r="H286" s="171"/>
      <c r="I286" s="88">
        <f t="shared" si="47"/>
        <v>100800</v>
      </c>
      <c r="J286" s="163">
        <f t="shared" si="48"/>
        <v>0</v>
      </c>
      <c r="K286" s="155">
        <f t="shared" si="4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50"/>
        <v>201227155.79893059</v>
      </c>
      <c r="O286" s="155">
        <f t="shared" si="51"/>
        <v>0</v>
      </c>
      <c r="P286" s="155">
        <f>IF(O286=1,SUM($O$6:O286),0)</f>
        <v>0</v>
      </c>
    </row>
    <row r="287" spans="1:16" ht="15" customHeight="1">
      <c r="A287" s="15"/>
      <c r="B287" s="194">
        <v>7</v>
      </c>
      <c r="C287" s="109" t="s">
        <v>1573</v>
      </c>
      <c r="D287" s="213" t="s">
        <v>47</v>
      </c>
      <c r="E287" s="214" t="s">
        <v>8</v>
      </c>
      <c r="F287" s="215">
        <v>106000</v>
      </c>
      <c r="G287" s="215">
        <v>118100</v>
      </c>
      <c r="H287" s="171"/>
      <c r="I287" s="88">
        <f t="shared" si="47"/>
        <v>118100</v>
      </c>
      <c r="J287" s="163">
        <f t="shared" si="48"/>
        <v>0</v>
      </c>
      <c r="K287" s="155">
        <f t="shared" si="4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50"/>
        <v>201227156.79893059</v>
      </c>
      <c r="O287" s="155">
        <f t="shared" si="51"/>
        <v>0</v>
      </c>
      <c r="P287" s="155">
        <f>IF(O287=1,SUM($O$6:O287),0)</f>
        <v>0</v>
      </c>
    </row>
    <row r="288" spans="1:16" ht="15" customHeight="1">
      <c r="A288" s="15"/>
      <c r="B288" s="194">
        <v>8</v>
      </c>
      <c r="C288" s="109" t="s">
        <v>1574</v>
      </c>
      <c r="D288" s="213" t="s">
        <v>47</v>
      </c>
      <c r="E288" s="214" t="s">
        <v>8</v>
      </c>
      <c r="F288" s="215">
        <v>115650</v>
      </c>
      <c r="G288" s="215">
        <v>128800</v>
      </c>
      <c r="H288" s="171"/>
      <c r="I288" s="88">
        <f t="shared" si="47"/>
        <v>128800</v>
      </c>
      <c r="J288" s="163">
        <f t="shared" si="48"/>
        <v>0</v>
      </c>
      <c r="K288" s="155">
        <f t="shared" si="4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50"/>
        <v>201227157.79893059</v>
      </c>
      <c r="O288" s="155">
        <f t="shared" si="51"/>
        <v>0</v>
      </c>
      <c r="P288" s="155">
        <f>IF(O288=1,SUM($O$6:O288),0)</f>
        <v>0</v>
      </c>
    </row>
    <row r="289" spans="1:16" ht="15" customHeight="1">
      <c r="A289" s="15"/>
      <c r="B289" s="194">
        <v>9</v>
      </c>
      <c r="C289" s="109" t="s">
        <v>1575</v>
      </c>
      <c r="D289" s="213" t="s">
        <v>47</v>
      </c>
      <c r="E289" s="214" t="s">
        <v>8</v>
      </c>
      <c r="F289" s="215">
        <v>159200</v>
      </c>
      <c r="G289" s="215">
        <v>177300</v>
      </c>
      <c r="H289" s="171"/>
      <c r="I289" s="88">
        <f>IF($I$5=$G$4,G289,(IF($I$5=$F$4,F289,0)))</f>
        <v>177300</v>
      </c>
      <c r="J289" s="163">
        <f t="shared" si="48"/>
        <v>0</v>
      </c>
      <c r="K289" s="155">
        <f t="shared" si="4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50"/>
        <v>201227158.79893059</v>
      </c>
      <c r="O289" s="155">
        <f t="shared" si="51"/>
        <v>0</v>
      </c>
      <c r="P289" s="155">
        <f>IF(O289=1,SUM($O$6:O289),0)</f>
        <v>0</v>
      </c>
    </row>
    <row r="290" spans="1:16" ht="15" customHeight="1">
      <c r="A290" s="15"/>
      <c r="B290" s="194">
        <v>10</v>
      </c>
      <c r="C290" s="109" t="s">
        <v>1576</v>
      </c>
      <c r="D290" s="213" t="s">
        <v>47</v>
      </c>
      <c r="E290" s="214" t="s">
        <v>8</v>
      </c>
      <c r="F290" s="215">
        <v>49900</v>
      </c>
      <c r="G290" s="215">
        <v>55600</v>
      </c>
      <c r="H290" s="171"/>
      <c r="I290" s="88">
        <f t="shared" si="47"/>
        <v>55600</v>
      </c>
      <c r="J290" s="163">
        <f t="shared" si="48"/>
        <v>0</v>
      </c>
      <c r="K290" s="155">
        <f t="shared" si="4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50"/>
        <v>201227159.79893059</v>
      </c>
      <c r="O290" s="155">
        <f t="shared" si="51"/>
        <v>0</v>
      </c>
      <c r="P290" s="155">
        <f>IF(O290=1,SUM($O$6:O290),0)</f>
        <v>0</v>
      </c>
    </row>
    <row r="291" spans="1:16" ht="15" customHeight="1">
      <c r="A291" s="15"/>
      <c r="B291" s="194">
        <v>11</v>
      </c>
      <c r="C291" s="109" t="s">
        <v>1577</v>
      </c>
      <c r="D291" s="213" t="s">
        <v>47</v>
      </c>
      <c r="E291" s="214" t="s">
        <v>8</v>
      </c>
      <c r="F291" s="215">
        <v>62200</v>
      </c>
      <c r="G291" s="215">
        <v>69300</v>
      </c>
      <c r="H291" s="171"/>
      <c r="I291" s="88">
        <f t="shared" si="47"/>
        <v>69300</v>
      </c>
      <c r="J291" s="163">
        <f t="shared" si="48"/>
        <v>0</v>
      </c>
      <c r="K291" s="155">
        <f t="shared" si="4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50"/>
        <v>201227160.79893059</v>
      </c>
      <c r="O291" s="155">
        <f t="shared" si="51"/>
        <v>0</v>
      </c>
      <c r="P291" s="155">
        <f>IF(O291=1,SUM($O$6:O291),0)</f>
        <v>0</v>
      </c>
    </row>
    <row r="292" spans="1:16" ht="15" customHeight="1">
      <c r="A292" s="15"/>
      <c r="B292" s="194">
        <v>12</v>
      </c>
      <c r="C292" s="109" t="s">
        <v>1578</v>
      </c>
      <c r="D292" s="213" t="s">
        <v>47</v>
      </c>
      <c r="E292" s="214" t="s">
        <v>8</v>
      </c>
      <c r="F292" s="215">
        <v>65800</v>
      </c>
      <c r="G292" s="215">
        <v>73300</v>
      </c>
      <c r="H292" s="171"/>
      <c r="I292" s="88">
        <f t="shared" si="47"/>
        <v>73300</v>
      </c>
      <c r="J292" s="163">
        <f t="shared" si="48"/>
        <v>0</v>
      </c>
      <c r="K292" s="155">
        <f t="shared" si="4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50"/>
        <v>201227161.79893059</v>
      </c>
      <c r="O292" s="155">
        <f t="shared" si="51"/>
        <v>0</v>
      </c>
      <c r="P292" s="155">
        <f>IF(O292=1,SUM($O$6:O292),0)</f>
        <v>0</v>
      </c>
    </row>
    <row r="293" spans="1:16" ht="15" customHeight="1">
      <c r="A293" s="15"/>
      <c r="B293" s="194">
        <v>13</v>
      </c>
      <c r="C293" s="109" t="s">
        <v>1579</v>
      </c>
      <c r="D293" s="213" t="s">
        <v>47</v>
      </c>
      <c r="E293" s="214" t="s">
        <v>8</v>
      </c>
      <c r="F293" s="215">
        <v>69100</v>
      </c>
      <c r="G293" s="215">
        <v>77000</v>
      </c>
      <c r="H293" s="171"/>
      <c r="I293" s="88">
        <f t="shared" si="47"/>
        <v>77000</v>
      </c>
      <c r="J293" s="163">
        <f t="shared" si="48"/>
        <v>0</v>
      </c>
      <c r="K293" s="155">
        <f t="shared" si="4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50"/>
        <v>201227162.79893059</v>
      </c>
      <c r="O293" s="155">
        <f t="shared" si="51"/>
        <v>0</v>
      </c>
      <c r="P293" s="155">
        <f>IF(O293=1,SUM($O$6:O293),0)</f>
        <v>0</v>
      </c>
    </row>
    <row r="294" spans="1:16" ht="15" customHeight="1">
      <c r="A294" s="15"/>
      <c r="B294" s="194">
        <v>13</v>
      </c>
      <c r="C294" s="414" t="s">
        <v>1614</v>
      </c>
      <c r="D294" s="213" t="s">
        <v>47</v>
      </c>
      <c r="E294" s="214" t="s">
        <v>8</v>
      </c>
      <c r="F294" s="415">
        <v>69100</v>
      </c>
      <c r="G294" s="415">
        <v>77000</v>
      </c>
      <c r="H294" s="171"/>
      <c r="I294" s="88">
        <f t="shared" ref="I294" si="57">IF($I$5=$G$4,G294,(IF($I$5=$F$4,F294,0)))</f>
        <v>77000</v>
      </c>
      <c r="J294" s="163">
        <f t="shared" ref="J294" si="58">IF(D294="MDU-KD",1,0)</f>
        <v>0</v>
      </c>
      <c r="K294" s="155">
        <f t="shared" ref="K294" si="59"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ref="N294" si="60">IF(L294=0,M294,L294)</f>
        <v>201227163.79893059</v>
      </c>
      <c r="O294" s="155">
        <f t="shared" ref="O294" si="61"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94">
        <v>14</v>
      </c>
      <c r="C295" s="109" t="s">
        <v>1580</v>
      </c>
      <c r="D295" s="213" t="s">
        <v>47</v>
      </c>
      <c r="E295" s="214" t="s">
        <v>8</v>
      </c>
      <c r="F295" s="215">
        <v>87100</v>
      </c>
      <c r="G295" s="215">
        <v>97000</v>
      </c>
      <c r="H295" s="171"/>
      <c r="I295" s="88">
        <f t="shared" si="47"/>
        <v>97000</v>
      </c>
      <c r="J295" s="163">
        <f t="shared" si="48"/>
        <v>0</v>
      </c>
      <c r="K295" s="155">
        <f t="shared" si="4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50"/>
        <v>201227164.79893059</v>
      </c>
      <c r="O295" s="155">
        <f t="shared" si="51"/>
        <v>0</v>
      </c>
      <c r="P295" s="155">
        <f>IF(O295=1,SUM($O$6:O295),0)</f>
        <v>0</v>
      </c>
    </row>
    <row r="296" spans="1:16" ht="15" customHeight="1">
      <c r="A296" s="15"/>
      <c r="B296" s="194">
        <v>15</v>
      </c>
      <c r="C296" s="109" t="s">
        <v>1581</v>
      </c>
      <c r="D296" s="213" t="s">
        <v>47</v>
      </c>
      <c r="E296" s="214" t="s">
        <v>8</v>
      </c>
      <c r="F296" s="215">
        <v>98500</v>
      </c>
      <c r="G296" s="215">
        <v>109700</v>
      </c>
      <c r="H296" s="171"/>
      <c r="I296" s="88">
        <f>IF($I$5=$G$4,G296,(IF($I$5=$F$4,F296,0)))</f>
        <v>109700</v>
      </c>
      <c r="J296" s="163">
        <f t="shared" si="48"/>
        <v>0</v>
      </c>
      <c r="K296" s="155">
        <f t="shared" si="4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50"/>
        <v>201227165.79893059</v>
      </c>
      <c r="O296" s="155">
        <f t="shared" si="51"/>
        <v>0</v>
      </c>
      <c r="P296" s="155">
        <f>IF(O296=1,SUM($O$6:O296),0)</f>
        <v>0</v>
      </c>
    </row>
    <row r="297" spans="1:16" ht="15" customHeight="1">
      <c r="A297" s="15"/>
      <c r="B297" s="194">
        <v>16</v>
      </c>
      <c r="C297" s="109" t="s">
        <v>1582</v>
      </c>
      <c r="D297" s="213" t="s">
        <v>47</v>
      </c>
      <c r="E297" s="214" t="s">
        <v>8</v>
      </c>
      <c r="F297" s="215">
        <v>137700</v>
      </c>
      <c r="G297" s="215">
        <v>153400</v>
      </c>
      <c r="H297" s="171"/>
      <c r="I297" s="88">
        <f t="shared" si="47"/>
        <v>153400</v>
      </c>
      <c r="J297" s="163">
        <f t="shared" si="48"/>
        <v>0</v>
      </c>
      <c r="K297" s="155">
        <f t="shared" si="4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50"/>
        <v>201227166.79893059</v>
      </c>
      <c r="O297" s="155">
        <f t="shared" si="51"/>
        <v>0</v>
      </c>
      <c r="P297" s="155">
        <f>IF(O297=1,SUM($O$6:O297),0)</f>
        <v>0</v>
      </c>
    </row>
    <row r="298" spans="1:16" ht="15" customHeight="1">
      <c r="A298" s="15"/>
      <c r="B298" s="194">
        <v>17</v>
      </c>
      <c r="C298" s="109" t="s">
        <v>1583</v>
      </c>
      <c r="D298" s="213" t="s">
        <v>47</v>
      </c>
      <c r="E298" s="214" t="s">
        <v>8</v>
      </c>
      <c r="F298" s="215">
        <v>124300</v>
      </c>
      <c r="G298" s="215">
        <v>138500</v>
      </c>
      <c r="H298" s="171"/>
      <c r="I298" s="88">
        <f t="shared" si="47"/>
        <v>138500</v>
      </c>
      <c r="J298" s="163">
        <f t="shared" si="48"/>
        <v>0</v>
      </c>
      <c r="K298" s="155">
        <f t="shared" si="4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50"/>
        <v>201227167.79893059</v>
      </c>
      <c r="O298" s="155">
        <f t="shared" si="51"/>
        <v>0</v>
      </c>
      <c r="P298" s="155">
        <f>IF(O298=1,SUM($O$6:O298),0)</f>
        <v>0</v>
      </c>
    </row>
    <row r="299" spans="1:16" ht="15" customHeight="1">
      <c r="A299" s="15"/>
      <c r="B299" s="194">
        <v>18</v>
      </c>
      <c r="C299" s="109" t="s">
        <v>1584</v>
      </c>
      <c r="D299" s="213" t="s">
        <v>47</v>
      </c>
      <c r="E299" s="214" t="s">
        <v>8</v>
      </c>
      <c r="F299" s="215">
        <v>114000</v>
      </c>
      <c r="G299" s="215">
        <v>127000</v>
      </c>
      <c r="H299" s="171"/>
      <c r="I299" s="88">
        <f t="shared" si="47"/>
        <v>127000</v>
      </c>
      <c r="J299" s="163">
        <f t="shared" si="48"/>
        <v>0</v>
      </c>
      <c r="K299" s="155">
        <f t="shared" si="4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50"/>
        <v>201227168.79893059</v>
      </c>
      <c r="O299" s="155">
        <f t="shared" si="51"/>
        <v>0</v>
      </c>
      <c r="P299" s="155">
        <f>IF(O299=1,SUM($O$6:O299),0)</f>
        <v>0</v>
      </c>
    </row>
    <row r="300" spans="1:16" ht="15" customHeight="1">
      <c r="A300" s="15"/>
      <c r="B300" s="194">
        <v>19</v>
      </c>
      <c r="C300" s="109" t="s">
        <v>1585</v>
      </c>
      <c r="D300" s="213" t="s">
        <v>47</v>
      </c>
      <c r="E300" s="214" t="s">
        <v>8</v>
      </c>
      <c r="F300" s="215">
        <v>146000</v>
      </c>
      <c r="G300" s="215">
        <v>162600</v>
      </c>
      <c r="H300" s="171"/>
      <c r="I300" s="88">
        <f t="shared" si="47"/>
        <v>162600</v>
      </c>
      <c r="J300" s="163">
        <f t="shared" si="48"/>
        <v>0</v>
      </c>
      <c r="K300" s="155">
        <f t="shared" si="4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50"/>
        <v>201227169.79893059</v>
      </c>
      <c r="O300" s="155">
        <f t="shared" si="51"/>
        <v>0</v>
      </c>
      <c r="P300" s="155">
        <f>IF(O300=1,SUM($O$6:O300),0)</f>
        <v>0</v>
      </c>
    </row>
    <row r="301" spans="1:16" ht="15" customHeight="1">
      <c r="A301" s="15"/>
      <c r="B301" s="194">
        <v>20</v>
      </c>
      <c r="C301" s="109" t="s">
        <v>1586</v>
      </c>
      <c r="D301" s="213" t="s">
        <v>47</v>
      </c>
      <c r="E301" s="214" t="s">
        <v>8</v>
      </c>
      <c r="F301" s="215">
        <v>156000</v>
      </c>
      <c r="G301" s="215">
        <v>173800</v>
      </c>
      <c r="H301" s="171"/>
      <c r="I301" s="88">
        <f t="shared" si="47"/>
        <v>173800</v>
      </c>
      <c r="J301" s="163">
        <f t="shared" si="48"/>
        <v>0</v>
      </c>
      <c r="K301" s="155">
        <f t="shared" si="4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50"/>
        <v>201227170.79893059</v>
      </c>
      <c r="O301" s="155">
        <f t="shared" si="51"/>
        <v>0</v>
      </c>
      <c r="P301" s="155">
        <f>IF(O301=1,SUM($O$6:O301),0)</f>
        <v>0</v>
      </c>
    </row>
    <row r="302" spans="1:16" ht="15" customHeight="1">
      <c r="A302" s="15"/>
      <c r="B302" s="194">
        <v>21</v>
      </c>
      <c r="C302" s="109" t="s">
        <v>1587</v>
      </c>
      <c r="D302" s="213" t="s">
        <v>47</v>
      </c>
      <c r="E302" s="214" t="s">
        <v>8</v>
      </c>
      <c r="F302" s="215">
        <v>17200</v>
      </c>
      <c r="G302" s="215">
        <v>19200</v>
      </c>
      <c r="H302" s="171"/>
      <c r="I302" s="88">
        <f t="shared" si="47"/>
        <v>19200</v>
      </c>
      <c r="J302" s="163">
        <f t="shared" si="48"/>
        <v>0</v>
      </c>
      <c r="K302" s="155">
        <f t="shared" si="49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50"/>
        <v>201227171.79893059</v>
      </c>
      <c r="O302" s="155">
        <f t="shared" si="51"/>
        <v>0</v>
      </c>
      <c r="P302" s="155">
        <f>IF(O302=1,SUM($O$6:O302),0)</f>
        <v>0</v>
      </c>
    </row>
    <row r="303" spans="1:16" ht="15" customHeight="1">
      <c r="A303" s="15"/>
      <c r="B303" s="194">
        <v>22</v>
      </c>
      <c r="C303" s="109" t="s">
        <v>1588</v>
      </c>
      <c r="D303" s="213" t="s">
        <v>47</v>
      </c>
      <c r="E303" s="214" t="s">
        <v>8</v>
      </c>
      <c r="F303" s="215">
        <v>21900</v>
      </c>
      <c r="G303" s="215">
        <v>24400</v>
      </c>
      <c r="H303" s="171"/>
      <c r="I303" s="88">
        <f>IF($I$5=$G$4,G303,(IF($I$5=$F$4,F303,0)))</f>
        <v>24400</v>
      </c>
      <c r="J303" s="163">
        <f t="shared" si="48"/>
        <v>0</v>
      </c>
      <c r="K303" s="155">
        <f t="shared" si="4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50"/>
        <v>201227172.79893059</v>
      </c>
      <c r="O303" s="155">
        <f t="shared" si="51"/>
        <v>0</v>
      </c>
      <c r="P303" s="155">
        <f>IF(O303=1,SUM($O$6:O303),0)</f>
        <v>0</v>
      </c>
    </row>
    <row r="304" spans="1:16" ht="15" customHeight="1">
      <c r="A304" s="15"/>
      <c r="B304" s="194">
        <v>23</v>
      </c>
      <c r="C304" s="109" t="s">
        <v>1589</v>
      </c>
      <c r="D304" s="213" t="s">
        <v>47</v>
      </c>
      <c r="E304" s="214" t="s">
        <v>8</v>
      </c>
      <c r="F304" s="215">
        <v>21900</v>
      </c>
      <c r="G304" s="215">
        <v>24400</v>
      </c>
      <c r="H304" s="171"/>
      <c r="I304" s="88">
        <f t="shared" si="47"/>
        <v>24400</v>
      </c>
      <c r="J304" s="163">
        <f t="shared" si="48"/>
        <v>0</v>
      </c>
      <c r="K304" s="155">
        <f t="shared" si="4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50"/>
        <v>201227173.79893059</v>
      </c>
      <c r="O304" s="155">
        <f t="shared" si="51"/>
        <v>0</v>
      </c>
      <c r="P304" s="155">
        <f>IF(O304=1,SUM($O$6:O304),0)</f>
        <v>0</v>
      </c>
    </row>
    <row r="305" spans="1:16" ht="15" customHeight="1">
      <c r="A305" s="15"/>
      <c r="B305" s="194">
        <v>24</v>
      </c>
      <c r="C305" s="109" t="s">
        <v>1590</v>
      </c>
      <c r="D305" s="213" t="s">
        <v>47</v>
      </c>
      <c r="E305" s="214" t="s">
        <v>8</v>
      </c>
      <c r="F305" s="215">
        <v>23500</v>
      </c>
      <c r="G305" s="215">
        <v>26200</v>
      </c>
      <c r="H305" s="171"/>
      <c r="I305" s="88">
        <f t="shared" si="47"/>
        <v>26200</v>
      </c>
      <c r="J305" s="163">
        <f t="shared" si="48"/>
        <v>0</v>
      </c>
      <c r="K305" s="155">
        <f t="shared" si="4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50"/>
        <v>201227174.79893059</v>
      </c>
      <c r="O305" s="155">
        <f t="shared" si="51"/>
        <v>0</v>
      </c>
      <c r="P305" s="155">
        <f>IF(O305=1,SUM($O$6:O305),0)</f>
        <v>0</v>
      </c>
    </row>
    <row r="306" spans="1:16" ht="15" customHeight="1">
      <c r="A306" s="15"/>
      <c r="B306" s="194">
        <v>24</v>
      </c>
      <c r="C306" s="414" t="s">
        <v>1613</v>
      </c>
      <c r="D306" s="213" t="s">
        <v>47</v>
      </c>
      <c r="E306" s="214" t="s">
        <v>8</v>
      </c>
      <c r="F306" s="415">
        <v>23500</v>
      </c>
      <c r="G306" s="415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94">
        <v>25</v>
      </c>
      <c r="C307" s="109" t="s">
        <v>1591</v>
      </c>
      <c r="D307" s="213" t="s">
        <v>47</v>
      </c>
      <c r="E307" s="214" t="s">
        <v>8</v>
      </c>
      <c r="F307" s="215">
        <v>26100</v>
      </c>
      <c r="G307" s="215">
        <v>29100</v>
      </c>
      <c r="H307" s="171"/>
      <c r="I307" s="88">
        <f t="shared" si="47"/>
        <v>29100</v>
      </c>
      <c r="J307" s="163">
        <f t="shared" si="48"/>
        <v>0</v>
      </c>
      <c r="K307" s="155">
        <f t="shared" si="4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50"/>
        <v>201227176.79893059</v>
      </c>
      <c r="O307" s="155">
        <f t="shared" si="51"/>
        <v>0</v>
      </c>
      <c r="P307" s="155">
        <f>IF(O307=1,SUM($O$6:O307),0)</f>
        <v>0</v>
      </c>
    </row>
    <row r="308" spans="1:16" ht="15" customHeight="1">
      <c r="A308" s="15"/>
      <c r="B308" s="194">
        <v>26</v>
      </c>
      <c r="C308" s="109" t="s">
        <v>1592</v>
      </c>
      <c r="D308" s="213" t="s">
        <v>47</v>
      </c>
      <c r="E308" s="214" t="s">
        <v>8</v>
      </c>
      <c r="F308" s="215">
        <v>35500</v>
      </c>
      <c r="G308" s="215">
        <v>39500</v>
      </c>
      <c r="H308" s="171"/>
      <c r="I308" s="88">
        <f t="shared" si="47"/>
        <v>39500</v>
      </c>
      <c r="J308" s="163">
        <f t="shared" si="48"/>
        <v>0</v>
      </c>
      <c r="K308" s="155">
        <f t="shared" si="4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50"/>
        <v>201227177.79893059</v>
      </c>
      <c r="O308" s="155">
        <f t="shared" si="51"/>
        <v>0</v>
      </c>
      <c r="P308" s="155">
        <f>IF(O308=1,SUM($O$6:O308),0)</f>
        <v>0</v>
      </c>
    </row>
    <row r="309" spans="1:16" ht="15" customHeight="1">
      <c r="A309" s="15"/>
      <c r="B309" s="194">
        <v>27</v>
      </c>
      <c r="C309" s="109" t="s">
        <v>1593</v>
      </c>
      <c r="D309" s="213" t="s">
        <v>47</v>
      </c>
      <c r="E309" s="214" t="s">
        <v>8</v>
      </c>
      <c r="F309" s="215">
        <v>46200</v>
      </c>
      <c r="G309" s="215">
        <v>51500</v>
      </c>
      <c r="H309" s="171"/>
      <c r="I309" s="88">
        <f t="shared" si="47"/>
        <v>51500</v>
      </c>
      <c r="J309" s="163">
        <f t="shared" si="48"/>
        <v>0</v>
      </c>
      <c r="K309" s="155">
        <f t="shared" si="4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50"/>
        <v>201227178.79893059</v>
      </c>
      <c r="O309" s="155">
        <f t="shared" si="51"/>
        <v>0</v>
      </c>
      <c r="P309" s="155">
        <f>IF(O309=1,SUM($O$6:O309),0)</f>
        <v>0</v>
      </c>
    </row>
    <row r="310" spans="1:16" ht="15" customHeight="1">
      <c r="A310" s="15"/>
      <c r="B310" s="194">
        <v>28</v>
      </c>
      <c r="C310" s="109" t="s">
        <v>1594</v>
      </c>
      <c r="D310" s="213" t="s">
        <v>47</v>
      </c>
      <c r="E310" s="214" t="s">
        <v>8</v>
      </c>
      <c r="F310" s="215">
        <v>68700</v>
      </c>
      <c r="G310" s="215">
        <v>76500</v>
      </c>
      <c r="H310" s="171"/>
      <c r="I310" s="88">
        <f t="shared" si="47"/>
        <v>76500</v>
      </c>
      <c r="J310" s="163">
        <f t="shared" si="48"/>
        <v>0</v>
      </c>
      <c r="K310" s="155">
        <f t="shared" si="4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50"/>
        <v>201227179.79893059</v>
      </c>
      <c r="O310" s="155">
        <f t="shared" si="51"/>
        <v>0</v>
      </c>
      <c r="P310" s="155">
        <f>IF(O310=1,SUM($O$6:O310),0)</f>
        <v>0</v>
      </c>
    </row>
    <row r="311" spans="1:16" ht="15" customHeight="1">
      <c r="A311" s="15"/>
      <c r="B311" s="194">
        <v>29</v>
      </c>
      <c r="C311" s="109" t="s">
        <v>1595</v>
      </c>
      <c r="D311" s="213" t="s">
        <v>47</v>
      </c>
      <c r="E311" s="214" t="s">
        <v>8</v>
      </c>
      <c r="F311" s="215">
        <v>76800</v>
      </c>
      <c r="G311" s="215">
        <v>85500</v>
      </c>
      <c r="H311" s="171"/>
      <c r="I311" s="88">
        <f>IF($I$5=$G$4,G311,(IF($I$5=$F$4,F311,0)))</f>
        <v>85500</v>
      </c>
      <c r="J311" s="163">
        <f t="shared" si="48"/>
        <v>0</v>
      </c>
      <c r="K311" s="155">
        <f t="shared" si="4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50"/>
        <v>201227180.79893059</v>
      </c>
      <c r="O311" s="155">
        <f t="shared" si="51"/>
        <v>0</v>
      </c>
      <c r="P311" s="155">
        <f>IF(O311=1,SUM($O$6:O311),0)</f>
        <v>0</v>
      </c>
    </row>
    <row r="312" spans="1:16" ht="15" customHeight="1">
      <c r="A312" s="15"/>
      <c r="B312" s="194">
        <v>30</v>
      </c>
      <c r="C312" s="109" t="s">
        <v>1596</v>
      </c>
      <c r="D312" s="213" t="s">
        <v>47</v>
      </c>
      <c r="E312" s="214" t="s">
        <v>8</v>
      </c>
      <c r="F312" s="215">
        <v>23000</v>
      </c>
      <c r="G312" s="215">
        <v>25600</v>
      </c>
      <c r="H312" s="171"/>
      <c r="I312" s="88">
        <f t="shared" si="47"/>
        <v>25600</v>
      </c>
      <c r="J312" s="163">
        <f t="shared" si="48"/>
        <v>0</v>
      </c>
      <c r="K312" s="155">
        <f t="shared" si="4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50"/>
        <v>201227181.79893059</v>
      </c>
      <c r="O312" s="155">
        <f t="shared" si="51"/>
        <v>0</v>
      </c>
      <c r="P312" s="155">
        <f>IF(O312=1,SUM($O$6:O312),0)</f>
        <v>0</v>
      </c>
    </row>
    <row r="313" spans="1:16" ht="15" customHeight="1">
      <c r="A313" s="15"/>
      <c r="B313" s="194">
        <v>31</v>
      </c>
      <c r="C313" s="109" t="s">
        <v>1597</v>
      </c>
      <c r="D313" s="213" t="s">
        <v>47</v>
      </c>
      <c r="E313" s="214" t="s">
        <v>8</v>
      </c>
      <c r="F313" s="215">
        <v>25700</v>
      </c>
      <c r="G313" s="215">
        <v>28600</v>
      </c>
      <c r="H313" s="171"/>
      <c r="I313" s="88">
        <f t="shared" si="47"/>
        <v>28600</v>
      </c>
      <c r="J313" s="163">
        <f t="shared" si="48"/>
        <v>0</v>
      </c>
      <c r="K313" s="155">
        <f t="shared" si="4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50"/>
        <v>201227182.79893059</v>
      </c>
      <c r="O313" s="155">
        <f t="shared" si="51"/>
        <v>0</v>
      </c>
      <c r="P313" s="155">
        <f>IF(O313=1,SUM($O$6:O313),0)</f>
        <v>0</v>
      </c>
    </row>
    <row r="314" spans="1:16" ht="15" customHeight="1">
      <c r="A314" s="15"/>
      <c r="B314" s="194">
        <v>32</v>
      </c>
      <c r="C314" s="109" t="s">
        <v>1598</v>
      </c>
      <c r="D314" s="213" t="s">
        <v>47</v>
      </c>
      <c r="E314" s="214" t="s">
        <v>8</v>
      </c>
      <c r="F314" s="215">
        <v>38100</v>
      </c>
      <c r="G314" s="215">
        <v>42400</v>
      </c>
      <c r="H314" s="171"/>
      <c r="I314" s="88">
        <f t="shared" si="47"/>
        <v>42400</v>
      </c>
      <c r="J314" s="163">
        <f t="shared" si="48"/>
        <v>0</v>
      </c>
      <c r="K314" s="155">
        <f t="shared" si="4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50"/>
        <v>201227183.79893059</v>
      </c>
      <c r="O314" s="155">
        <f t="shared" si="51"/>
        <v>0</v>
      </c>
      <c r="P314" s="155">
        <f>IF(O314=1,SUM($O$6:O314),0)</f>
        <v>0</v>
      </c>
    </row>
    <row r="315" spans="1:16" ht="15" customHeight="1">
      <c r="A315" s="15"/>
      <c r="B315" s="194">
        <v>33</v>
      </c>
      <c r="C315" s="109" t="s">
        <v>1599</v>
      </c>
      <c r="D315" s="213" t="s">
        <v>47</v>
      </c>
      <c r="E315" s="214" t="s">
        <v>8</v>
      </c>
      <c r="F315" s="215">
        <v>48000</v>
      </c>
      <c r="G315" s="215">
        <v>53500</v>
      </c>
      <c r="H315" s="171"/>
      <c r="I315" s="88">
        <f t="shared" si="47"/>
        <v>53500</v>
      </c>
      <c r="J315" s="163">
        <f t="shared" si="48"/>
        <v>0</v>
      </c>
      <c r="K315" s="155">
        <f t="shared" si="4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50"/>
        <v>201227184.79893059</v>
      </c>
      <c r="O315" s="155">
        <f t="shared" si="51"/>
        <v>0</v>
      </c>
      <c r="P315" s="155">
        <f>IF(O315=1,SUM($O$6:O315),0)</f>
        <v>0</v>
      </c>
    </row>
    <row r="316" spans="1:16" ht="15" customHeight="1">
      <c r="A316" s="15"/>
      <c r="B316" s="194">
        <v>34</v>
      </c>
      <c r="C316" s="109" t="s">
        <v>1600</v>
      </c>
      <c r="D316" s="213" t="s">
        <v>47</v>
      </c>
      <c r="E316" s="214" t="s">
        <v>8</v>
      </c>
      <c r="F316" s="215">
        <v>60000</v>
      </c>
      <c r="G316" s="215">
        <v>66800</v>
      </c>
      <c r="H316" s="171"/>
      <c r="I316" s="88">
        <f t="shared" si="47"/>
        <v>66800</v>
      </c>
      <c r="J316" s="163">
        <f t="shared" si="48"/>
        <v>0</v>
      </c>
      <c r="K316" s="155">
        <f t="shared" si="4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50"/>
        <v>201227185.79893059</v>
      </c>
      <c r="O316" s="155">
        <f t="shared" si="51"/>
        <v>0</v>
      </c>
      <c r="P316" s="155">
        <f>IF(O316=1,SUM($O$6:O316),0)</f>
        <v>0</v>
      </c>
    </row>
    <row r="317" spans="1:16" ht="15" customHeight="1">
      <c r="A317" s="15"/>
      <c r="B317" s="194">
        <v>35</v>
      </c>
      <c r="C317" s="109" t="s">
        <v>1601</v>
      </c>
      <c r="D317" s="213" t="s">
        <v>47</v>
      </c>
      <c r="E317" s="214" t="s">
        <v>8</v>
      </c>
      <c r="F317" s="215">
        <v>79000</v>
      </c>
      <c r="G317" s="215">
        <v>88000</v>
      </c>
      <c r="H317" s="171"/>
      <c r="I317" s="88">
        <f t="shared" si="47"/>
        <v>88000</v>
      </c>
      <c r="J317" s="163">
        <f t="shared" si="48"/>
        <v>0</v>
      </c>
      <c r="K317" s="155">
        <f t="shared" si="4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50"/>
        <v>201227186.79893059</v>
      </c>
      <c r="O317" s="155">
        <f t="shared" si="51"/>
        <v>0</v>
      </c>
      <c r="P317" s="155">
        <f>IF(O317=1,SUM($O$6:O317),0)</f>
        <v>0</v>
      </c>
    </row>
    <row r="318" spans="1:16" ht="15" customHeight="1">
      <c r="A318" s="15"/>
      <c r="B318" s="194">
        <v>36</v>
      </c>
      <c r="C318" s="109" t="s">
        <v>1602</v>
      </c>
      <c r="D318" s="213" t="s">
        <v>47</v>
      </c>
      <c r="E318" s="214" t="s">
        <v>8</v>
      </c>
      <c r="F318" s="215">
        <v>99600</v>
      </c>
      <c r="G318" s="215">
        <v>110900</v>
      </c>
      <c r="H318" s="171"/>
      <c r="I318" s="88">
        <f t="shared" si="47"/>
        <v>110900</v>
      </c>
      <c r="J318" s="163">
        <f t="shared" si="48"/>
        <v>0</v>
      </c>
      <c r="K318" s="155">
        <f t="shared" si="4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50"/>
        <v>201227187.79893059</v>
      </c>
      <c r="O318" s="155">
        <f t="shared" si="51"/>
        <v>0</v>
      </c>
      <c r="P318" s="155">
        <f>IF(O318=1,SUM($O$6:O318),0)</f>
        <v>0</v>
      </c>
    </row>
    <row r="319" spans="1:16" ht="15" customHeight="1">
      <c r="A319" s="15"/>
      <c r="B319" s="194">
        <v>37</v>
      </c>
      <c r="C319" s="109" t="s">
        <v>1603</v>
      </c>
      <c r="D319" s="213" t="s">
        <v>47</v>
      </c>
      <c r="E319" s="214" t="s">
        <v>8</v>
      </c>
      <c r="F319" s="215">
        <v>170800</v>
      </c>
      <c r="G319" s="215">
        <v>190300</v>
      </c>
      <c r="H319" s="171"/>
      <c r="I319" s="88">
        <f t="shared" si="47"/>
        <v>190300</v>
      </c>
      <c r="J319" s="163">
        <f t="shared" si="48"/>
        <v>0</v>
      </c>
      <c r="K319" s="155">
        <f t="shared" si="49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50"/>
        <v>201227188.79893059</v>
      </c>
      <c r="O319" s="155">
        <f t="shared" si="51"/>
        <v>0</v>
      </c>
      <c r="P319" s="155">
        <f>IF(O319=1,SUM($O$6:O319),0)</f>
        <v>0</v>
      </c>
    </row>
    <row r="320" spans="1:16" ht="15" customHeight="1">
      <c r="A320" s="15"/>
      <c r="B320" s="194">
        <v>38</v>
      </c>
      <c r="C320" s="109" t="s">
        <v>1465</v>
      </c>
      <c r="D320" s="213" t="s">
        <v>47</v>
      </c>
      <c r="E320" s="214" t="s">
        <v>8</v>
      </c>
      <c r="F320" s="215">
        <v>197400</v>
      </c>
      <c r="G320" s="215">
        <v>219900</v>
      </c>
      <c r="H320" s="171"/>
      <c r="I320" s="88">
        <f t="shared" si="47"/>
        <v>219900</v>
      </c>
      <c r="J320" s="163">
        <f t="shared" si="48"/>
        <v>0</v>
      </c>
      <c r="K320" s="155">
        <f t="shared" si="49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50"/>
        <v>201227189.79893059</v>
      </c>
      <c r="O320" s="155">
        <f t="shared" si="51"/>
        <v>0</v>
      </c>
      <c r="P320" s="155">
        <f>IF(O320=1,SUM($O$6:O320),0)</f>
        <v>0</v>
      </c>
    </row>
    <row r="321" spans="1:16" ht="15" customHeight="1">
      <c r="A321" s="15"/>
      <c r="B321" s="194">
        <v>39</v>
      </c>
      <c r="C321" s="109" t="s">
        <v>1466</v>
      </c>
      <c r="D321" s="213" t="s">
        <v>47</v>
      </c>
      <c r="E321" s="214" t="s">
        <v>8</v>
      </c>
      <c r="F321" s="215">
        <v>158100</v>
      </c>
      <c r="G321" s="215">
        <v>176100</v>
      </c>
      <c r="H321" s="171"/>
      <c r="I321" s="88">
        <f t="shared" si="47"/>
        <v>176100</v>
      </c>
      <c r="J321" s="163">
        <f t="shared" si="48"/>
        <v>0</v>
      </c>
      <c r="K321" s="155">
        <f t="shared" si="49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50"/>
        <v>201227190.79893059</v>
      </c>
      <c r="O321" s="155">
        <f t="shared" si="51"/>
        <v>0</v>
      </c>
      <c r="P321" s="155">
        <f>IF(O321=1,SUM($O$6:O321),0)</f>
        <v>0</v>
      </c>
    </row>
    <row r="322" spans="1:16" ht="15" customHeight="1">
      <c r="A322" s="15"/>
      <c r="B322" s="194"/>
      <c r="C322" s="109" t="s">
        <v>50</v>
      </c>
      <c r="D322" s="213" t="s">
        <v>50</v>
      </c>
      <c r="E322" s="214"/>
      <c r="F322" s="215"/>
      <c r="G322" s="215"/>
      <c r="H322" s="171"/>
      <c r="I322" s="88">
        <f t="shared" si="47"/>
        <v>0</v>
      </c>
      <c r="J322" s="163">
        <f t="shared" si="48"/>
        <v>0</v>
      </c>
      <c r="K322" s="155">
        <f t="shared" si="49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50"/>
        <v>0</v>
      </c>
      <c r="O322" s="155">
        <f t="shared" si="51"/>
        <v>0</v>
      </c>
      <c r="P322" s="155">
        <f>IF(O322=1,SUM($O$6:O322),0)</f>
        <v>0</v>
      </c>
    </row>
    <row r="323" spans="1:16" ht="15" customHeight="1">
      <c r="A323" s="15"/>
      <c r="B323" s="194" t="s">
        <v>588</v>
      </c>
      <c r="C323" s="109" t="s">
        <v>589</v>
      </c>
      <c r="D323" s="213" t="s">
        <v>50</v>
      </c>
      <c r="E323" s="214"/>
      <c r="F323" s="215"/>
      <c r="G323" s="215"/>
      <c r="H323" s="171"/>
      <c r="I323" s="88">
        <f t="shared" si="47"/>
        <v>0</v>
      </c>
      <c r="J323" s="163">
        <f t="shared" si="48"/>
        <v>0</v>
      </c>
      <c r="K323" s="155">
        <f t="shared" si="49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50"/>
        <v>0</v>
      </c>
      <c r="O323" s="155">
        <f t="shared" si="51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114</v>
      </c>
      <c r="D324" s="213" t="s">
        <v>47</v>
      </c>
      <c r="E324" s="214" t="s">
        <v>115</v>
      </c>
      <c r="F324" s="215">
        <v>125000</v>
      </c>
      <c r="G324" s="215">
        <v>125000</v>
      </c>
      <c r="H324" s="171"/>
      <c r="I324" s="88">
        <f t="shared" si="47"/>
        <v>125000</v>
      </c>
      <c r="J324" s="163">
        <f t="shared" si="48"/>
        <v>0</v>
      </c>
      <c r="K324" s="155">
        <f t="shared" si="4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50"/>
        <v>201227191.79893059</v>
      </c>
      <c r="O324" s="155">
        <f t="shared" si="51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116</v>
      </c>
      <c r="D325" s="213" t="s">
        <v>47</v>
      </c>
      <c r="E325" s="214" t="s">
        <v>117</v>
      </c>
      <c r="F325" s="215">
        <v>74000</v>
      </c>
      <c r="G325" s="215">
        <v>74000</v>
      </c>
      <c r="H325" s="171"/>
      <c r="I325" s="88">
        <f t="shared" si="47"/>
        <v>74000</v>
      </c>
      <c r="J325" s="163">
        <f t="shared" si="48"/>
        <v>0</v>
      </c>
      <c r="K325" s="155">
        <f t="shared" si="4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50"/>
        <v>201227192.79893059</v>
      </c>
      <c r="O325" s="155">
        <f t="shared" si="51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1160</v>
      </c>
      <c r="D326" s="213" t="s">
        <v>47</v>
      </c>
      <c r="E326" s="214" t="s">
        <v>8</v>
      </c>
      <c r="F326" s="215">
        <v>4500</v>
      </c>
      <c r="G326" s="215">
        <v>4500</v>
      </c>
      <c r="H326" s="171"/>
      <c r="I326" s="88">
        <f t="shared" si="47"/>
        <v>4500</v>
      </c>
      <c r="J326" s="163">
        <f t="shared" si="48"/>
        <v>0</v>
      </c>
      <c r="K326" s="155">
        <f t="shared" si="4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50"/>
        <v>201227193.79893059</v>
      </c>
      <c r="O326" s="155">
        <f t="shared" si="51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1158</v>
      </c>
      <c r="D327" s="213" t="s">
        <v>47</v>
      </c>
      <c r="E327" s="214" t="s">
        <v>24</v>
      </c>
      <c r="F327" s="215">
        <v>3888</v>
      </c>
      <c r="G327" s="215">
        <v>3888</v>
      </c>
      <c r="H327" s="171"/>
      <c r="I327" s="88">
        <f t="shared" si="47"/>
        <v>3888</v>
      </c>
      <c r="J327" s="163">
        <f t="shared" si="48"/>
        <v>0</v>
      </c>
      <c r="K327" s="155">
        <f t="shared" si="4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50"/>
        <v>201227194.79893059</v>
      </c>
      <c r="O327" s="155">
        <f t="shared" si="51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1159</v>
      </c>
      <c r="D328" s="213" t="s">
        <v>47</v>
      </c>
      <c r="E328" s="214" t="s">
        <v>24</v>
      </c>
      <c r="F328" s="215">
        <v>2900</v>
      </c>
      <c r="G328" s="215">
        <v>2900</v>
      </c>
      <c r="H328" s="171"/>
      <c r="I328" s="88">
        <f t="shared" si="47"/>
        <v>2900</v>
      </c>
      <c r="J328" s="163">
        <f t="shared" si="48"/>
        <v>0</v>
      </c>
      <c r="K328" s="155">
        <f t="shared" si="4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50"/>
        <v>201227195.79893059</v>
      </c>
      <c r="O328" s="155">
        <f t="shared" si="51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118</v>
      </c>
      <c r="D329" s="213" t="s">
        <v>47</v>
      </c>
      <c r="E329" s="214" t="s">
        <v>24</v>
      </c>
      <c r="F329" s="215">
        <v>11500</v>
      </c>
      <c r="G329" s="215">
        <v>11500</v>
      </c>
      <c r="H329" s="171"/>
      <c r="I329" s="88">
        <f t="shared" si="47"/>
        <v>11500</v>
      </c>
      <c r="J329" s="163">
        <f t="shared" si="48"/>
        <v>0</v>
      </c>
      <c r="K329" s="155">
        <f t="shared" si="4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50"/>
        <v>201227196.79893059</v>
      </c>
      <c r="O329" s="155">
        <f t="shared" si="51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119</v>
      </c>
      <c r="D330" s="213" t="s">
        <v>47</v>
      </c>
      <c r="E330" s="214" t="s">
        <v>24</v>
      </c>
      <c r="F330" s="215">
        <v>6100</v>
      </c>
      <c r="G330" s="215">
        <v>6100</v>
      </c>
      <c r="H330" s="171"/>
      <c r="I330" s="88">
        <f t="shared" ref="I330:I394" si="67">IF($I$5=$G$4,G330,(IF($I$5=$F$4,F330,0)))</f>
        <v>6100</v>
      </c>
      <c r="J330" s="163">
        <f t="shared" si="48"/>
        <v>0</v>
      </c>
      <c r="K330" s="155">
        <f t="shared" si="4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50"/>
        <v>201227197.79893059</v>
      </c>
      <c r="O330" s="155">
        <f t="shared" si="51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120</v>
      </c>
      <c r="D331" s="213" t="s">
        <v>47</v>
      </c>
      <c r="E331" s="214" t="s">
        <v>8</v>
      </c>
      <c r="F331" s="215">
        <v>58600</v>
      </c>
      <c r="G331" s="215">
        <v>58600</v>
      </c>
      <c r="H331" s="171"/>
      <c r="I331" s="88">
        <f t="shared" si="67"/>
        <v>58600</v>
      </c>
      <c r="J331" s="163">
        <f t="shared" si="48"/>
        <v>0</v>
      </c>
      <c r="K331" s="155">
        <f t="shared" si="4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50"/>
        <v>201227198.79893059</v>
      </c>
      <c r="O331" s="155">
        <f t="shared" si="51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590</v>
      </c>
      <c r="D332" s="213" t="s">
        <v>47</v>
      </c>
      <c r="E332" s="214" t="s">
        <v>24</v>
      </c>
      <c r="F332" s="215">
        <v>15400</v>
      </c>
      <c r="G332" s="215">
        <v>15400</v>
      </c>
      <c r="H332" s="171"/>
      <c r="I332" s="88">
        <f t="shared" si="67"/>
        <v>15400</v>
      </c>
      <c r="J332" s="163">
        <f t="shared" si="48"/>
        <v>0</v>
      </c>
      <c r="K332" s="155">
        <f t="shared" si="4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50"/>
        <v>201227199.79893059</v>
      </c>
      <c r="O332" s="155">
        <f t="shared" si="51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121</v>
      </c>
      <c r="D333" s="213" t="s">
        <v>47</v>
      </c>
      <c r="E333" s="214" t="s">
        <v>24</v>
      </c>
      <c r="F333" s="215">
        <v>5300</v>
      </c>
      <c r="G333" s="215">
        <v>5300</v>
      </c>
      <c r="H333" s="171"/>
      <c r="I333" s="88">
        <f t="shared" si="67"/>
        <v>5300</v>
      </c>
      <c r="J333" s="163">
        <f t="shared" si="48"/>
        <v>0</v>
      </c>
      <c r="K333" s="155">
        <f t="shared" si="4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50"/>
        <v>201227200.79893059</v>
      </c>
      <c r="O333" s="155">
        <f t="shared" si="51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122</v>
      </c>
      <c r="D334" s="213" t="s">
        <v>47</v>
      </c>
      <c r="E334" s="214" t="s">
        <v>24</v>
      </c>
      <c r="F334" s="215">
        <v>8900</v>
      </c>
      <c r="G334" s="215">
        <v>8900</v>
      </c>
      <c r="H334" s="171"/>
      <c r="I334" s="88">
        <f t="shared" si="67"/>
        <v>8900</v>
      </c>
      <c r="J334" s="163">
        <f t="shared" si="48"/>
        <v>0</v>
      </c>
      <c r="K334" s="155">
        <f t="shared" si="4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50"/>
        <v>201227201.79893059</v>
      </c>
      <c r="O334" s="155">
        <f t="shared" si="51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123</v>
      </c>
      <c r="D335" s="213" t="s">
        <v>47</v>
      </c>
      <c r="E335" s="214" t="s">
        <v>24</v>
      </c>
      <c r="F335" s="215">
        <v>15800</v>
      </c>
      <c r="G335" s="215">
        <v>15800</v>
      </c>
      <c r="H335" s="171"/>
      <c r="I335" s="88">
        <f t="shared" si="67"/>
        <v>15800</v>
      </c>
      <c r="J335" s="163">
        <f t="shared" si="48"/>
        <v>0</v>
      </c>
      <c r="K335" s="155">
        <f t="shared" si="4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0"/>
        <v>201227202.79893059</v>
      </c>
      <c r="O335" s="155">
        <f t="shared" si="51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124</v>
      </c>
      <c r="D336" s="213" t="s">
        <v>47</v>
      </c>
      <c r="E336" s="214" t="s">
        <v>24</v>
      </c>
      <c r="F336" s="215">
        <v>13800</v>
      </c>
      <c r="G336" s="215">
        <v>13800</v>
      </c>
      <c r="H336" s="171"/>
      <c r="I336" s="88">
        <f t="shared" si="67"/>
        <v>13800</v>
      </c>
      <c r="J336" s="163">
        <f t="shared" si="48"/>
        <v>0</v>
      </c>
      <c r="K336" s="155">
        <f t="shared" si="4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0"/>
        <v>201227203.79893059</v>
      </c>
      <c r="O336" s="155">
        <f t="shared" si="51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1467</v>
      </c>
      <c r="D337" s="213" t="s">
        <v>47</v>
      </c>
      <c r="E337" s="214" t="s">
        <v>24</v>
      </c>
      <c r="F337" s="215">
        <v>18080</v>
      </c>
      <c r="G337" s="215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1468</v>
      </c>
      <c r="D338" s="213" t="s">
        <v>47</v>
      </c>
      <c r="E338" s="214" t="s">
        <v>24</v>
      </c>
      <c r="F338" s="215">
        <v>19700</v>
      </c>
      <c r="G338" s="215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1469</v>
      </c>
      <c r="D339" s="213" t="s">
        <v>47</v>
      </c>
      <c r="E339" s="214" t="s">
        <v>24</v>
      </c>
      <c r="F339" s="215">
        <v>23000</v>
      </c>
      <c r="G339" s="215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1470</v>
      </c>
      <c r="D340" s="213" t="s">
        <v>47</v>
      </c>
      <c r="E340" s="214" t="s">
        <v>24</v>
      </c>
      <c r="F340" s="215">
        <v>38400</v>
      </c>
      <c r="G340" s="215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125</v>
      </c>
      <c r="D341" s="213" t="s">
        <v>47</v>
      </c>
      <c r="E341" s="214" t="s">
        <v>24</v>
      </c>
      <c r="F341" s="215">
        <v>22900</v>
      </c>
      <c r="G341" s="215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126</v>
      </c>
      <c r="D342" s="213" t="s">
        <v>47</v>
      </c>
      <c r="E342" s="214" t="s">
        <v>24</v>
      </c>
      <c r="F342" s="215">
        <v>25000</v>
      </c>
      <c r="G342" s="215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127</v>
      </c>
      <c r="D343" s="213" t="s">
        <v>47</v>
      </c>
      <c r="E343" s="214" t="s">
        <v>24</v>
      </c>
      <c r="F343" s="215">
        <v>25000</v>
      </c>
      <c r="G343" s="215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129</v>
      </c>
      <c r="D344" s="213" t="s">
        <v>47</v>
      </c>
      <c r="E344" s="214" t="s">
        <v>24</v>
      </c>
      <c r="F344" s="215">
        <v>18400</v>
      </c>
      <c r="G344" s="215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128</v>
      </c>
      <c r="D345" s="213" t="s">
        <v>47</v>
      </c>
      <c r="E345" s="214" t="s">
        <v>24</v>
      </c>
      <c r="F345" s="215">
        <v>18400</v>
      </c>
      <c r="G345" s="215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130</v>
      </c>
      <c r="D346" s="213" t="s">
        <v>47</v>
      </c>
      <c r="E346" s="214" t="s">
        <v>24</v>
      </c>
      <c r="F346" s="215">
        <v>18400</v>
      </c>
      <c r="G346" s="215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131</v>
      </c>
      <c r="D347" s="213" t="s">
        <v>47</v>
      </c>
      <c r="E347" s="214" t="s">
        <v>24</v>
      </c>
      <c r="F347" s="215">
        <v>61300</v>
      </c>
      <c r="G347" s="215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468</v>
      </c>
      <c r="D348" s="213" t="s">
        <v>47</v>
      </c>
      <c r="E348" s="214" t="s">
        <v>24</v>
      </c>
      <c r="F348" s="215">
        <v>61300</v>
      </c>
      <c r="G348" s="215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132</v>
      </c>
      <c r="D349" s="213" t="s">
        <v>47</v>
      </c>
      <c r="E349" s="214" t="s">
        <v>24</v>
      </c>
      <c r="F349" s="215">
        <v>61300</v>
      </c>
      <c r="G349" s="215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133</v>
      </c>
      <c r="D350" s="213" t="s">
        <v>47</v>
      </c>
      <c r="E350" s="214" t="s">
        <v>24</v>
      </c>
      <c r="F350" s="215">
        <v>64500</v>
      </c>
      <c r="G350" s="215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134</v>
      </c>
      <c r="D351" s="213" t="s">
        <v>47</v>
      </c>
      <c r="E351" s="214" t="s">
        <v>24</v>
      </c>
      <c r="F351" s="215">
        <v>69000</v>
      </c>
      <c r="G351" s="215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135</v>
      </c>
      <c r="D352" s="213" t="s">
        <v>47</v>
      </c>
      <c r="E352" s="214" t="s">
        <v>24</v>
      </c>
      <c r="F352" s="215">
        <v>82500</v>
      </c>
      <c r="G352" s="215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136</v>
      </c>
      <c r="D353" s="213" t="s">
        <v>47</v>
      </c>
      <c r="E353" s="214" t="s">
        <v>24</v>
      </c>
      <c r="F353" s="215">
        <v>79800</v>
      </c>
      <c r="G353" s="215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137</v>
      </c>
      <c r="D354" s="213" t="s">
        <v>47</v>
      </c>
      <c r="E354" s="214" t="s">
        <v>24</v>
      </c>
      <c r="F354" s="215">
        <v>72100</v>
      </c>
      <c r="G354" s="215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138</v>
      </c>
      <c r="D355" s="213" t="s">
        <v>47</v>
      </c>
      <c r="E355" s="214" t="s">
        <v>24</v>
      </c>
      <c r="F355" s="215">
        <v>86800</v>
      </c>
      <c r="G355" s="215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139</v>
      </c>
      <c r="D356" s="213" t="s">
        <v>47</v>
      </c>
      <c r="E356" s="214" t="s">
        <v>24</v>
      </c>
      <c r="F356" s="215">
        <v>105600</v>
      </c>
      <c r="G356" s="215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1408</v>
      </c>
      <c r="D357" s="213" t="s">
        <v>47</v>
      </c>
      <c r="E357" s="214" t="s">
        <v>24</v>
      </c>
      <c r="F357" s="215">
        <v>491900</v>
      </c>
      <c r="G357" s="215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140</v>
      </c>
      <c r="D358" s="213" t="s">
        <v>47</v>
      </c>
      <c r="E358" s="214" t="s">
        <v>24</v>
      </c>
      <c r="F358" s="215">
        <v>29555</v>
      </c>
      <c r="G358" s="215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469</v>
      </c>
      <c r="D359" s="213" t="s">
        <v>47</v>
      </c>
      <c r="E359" s="214" t="s">
        <v>24</v>
      </c>
      <c r="F359" s="215">
        <v>37200</v>
      </c>
      <c r="G359" s="215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141</v>
      </c>
      <c r="D360" s="213" t="s">
        <v>47</v>
      </c>
      <c r="E360" s="214" t="s">
        <v>24</v>
      </c>
      <c r="F360" s="215">
        <v>29600</v>
      </c>
      <c r="G360" s="215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142</v>
      </c>
      <c r="D361" s="213" t="s">
        <v>47</v>
      </c>
      <c r="E361" s="214" t="s">
        <v>24</v>
      </c>
      <c r="F361" s="215">
        <v>37144</v>
      </c>
      <c r="G361" s="215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143</v>
      </c>
      <c r="D362" s="213" t="s">
        <v>47</v>
      </c>
      <c r="E362" s="214" t="s">
        <v>24</v>
      </c>
      <c r="F362" s="215">
        <v>5700</v>
      </c>
      <c r="G362" s="215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144</v>
      </c>
      <c r="D363" s="213" t="s">
        <v>47</v>
      </c>
      <c r="E363" s="214" t="s">
        <v>24</v>
      </c>
      <c r="F363" s="215">
        <v>5700</v>
      </c>
      <c r="G363" s="215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145</v>
      </c>
      <c r="D364" s="213" t="s">
        <v>47</v>
      </c>
      <c r="E364" s="214" t="s">
        <v>24</v>
      </c>
      <c r="F364" s="215">
        <v>10700</v>
      </c>
      <c r="G364" s="215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148</v>
      </c>
      <c r="D365" s="213" t="s">
        <v>47</v>
      </c>
      <c r="E365" s="214" t="s">
        <v>24</v>
      </c>
      <c r="F365" s="215">
        <v>6200</v>
      </c>
      <c r="G365" s="215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149</v>
      </c>
      <c r="D366" s="213" t="s">
        <v>47</v>
      </c>
      <c r="E366" s="214" t="s">
        <v>103</v>
      </c>
      <c r="F366" s="215">
        <v>446100</v>
      </c>
      <c r="G366" s="215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591</v>
      </c>
      <c r="D367" s="213" t="s">
        <v>47</v>
      </c>
      <c r="E367" s="214" t="s">
        <v>103</v>
      </c>
      <c r="F367" s="215">
        <v>45796</v>
      </c>
      <c r="G367" s="215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94"/>
      <c r="C368" s="109" t="s">
        <v>50</v>
      </c>
      <c r="D368" s="213" t="s">
        <v>50</v>
      </c>
      <c r="E368" s="214"/>
      <c r="F368" s="215"/>
      <c r="G368" s="215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94" t="s">
        <v>592</v>
      </c>
      <c r="C369" s="109" t="s">
        <v>593</v>
      </c>
      <c r="D369" s="213" t="s">
        <v>50</v>
      </c>
      <c r="E369" s="214"/>
      <c r="F369" s="215"/>
      <c r="G369" s="215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150</v>
      </c>
      <c r="D370" s="213" t="s">
        <v>47</v>
      </c>
      <c r="E370" s="214" t="s">
        <v>24</v>
      </c>
      <c r="F370" s="215">
        <v>37000</v>
      </c>
      <c r="G370" s="215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151</v>
      </c>
      <c r="D371" s="213" t="s">
        <v>47</v>
      </c>
      <c r="E371" s="214" t="s">
        <v>24</v>
      </c>
      <c r="F371" s="215">
        <v>55500</v>
      </c>
      <c r="G371" s="215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152</v>
      </c>
      <c r="D372" s="213" t="s">
        <v>47</v>
      </c>
      <c r="E372" s="214" t="s">
        <v>24</v>
      </c>
      <c r="F372" s="215">
        <v>67800</v>
      </c>
      <c r="G372" s="215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153</v>
      </c>
      <c r="D373" s="213" t="s">
        <v>47</v>
      </c>
      <c r="E373" s="214" t="s">
        <v>24</v>
      </c>
      <c r="F373" s="215">
        <v>98600</v>
      </c>
      <c r="G373" s="215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154</v>
      </c>
      <c r="D374" s="213" t="s">
        <v>47</v>
      </c>
      <c r="E374" s="214" t="s">
        <v>24</v>
      </c>
      <c r="F374" s="215">
        <v>135199</v>
      </c>
      <c r="G374" s="215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155</v>
      </c>
      <c r="D375" s="213" t="s">
        <v>47</v>
      </c>
      <c r="E375" s="214" t="s">
        <v>7</v>
      </c>
      <c r="F375" s="215">
        <v>7789</v>
      </c>
      <c r="G375" s="215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13" t="s">
        <v>47</v>
      </c>
      <c r="E376" s="214" t="s">
        <v>8</v>
      </c>
      <c r="F376" s="215">
        <v>47459</v>
      </c>
      <c r="G376" s="215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156</v>
      </c>
      <c r="D377" s="213" t="s">
        <v>47</v>
      </c>
      <c r="E377" s="214" t="s">
        <v>8</v>
      </c>
      <c r="F377" s="215">
        <v>112500</v>
      </c>
      <c r="G377" s="215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157</v>
      </c>
      <c r="D378" s="213" t="s">
        <v>47</v>
      </c>
      <c r="E378" s="214" t="s">
        <v>8</v>
      </c>
      <c r="F378" s="215">
        <v>35800</v>
      </c>
      <c r="G378" s="215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158</v>
      </c>
      <c r="D379" s="213" t="s">
        <v>47</v>
      </c>
      <c r="E379" s="214" t="s">
        <v>8</v>
      </c>
      <c r="F379" s="215">
        <v>36000</v>
      </c>
      <c r="G379" s="215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159</v>
      </c>
      <c r="D380" s="213" t="s">
        <v>47</v>
      </c>
      <c r="E380" s="214" t="s">
        <v>8</v>
      </c>
      <c r="F380" s="215">
        <v>36000</v>
      </c>
      <c r="G380" s="215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160</v>
      </c>
      <c r="D381" s="213" t="s">
        <v>47</v>
      </c>
      <c r="E381" s="214" t="s">
        <v>8</v>
      </c>
      <c r="F381" s="215">
        <v>40000</v>
      </c>
      <c r="G381" s="215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161</v>
      </c>
      <c r="D382" s="213" t="s">
        <v>47</v>
      </c>
      <c r="E382" s="214" t="s">
        <v>8</v>
      </c>
      <c r="F382" s="215">
        <v>55000</v>
      </c>
      <c r="G382" s="215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162</v>
      </c>
      <c r="D383" s="213" t="s">
        <v>47</v>
      </c>
      <c r="E383" s="214" t="s">
        <v>8</v>
      </c>
      <c r="F383" s="215">
        <v>45500</v>
      </c>
      <c r="G383" s="215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163</v>
      </c>
      <c r="D384" s="213" t="s">
        <v>47</v>
      </c>
      <c r="E384" s="214" t="s">
        <v>8</v>
      </c>
      <c r="F384" s="215">
        <v>45500</v>
      </c>
      <c r="G384" s="215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164</v>
      </c>
      <c r="D385" s="213" t="s">
        <v>47</v>
      </c>
      <c r="E385" s="214" t="s">
        <v>8</v>
      </c>
      <c r="F385" s="215">
        <v>45500</v>
      </c>
      <c r="G385" s="215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165</v>
      </c>
      <c r="D386" s="213" t="s">
        <v>47</v>
      </c>
      <c r="E386" s="214" t="s">
        <v>8</v>
      </c>
      <c r="F386" s="215">
        <v>45500</v>
      </c>
      <c r="G386" s="215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166</v>
      </c>
      <c r="D387" s="213" t="s">
        <v>47</v>
      </c>
      <c r="E387" s="214" t="s">
        <v>8</v>
      </c>
      <c r="F387" s="215">
        <v>7938</v>
      </c>
      <c r="G387" s="215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167</v>
      </c>
      <c r="D388" s="213" t="s">
        <v>47</v>
      </c>
      <c r="E388" s="214" t="s">
        <v>8</v>
      </c>
      <c r="F388" s="215">
        <v>30000</v>
      </c>
      <c r="G388" s="215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13" t="s">
        <v>47</v>
      </c>
      <c r="E389" s="214" t="s">
        <v>8</v>
      </c>
      <c r="F389" s="215">
        <v>26500</v>
      </c>
      <c r="G389" s="215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168</v>
      </c>
      <c r="D390" s="213" t="s">
        <v>47</v>
      </c>
      <c r="E390" s="214" t="s">
        <v>8</v>
      </c>
      <c r="F390" s="215">
        <v>26500</v>
      </c>
      <c r="G390" s="215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169</v>
      </c>
      <c r="D391" s="213" t="s">
        <v>47</v>
      </c>
      <c r="E391" s="214" t="s">
        <v>8</v>
      </c>
      <c r="F391" s="215">
        <v>26500</v>
      </c>
      <c r="G391" s="215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170</v>
      </c>
      <c r="D392" s="213" t="s">
        <v>47</v>
      </c>
      <c r="E392" s="214" t="s">
        <v>8</v>
      </c>
      <c r="F392" s="215">
        <v>26500</v>
      </c>
      <c r="G392" s="215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171</v>
      </c>
      <c r="D393" s="213" t="s">
        <v>47</v>
      </c>
      <c r="E393" s="214" t="s">
        <v>8</v>
      </c>
      <c r="F393" s="215">
        <v>33600</v>
      </c>
      <c r="G393" s="215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172</v>
      </c>
      <c r="D394" s="213" t="s">
        <v>47</v>
      </c>
      <c r="E394" s="214" t="s">
        <v>8</v>
      </c>
      <c r="F394" s="215">
        <v>33600</v>
      </c>
      <c r="G394" s="215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173</v>
      </c>
      <c r="D395" s="213" t="s">
        <v>47</v>
      </c>
      <c r="E395" s="214" t="s">
        <v>8</v>
      </c>
      <c r="F395" s="215">
        <v>33600</v>
      </c>
      <c r="G395" s="215">
        <v>33600</v>
      </c>
      <c r="H395" s="171"/>
      <c r="I395" s="88">
        <f t="shared" ref="I395:I459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174</v>
      </c>
      <c r="D396" s="213" t="s">
        <v>47</v>
      </c>
      <c r="E396" s="214" t="s">
        <v>8</v>
      </c>
      <c r="F396" s="215">
        <v>33600</v>
      </c>
      <c r="G396" s="215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175</v>
      </c>
      <c r="D397" s="213" t="s">
        <v>47</v>
      </c>
      <c r="E397" s="214" t="s">
        <v>8</v>
      </c>
      <c r="F397" s="215">
        <v>32600</v>
      </c>
      <c r="G397" s="215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176</v>
      </c>
      <c r="D398" s="213" t="s">
        <v>47</v>
      </c>
      <c r="E398" s="214" t="s">
        <v>8</v>
      </c>
      <c r="F398" s="215">
        <v>45000</v>
      </c>
      <c r="G398" s="215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594</v>
      </c>
      <c r="D399" s="213" t="s">
        <v>47</v>
      </c>
      <c r="E399" s="214" t="s">
        <v>8</v>
      </c>
      <c r="F399" s="215">
        <v>92500</v>
      </c>
      <c r="G399" s="215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177</v>
      </c>
      <c r="D400" s="213" t="s">
        <v>47</v>
      </c>
      <c r="E400" s="214" t="s">
        <v>8</v>
      </c>
      <c r="F400" s="215">
        <v>67700</v>
      </c>
      <c r="G400" s="215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178</v>
      </c>
      <c r="D401" s="213" t="s">
        <v>47</v>
      </c>
      <c r="E401" s="214" t="s">
        <v>8</v>
      </c>
      <c r="F401" s="215">
        <v>13100</v>
      </c>
      <c r="G401" s="215">
        <v>13100</v>
      </c>
      <c r="H401" s="171"/>
      <c r="I401" s="88">
        <f t="shared" si="72"/>
        <v>13100</v>
      </c>
      <c r="J401" s="163">
        <f t="shared" ref="J401:J465" si="73">IF(D401="MDU-KD",1,0)</f>
        <v>0</v>
      </c>
      <c r="K401" s="155">
        <f t="shared" ref="K401:K465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75">IF(L401=0,M401,L401)</f>
        <v>201227266.79893059</v>
      </c>
      <c r="O401" s="155">
        <f t="shared" ref="O401:O465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179</v>
      </c>
      <c r="D402" s="213" t="s">
        <v>47</v>
      </c>
      <c r="E402" s="214" t="s">
        <v>8</v>
      </c>
      <c r="F402" s="215">
        <v>404600</v>
      </c>
      <c r="G402" s="215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595</v>
      </c>
      <c r="D403" s="213" t="s">
        <v>47</v>
      </c>
      <c r="E403" s="214" t="s">
        <v>8</v>
      </c>
      <c r="F403" s="215">
        <v>445573.55999999994</v>
      </c>
      <c r="G403" s="215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180</v>
      </c>
      <c r="D404" s="213" t="s">
        <v>47</v>
      </c>
      <c r="E404" s="214" t="s">
        <v>8</v>
      </c>
      <c r="F404" s="215">
        <v>89200</v>
      </c>
      <c r="G404" s="215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181</v>
      </c>
      <c r="D405" s="213" t="s">
        <v>47</v>
      </c>
      <c r="E405" s="214" t="s">
        <v>8</v>
      </c>
      <c r="F405" s="215">
        <v>95000</v>
      </c>
      <c r="G405" s="215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182</v>
      </c>
      <c r="D406" s="213" t="s">
        <v>47</v>
      </c>
      <c r="E406" s="214" t="s">
        <v>8</v>
      </c>
      <c r="F406" s="215">
        <v>15500</v>
      </c>
      <c r="G406" s="215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183</v>
      </c>
      <c r="D407" s="213" t="s">
        <v>47</v>
      </c>
      <c r="E407" s="214" t="s">
        <v>8</v>
      </c>
      <c r="F407" s="215">
        <v>37700</v>
      </c>
      <c r="G407" s="215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184</v>
      </c>
      <c r="D408" s="213" t="s">
        <v>47</v>
      </c>
      <c r="E408" s="214" t="s">
        <v>8</v>
      </c>
      <c r="F408" s="215">
        <v>28000</v>
      </c>
      <c r="G408" s="215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185</v>
      </c>
      <c r="D409" s="213" t="s">
        <v>47</v>
      </c>
      <c r="E409" s="214" t="s">
        <v>8</v>
      </c>
      <c r="F409" s="215">
        <v>22400</v>
      </c>
      <c r="G409" s="215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414" t="s">
        <v>1080</v>
      </c>
      <c r="D410" s="213" t="s">
        <v>47</v>
      </c>
      <c r="E410" s="214" t="s">
        <v>8</v>
      </c>
      <c r="F410" s="215">
        <v>22400</v>
      </c>
      <c r="G410" s="215">
        <v>22400</v>
      </c>
      <c r="H410" s="171"/>
      <c r="I410" s="88">
        <f t="shared" ref="I410" si="77">IF($I$5=$G$4,G410,(IF($I$5=$F$4,F410,0)))</f>
        <v>22400</v>
      </c>
      <c r="J410" s="163">
        <f t="shared" ref="J410" si="78">IF(D410="MDU-KD",1,0)</f>
        <v>0</v>
      </c>
      <c r="K410" s="155">
        <f t="shared" ref="K410" si="79"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ref="N410" si="80">IF(L410=0,M410,L410)</f>
        <v>201227275.79893059</v>
      </c>
      <c r="O410" s="155">
        <f t="shared" ref="O410" si="81"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187</v>
      </c>
      <c r="D411" s="213" t="s">
        <v>47</v>
      </c>
      <c r="E411" s="214" t="s">
        <v>8</v>
      </c>
      <c r="F411" s="215">
        <v>15800</v>
      </c>
      <c r="G411" s="215">
        <v>15900</v>
      </c>
      <c r="H411" s="171"/>
      <c r="I411" s="88">
        <f t="shared" si="72"/>
        <v>15900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186</v>
      </c>
      <c r="D412" s="213" t="s">
        <v>47</v>
      </c>
      <c r="E412" s="214" t="s">
        <v>8</v>
      </c>
      <c r="F412" s="215">
        <v>22400</v>
      </c>
      <c r="G412" s="215">
        <v>22500</v>
      </c>
      <c r="H412" s="171"/>
      <c r="I412" s="88">
        <f t="shared" si="72"/>
        <v>22500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1161</v>
      </c>
      <c r="D413" s="213" t="s">
        <v>47</v>
      </c>
      <c r="E413" s="214" t="s">
        <v>8</v>
      </c>
      <c r="F413" s="215">
        <v>36500</v>
      </c>
      <c r="G413" s="215">
        <v>36500</v>
      </c>
      <c r="H413" s="171"/>
      <c r="I413" s="88">
        <f t="shared" si="72"/>
        <v>36500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188</v>
      </c>
      <c r="D414" s="213" t="s">
        <v>47</v>
      </c>
      <c r="E414" s="214" t="s">
        <v>8</v>
      </c>
      <c r="F414" s="215">
        <v>10800</v>
      </c>
      <c r="G414" s="215">
        <v>10800</v>
      </c>
      <c r="H414" s="171"/>
      <c r="I414" s="88">
        <f t="shared" si="72"/>
        <v>10800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189</v>
      </c>
      <c r="D415" s="213" t="s">
        <v>47</v>
      </c>
      <c r="E415" s="214" t="s">
        <v>8</v>
      </c>
      <c r="F415" s="215">
        <v>13600</v>
      </c>
      <c r="G415" s="215">
        <v>13600</v>
      </c>
      <c r="H415" s="171"/>
      <c r="I415" s="88">
        <f t="shared" si="72"/>
        <v>13600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190</v>
      </c>
      <c r="D416" s="213" t="s">
        <v>47</v>
      </c>
      <c r="E416" s="214" t="s">
        <v>8</v>
      </c>
      <c r="F416" s="215">
        <v>17100</v>
      </c>
      <c r="G416" s="215">
        <v>17100</v>
      </c>
      <c r="H416" s="171"/>
      <c r="I416" s="88">
        <f t="shared" si="72"/>
        <v>17100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191</v>
      </c>
      <c r="D417" s="213" t="s">
        <v>47</v>
      </c>
      <c r="E417" s="214" t="s">
        <v>8</v>
      </c>
      <c r="F417" s="215">
        <v>32400</v>
      </c>
      <c r="G417" s="215">
        <v>32400</v>
      </c>
      <c r="H417" s="171"/>
      <c r="I417" s="88">
        <f t="shared" si="72"/>
        <v>32400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192</v>
      </c>
      <c r="D418" s="213" t="s">
        <v>47</v>
      </c>
      <c r="E418" s="214" t="s">
        <v>8</v>
      </c>
      <c r="F418" s="215">
        <v>40400</v>
      </c>
      <c r="G418" s="215">
        <v>40400</v>
      </c>
      <c r="H418" s="171"/>
      <c r="I418" s="88">
        <f t="shared" si="72"/>
        <v>40400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596</v>
      </c>
      <c r="D419" s="213" t="s">
        <v>47</v>
      </c>
      <c r="E419" s="214" t="s">
        <v>8</v>
      </c>
      <c r="F419" s="215">
        <v>282000</v>
      </c>
      <c r="G419" s="215">
        <v>283100</v>
      </c>
      <c r="H419" s="171"/>
      <c r="I419" s="88">
        <f t="shared" si="72"/>
        <v>283100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597</v>
      </c>
      <c r="D420" s="213" t="s">
        <v>47</v>
      </c>
      <c r="E420" s="214" t="s">
        <v>8</v>
      </c>
      <c r="F420" s="215">
        <v>379000</v>
      </c>
      <c r="G420" s="215">
        <v>380500</v>
      </c>
      <c r="H420" s="171"/>
      <c r="I420" s="88">
        <f t="shared" si="72"/>
        <v>380500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598</v>
      </c>
      <c r="D421" s="213" t="s">
        <v>47</v>
      </c>
      <c r="E421" s="214" t="s">
        <v>8</v>
      </c>
      <c r="F421" s="215">
        <v>557000</v>
      </c>
      <c r="G421" s="215">
        <v>559200</v>
      </c>
      <c r="H421" s="171"/>
      <c r="I421" s="88">
        <f t="shared" si="72"/>
        <v>559200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193</v>
      </c>
      <c r="D422" s="213" t="s">
        <v>47</v>
      </c>
      <c r="E422" s="214" t="s">
        <v>8</v>
      </c>
      <c r="F422" s="215">
        <v>41800</v>
      </c>
      <c r="G422" s="215">
        <v>41800</v>
      </c>
      <c r="H422" s="171"/>
      <c r="I422" s="88">
        <f t="shared" si="72"/>
        <v>41800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599</v>
      </c>
      <c r="D423" s="213" t="s">
        <v>47</v>
      </c>
      <c r="E423" s="214" t="s">
        <v>8</v>
      </c>
      <c r="F423" s="215">
        <v>78500</v>
      </c>
      <c r="G423" s="215">
        <v>78500</v>
      </c>
      <c r="H423" s="171"/>
      <c r="I423" s="88">
        <f t="shared" si="72"/>
        <v>78500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600</v>
      </c>
      <c r="D424" s="213" t="s">
        <v>47</v>
      </c>
      <c r="E424" s="214" t="s">
        <v>8</v>
      </c>
      <c r="F424" s="215">
        <v>120000</v>
      </c>
      <c r="G424" s="215">
        <v>120000</v>
      </c>
      <c r="H424" s="171"/>
      <c r="I424" s="88">
        <f t="shared" si="72"/>
        <v>120000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601</v>
      </c>
      <c r="D425" s="213" t="s">
        <v>47</v>
      </c>
      <c r="E425" s="214" t="s">
        <v>8</v>
      </c>
      <c r="F425" s="215">
        <v>120900</v>
      </c>
      <c r="G425" s="215">
        <v>120900</v>
      </c>
      <c r="H425" s="171"/>
      <c r="I425" s="88">
        <f t="shared" si="72"/>
        <v>120900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194</v>
      </c>
      <c r="D426" s="213" t="s">
        <v>47</v>
      </c>
      <c r="E426" s="214" t="s">
        <v>8</v>
      </c>
      <c r="F426" s="215">
        <v>78500</v>
      </c>
      <c r="G426" s="215">
        <v>78500</v>
      </c>
      <c r="H426" s="171"/>
      <c r="I426" s="88">
        <f t="shared" si="72"/>
        <v>78500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195</v>
      </c>
      <c r="D427" s="213" t="s">
        <v>47</v>
      </c>
      <c r="E427" s="214" t="s">
        <v>8</v>
      </c>
      <c r="F427" s="215">
        <v>85300</v>
      </c>
      <c r="G427" s="215">
        <v>85300</v>
      </c>
      <c r="H427" s="171"/>
      <c r="I427" s="88">
        <f t="shared" si="72"/>
        <v>85300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196</v>
      </c>
      <c r="D428" s="213" t="s">
        <v>47</v>
      </c>
      <c r="E428" s="214" t="s">
        <v>8</v>
      </c>
      <c r="F428" s="215">
        <v>107300</v>
      </c>
      <c r="G428" s="215">
        <v>107300</v>
      </c>
      <c r="H428" s="171"/>
      <c r="I428" s="88">
        <f t="shared" si="72"/>
        <v>107300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197</v>
      </c>
      <c r="D429" s="213" t="s">
        <v>47</v>
      </c>
      <c r="E429" s="214" t="s">
        <v>8</v>
      </c>
      <c r="F429" s="215">
        <v>112100</v>
      </c>
      <c r="G429" s="215">
        <v>112100</v>
      </c>
      <c r="H429" s="171"/>
      <c r="I429" s="88">
        <f t="shared" si="72"/>
        <v>112100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198</v>
      </c>
      <c r="D430" s="213" t="s">
        <v>47</v>
      </c>
      <c r="E430" s="214" t="s">
        <v>8</v>
      </c>
      <c r="F430" s="215">
        <v>75400</v>
      </c>
      <c r="G430" s="215">
        <v>75400</v>
      </c>
      <c r="H430" s="171"/>
      <c r="I430" s="88">
        <f t="shared" si="72"/>
        <v>75400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470</v>
      </c>
      <c r="D431" s="213" t="s">
        <v>47</v>
      </c>
      <c r="E431" s="214" t="s">
        <v>8</v>
      </c>
      <c r="F431" s="215">
        <v>23500</v>
      </c>
      <c r="G431" s="215">
        <v>23500</v>
      </c>
      <c r="H431" s="171"/>
      <c r="I431" s="88">
        <f t="shared" si="72"/>
        <v>23500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471</v>
      </c>
      <c r="D432" s="213" t="s">
        <v>47</v>
      </c>
      <c r="E432" s="214" t="s">
        <v>8</v>
      </c>
      <c r="F432" s="215">
        <v>26500</v>
      </c>
      <c r="G432" s="215">
        <v>26500</v>
      </c>
      <c r="H432" s="171"/>
      <c r="I432" s="88">
        <f t="shared" si="72"/>
        <v>26500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472</v>
      </c>
      <c r="D433" s="213" t="s">
        <v>47</v>
      </c>
      <c r="E433" s="214" t="s">
        <v>8</v>
      </c>
      <c r="F433" s="215">
        <v>34000</v>
      </c>
      <c r="G433" s="215">
        <v>34000</v>
      </c>
      <c r="H433" s="175"/>
      <c r="I433" s="88">
        <f t="shared" si="72"/>
        <v>34000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473</v>
      </c>
      <c r="D434" s="213" t="s">
        <v>47</v>
      </c>
      <c r="E434" s="214" t="s">
        <v>8</v>
      </c>
      <c r="F434" s="215">
        <v>49600</v>
      </c>
      <c r="G434" s="215">
        <v>49600</v>
      </c>
      <c r="H434" s="171"/>
      <c r="I434" s="88">
        <f t="shared" si="72"/>
        <v>49600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474</v>
      </c>
      <c r="D435" s="213" t="s">
        <v>47</v>
      </c>
      <c r="E435" s="214" t="s">
        <v>8</v>
      </c>
      <c r="F435" s="215">
        <v>56300</v>
      </c>
      <c r="G435" s="215">
        <v>56300</v>
      </c>
      <c r="H435" s="171"/>
      <c r="I435" s="88">
        <f t="shared" si="72"/>
        <v>56300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199</v>
      </c>
      <c r="D436" s="213" t="s">
        <v>47</v>
      </c>
      <c r="E436" s="214" t="s">
        <v>7</v>
      </c>
      <c r="F436" s="215">
        <v>33800</v>
      </c>
      <c r="G436" s="215">
        <v>33800</v>
      </c>
      <c r="H436" s="171"/>
      <c r="I436" s="88">
        <f t="shared" si="72"/>
        <v>33800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200</v>
      </c>
      <c r="D437" s="213" t="s">
        <v>47</v>
      </c>
      <c r="E437" s="214" t="s">
        <v>7</v>
      </c>
      <c r="F437" s="215">
        <v>40200</v>
      </c>
      <c r="G437" s="215">
        <v>40200</v>
      </c>
      <c r="H437" s="171"/>
      <c r="I437" s="88">
        <f t="shared" si="72"/>
        <v>40200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201</v>
      </c>
      <c r="D438" s="213" t="s">
        <v>47</v>
      </c>
      <c r="E438" s="214" t="s">
        <v>7</v>
      </c>
      <c r="F438" s="215">
        <v>46800</v>
      </c>
      <c r="G438" s="215">
        <v>46800</v>
      </c>
      <c r="H438" s="171"/>
      <c r="I438" s="88">
        <f t="shared" si="72"/>
        <v>46800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33</v>
      </c>
      <c r="D439" s="213" t="s">
        <v>47</v>
      </c>
      <c r="E439" s="214" t="s">
        <v>8</v>
      </c>
      <c r="F439" s="215">
        <v>9500</v>
      </c>
      <c r="G439" s="215">
        <v>9500</v>
      </c>
      <c r="H439" s="171"/>
      <c r="I439" s="88">
        <f t="shared" si="72"/>
        <v>9500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29</v>
      </c>
      <c r="D440" s="213" t="s">
        <v>47</v>
      </c>
      <c r="E440" s="214" t="s">
        <v>8</v>
      </c>
      <c r="F440" s="215">
        <v>184500</v>
      </c>
      <c r="G440" s="215">
        <v>185200</v>
      </c>
      <c r="H440" s="171"/>
      <c r="I440" s="88">
        <f t="shared" si="72"/>
        <v>185200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202</v>
      </c>
      <c r="D441" s="213" t="s">
        <v>47</v>
      </c>
      <c r="E441" s="214" t="s">
        <v>8</v>
      </c>
      <c r="F441" s="215">
        <v>175000</v>
      </c>
      <c r="G441" s="215">
        <v>175000</v>
      </c>
      <c r="H441" s="171"/>
      <c r="I441" s="88">
        <f t="shared" si="72"/>
        <v>175000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32</v>
      </c>
      <c r="D442" s="213" t="s">
        <v>47</v>
      </c>
      <c r="E442" s="214" t="s">
        <v>7</v>
      </c>
      <c r="F442" s="215">
        <v>30000</v>
      </c>
      <c r="G442" s="215">
        <v>30000</v>
      </c>
      <c r="H442" s="171"/>
      <c r="I442" s="88">
        <f t="shared" si="72"/>
        <v>30000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203</v>
      </c>
      <c r="D443" s="213" t="s">
        <v>47</v>
      </c>
      <c r="E443" s="214" t="s">
        <v>7</v>
      </c>
      <c r="F443" s="215">
        <v>49500</v>
      </c>
      <c r="G443" s="215">
        <v>49500</v>
      </c>
      <c r="H443" s="171"/>
      <c r="I443" s="88">
        <f t="shared" si="72"/>
        <v>49500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204</v>
      </c>
      <c r="D444" s="213" t="s">
        <v>47</v>
      </c>
      <c r="E444" s="214" t="s">
        <v>7</v>
      </c>
      <c r="F444" s="215">
        <v>120000</v>
      </c>
      <c r="G444" s="215">
        <v>120000</v>
      </c>
      <c r="H444" s="171"/>
      <c r="I444" s="88">
        <f t="shared" si="72"/>
        <v>120000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31</v>
      </c>
      <c r="D445" s="213" t="s">
        <v>47</v>
      </c>
      <c r="E445" s="214" t="s">
        <v>8</v>
      </c>
      <c r="F445" s="215">
        <v>4880</v>
      </c>
      <c r="G445" s="215">
        <v>4880</v>
      </c>
      <c r="H445" s="171"/>
      <c r="I445" s="88">
        <f t="shared" si="72"/>
        <v>4880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205</v>
      </c>
      <c r="D446" s="213" t="s">
        <v>47</v>
      </c>
      <c r="E446" s="214" t="s">
        <v>8</v>
      </c>
      <c r="F446" s="215">
        <v>1308700</v>
      </c>
      <c r="G446" s="215">
        <v>1308700</v>
      </c>
      <c r="H446" s="171"/>
      <c r="I446" s="88">
        <f t="shared" si="72"/>
        <v>1308700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206</v>
      </c>
      <c r="D447" s="213" t="s">
        <v>47</v>
      </c>
      <c r="E447" s="214" t="s">
        <v>8</v>
      </c>
      <c r="F447" s="215">
        <v>12500</v>
      </c>
      <c r="G447" s="215">
        <v>12500</v>
      </c>
      <c r="H447" s="171"/>
      <c r="I447" s="88">
        <f t="shared" si="72"/>
        <v>12500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207</v>
      </c>
      <c r="D448" s="213" t="s">
        <v>47</v>
      </c>
      <c r="E448" s="214" t="s">
        <v>7</v>
      </c>
      <c r="F448" s="215">
        <v>9700</v>
      </c>
      <c r="G448" s="215">
        <v>9700</v>
      </c>
      <c r="H448" s="171"/>
      <c r="I448" s="88">
        <f t="shared" si="72"/>
        <v>9700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208</v>
      </c>
      <c r="D449" s="213" t="s">
        <v>47</v>
      </c>
      <c r="E449" s="214" t="s">
        <v>7</v>
      </c>
      <c r="F449" s="215">
        <v>24300</v>
      </c>
      <c r="G449" s="215">
        <v>24300</v>
      </c>
      <c r="H449" s="171"/>
      <c r="I449" s="88">
        <f t="shared" si="72"/>
        <v>24300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209</v>
      </c>
      <c r="D450" s="213" t="s">
        <v>47</v>
      </c>
      <c r="E450" s="214" t="s">
        <v>7</v>
      </c>
      <c r="F450" s="215">
        <v>39204</v>
      </c>
      <c r="G450" s="215">
        <v>39204</v>
      </c>
      <c r="H450" s="171"/>
      <c r="I450" s="88">
        <f t="shared" si="72"/>
        <v>39204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1471</v>
      </c>
      <c r="D451" s="213" t="s">
        <v>47</v>
      </c>
      <c r="E451" s="214" t="s">
        <v>7</v>
      </c>
      <c r="F451" s="215">
        <v>491900</v>
      </c>
      <c r="G451" s="215">
        <v>547900</v>
      </c>
      <c r="H451" s="171"/>
      <c r="I451" s="88">
        <f t="shared" si="72"/>
        <v>547900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210</v>
      </c>
      <c r="D452" s="213" t="s">
        <v>47</v>
      </c>
      <c r="E452" s="214" t="s">
        <v>8</v>
      </c>
      <c r="F452" s="215">
        <v>78069</v>
      </c>
      <c r="G452" s="215">
        <v>87000</v>
      </c>
      <c r="H452" s="171"/>
      <c r="I452" s="88">
        <f t="shared" si="72"/>
        <v>87000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211</v>
      </c>
      <c r="D453" s="213" t="s">
        <v>47</v>
      </c>
      <c r="E453" s="214" t="s">
        <v>8</v>
      </c>
      <c r="F453" s="215">
        <v>155631</v>
      </c>
      <c r="G453" s="215">
        <v>173400</v>
      </c>
      <c r="H453" s="171"/>
      <c r="I453" s="88">
        <f t="shared" si="72"/>
        <v>173400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410" t="s">
        <v>602</v>
      </c>
      <c r="D454" s="213" t="s">
        <v>47</v>
      </c>
      <c r="E454" s="214" t="s">
        <v>8</v>
      </c>
      <c r="F454" s="215">
        <v>3965</v>
      </c>
      <c r="G454" s="215">
        <v>3965</v>
      </c>
      <c r="H454" s="171"/>
      <c r="I454" s="88">
        <f t="shared" si="72"/>
        <v>3965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212</v>
      </c>
      <c r="D455" s="213" t="s">
        <v>47</v>
      </c>
      <c r="E455" s="214" t="s">
        <v>8</v>
      </c>
      <c r="F455" s="215">
        <v>31800</v>
      </c>
      <c r="G455" s="215">
        <v>31800</v>
      </c>
      <c r="H455" s="171"/>
      <c r="I455" s="88">
        <f t="shared" si="72"/>
        <v>31800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213</v>
      </c>
      <c r="D456" s="213" t="s">
        <v>47</v>
      </c>
      <c r="E456" s="214" t="s">
        <v>8</v>
      </c>
      <c r="F456" s="215">
        <v>33800</v>
      </c>
      <c r="G456" s="215">
        <v>33800</v>
      </c>
      <c r="H456" s="171"/>
      <c r="I456" s="88">
        <f t="shared" si="72"/>
        <v>33800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214</v>
      </c>
      <c r="D457" s="213" t="s">
        <v>47</v>
      </c>
      <c r="E457" s="214" t="s">
        <v>8</v>
      </c>
      <c r="F457" s="215">
        <v>38500</v>
      </c>
      <c r="G457" s="215">
        <v>38600</v>
      </c>
      <c r="H457" s="171"/>
      <c r="I457" s="88">
        <f t="shared" si="72"/>
        <v>38600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215</v>
      </c>
      <c r="D458" s="213" t="s">
        <v>47</v>
      </c>
      <c r="E458" s="214" t="s">
        <v>8</v>
      </c>
      <c r="F458" s="215">
        <v>76000</v>
      </c>
      <c r="G458" s="215">
        <v>76300</v>
      </c>
      <c r="H458" s="171"/>
      <c r="I458" s="88">
        <f t="shared" si="72"/>
        <v>76300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216</v>
      </c>
      <c r="D459" s="213" t="s">
        <v>47</v>
      </c>
      <c r="E459" s="214" t="s">
        <v>8</v>
      </c>
      <c r="F459" s="215">
        <v>97000</v>
      </c>
      <c r="G459" s="215">
        <v>97400</v>
      </c>
      <c r="H459" s="171"/>
      <c r="I459" s="88">
        <f t="shared" si="72"/>
        <v>97400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1022</v>
      </c>
      <c r="D460" s="213" t="s">
        <v>47</v>
      </c>
      <c r="E460" s="214" t="s">
        <v>7</v>
      </c>
      <c r="F460" s="215">
        <v>4520</v>
      </c>
      <c r="G460" s="215">
        <v>4520</v>
      </c>
      <c r="H460" s="171"/>
      <c r="I460" s="88">
        <f t="shared" ref="I460:I523" si="82">IF($I$5=$G$4,G460,(IF($I$5=$F$4,F460,0)))</f>
        <v>4520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1023</v>
      </c>
      <c r="D461" s="213" t="s">
        <v>47</v>
      </c>
      <c r="E461" s="214" t="s">
        <v>8</v>
      </c>
      <c r="F461" s="215">
        <v>7290</v>
      </c>
      <c r="G461" s="215">
        <v>7290</v>
      </c>
      <c r="H461" s="171"/>
      <c r="I461" s="88">
        <f t="shared" si="82"/>
        <v>7290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217</v>
      </c>
      <c r="D462" s="213" t="s">
        <v>47</v>
      </c>
      <c r="E462" s="214" t="s">
        <v>8</v>
      </c>
      <c r="F462" s="215">
        <v>4500</v>
      </c>
      <c r="G462" s="215">
        <v>4500</v>
      </c>
      <c r="H462" s="171"/>
      <c r="I462" s="88">
        <f t="shared" si="82"/>
        <v>4500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218</v>
      </c>
      <c r="D463" s="213" t="s">
        <v>47</v>
      </c>
      <c r="E463" s="214" t="s">
        <v>8</v>
      </c>
      <c r="F463" s="215">
        <v>106300</v>
      </c>
      <c r="G463" s="215">
        <v>106300</v>
      </c>
      <c r="H463" s="171"/>
      <c r="I463" s="88">
        <f t="shared" si="82"/>
        <v>106300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219</v>
      </c>
      <c r="D464" s="213" t="s">
        <v>47</v>
      </c>
      <c r="E464" s="214" t="s">
        <v>8</v>
      </c>
      <c r="F464" s="215">
        <v>116800</v>
      </c>
      <c r="G464" s="215">
        <v>116800</v>
      </c>
      <c r="H464" s="171"/>
      <c r="I464" s="88">
        <f t="shared" si="82"/>
        <v>116800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220</v>
      </c>
      <c r="D465" s="213" t="s">
        <v>47</v>
      </c>
      <c r="E465" s="214" t="s">
        <v>8</v>
      </c>
      <c r="F465" s="215">
        <v>11400</v>
      </c>
      <c r="G465" s="215">
        <v>11400</v>
      </c>
      <c r="H465" s="171"/>
      <c r="I465" s="88">
        <f t="shared" si="82"/>
        <v>11400</v>
      </c>
      <c r="J465" s="163">
        <f t="shared" si="73"/>
        <v>0</v>
      </c>
      <c r="K465" s="155">
        <f t="shared" si="7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75"/>
        <v>201227330.79893059</v>
      </c>
      <c r="O465" s="155">
        <f t="shared" si="7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221</v>
      </c>
      <c r="D466" s="213" t="s">
        <v>47</v>
      </c>
      <c r="E466" s="214" t="s">
        <v>8</v>
      </c>
      <c r="F466" s="215">
        <v>29600</v>
      </c>
      <c r="G466" s="215">
        <v>29600</v>
      </c>
      <c r="H466" s="171"/>
      <c r="I466" s="88">
        <f t="shared" si="82"/>
        <v>29600</v>
      </c>
      <c r="J466" s="163">
        <f t="shared" ref="J466:J529" si="83">IF(D466="MDU-KD",1,0)</f>
        <v>0</v>
      </c>
      <c r="K466" s="155">
        <f t="shared" ref="K466:K529" si="84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85">IF(L466=0,M466,L466)</f>
        <v>201227331.79893059</v>
      </c>
      <c r="O466" s="155">
        <f t="shared" ref="O466:O529" si="86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603</v>
      </c>
      <c r="D467" s="213" t="s">
        <v>47</v>
      </c>
      <c r="E467" s="214" t="s">
        <v>8</v>
      </c>
      <c r="F467" s="215">
        <v>290142</v>
      </c>
      <c r="G467" s="215">
        <v>290142</v>
      </c>
      <c r="H467" s="171"/>
      <c r="I467" s="88">
        <f t="shared" si="82"/>
        <v>290142</v>
      </c>
      <c r="J467" s="163">
        <f t="shared" si="83"/>
        <v>0</v>
      </c>
      <c r="K467" s="155">
        <f t="shared" si="8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5"/>
        <v>201227332.79893059</v>
      </c>
      <c r="O467" s="155">
        <f t="shared" si="86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604</v>
      </c>
      <c r="D468" s="213" t="s">
        <v>47</v>
      </c>
      <c r="E468" s="214" t="s">
        <v>8</v>
      </c>
      <c r="F468" s="215">
        <v>265680</v>
      </c>
      <c r="G468" s="215">
        <v>265680</v>
      </c>
      <c r="H468" s="171"/>
      <c r="I468" s="88">
        <f t="shared" si="82"/>
        <v>265680</v>
      </c>
      <c r="J468" s="163">
        <f t="shared" si="83"/>
        <v>0</v>
      </c>
      <c r="K468" s="155">
        <f t="shared" si="8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5"/>
        <v>201227333.79893059</v>
      </c>
      <c r="O468" s="155">
        <f t="shared" si="86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605</v>
      </c>
      <c r="D469" s="213" t="s">
        <v>47</v>
      </c>
      <c r="E469" s="214" t="s">
        <v>8</v>
      </c>
      <c r="F469" s="215">
        <v>265680</v>
      </c>
      <c r="G469" s="215">
        <v>265680</v>
      </c>
      <c r="H469" s="171"/>
      <c r="I469" s="88">
        <f t="shared" si="82"/>
        <v>265680</v>
      </c>
      <c r="J469" s="163">
        <f t="shared" si="83"/>
        <v>0</v>
      </c>
      <c r="K469" s="155">
        <f t="shared" si="8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5"/>
        <v>201227334.79893059</v>
      </c>
      <c r="O469" s="155">
        <f t="shared" si="86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222</v>
      </c>
      <c r="D470" s="213" t="s">
        <v>47</v>
      </c>
      <c r="E470" s="214" t="s">
        <v>8</v>
      </c>
      <c r="F470" s="215">
        <v>20898</v>
      </c>
      <c r="G470" s="215">
        <v>20898</v>
      </c>
      <c r="H470" s="171"/>
      <c r="I470" s="88">
        <f t="shared" si="82"/>
        <v>20898</v>
      </c>
      <c r="J470" s="163">
        <f t="shared" si="83"/>
        <v>0</v>
      </c>
      <c r="K470" s="155">
        <f t="shared" si="8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5"/>
        <v>201227335.79893059</v>
      </c>
      <c r="O470" s="155">
        <f t="shared" si="86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223</v>
      </c>
      <c r="D471" s="213" t="s">
        <v>47</v>
      </c>
      <c r="E471" s="214" t="s">
        <v>8</v>
      </c>
      <c r="F471" s="215">
        <v>20700</v>
      </c>
      <c r="G471" s="215">
        <v>20700</v>
      </c>
      <c r="H471" s="171"/>
      <c r="I471" s="88">
        <f t="shared" si="82"/>
        <v>20700</v>
      </c>
      <c r="J471" s="163">
        <f t="shared" si="83"/>
        <v>0</v>
      </c>
      <c r="K471" s="155">
        <f t="shared" si="8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5"/>
        <v>201227336.79893059</v>
      </c>
      <c r="O471" s="155">
        <f t="shared" si="86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224</v>
      </c>
      <c r="D472" s="213" t="s">
        <v>47</v>
      </c>
      <c r="E472" s="214" t="s">
        <v>8</v>
      </c>
      <c r="F472" s="215">
        <v>13600</v>
      </c>
      <c r="G472" s="215">
        <v>13600</v>
      </c>
      <c r="H472" s="171"/>
      <c r="I472" s="88">
        <f t="shared" si="82"/>
        <v>13600</v>
      </c>
      <c r="J472" s="163">
        <f t="shared" si="83"/>
        <v>0</v>
      </c>
      <c r="K472" s="155">
        <f t="shared" si="8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5"/>
        <v>201227337.79893059</v>
      </c>
      <c r="O472" s="155">
        <f t="shared" si="86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225</v>
      </c>
      <c r="D473" s="213" t="s">
        <v>47</v>
      </c>
      <c r="E473" s="214" t="s">
        <v>8</v>
      </c>
      <c r="F473" s="215">
        <v>27900</v>
      </c>
      <c r="G473" s="215">
        <v>27900</v>
      </c>
      <c r="H473" s="171"/>
      <c r="I473" s="88">
        <f t="shared" si="82"/>
        <v>27900</v>
      </c>
      <c r="J473" s="163">
        <f t="shared" si="83"/>
        <v>0</v>
      </c>
      <c r="K473" s="155">
        <f t="shared" si="8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5"/>
        <v>201227338.79893059</v>
      </c>
      <c r="O473" s="155">
        <f t="shared" si="86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226</v>
      </c>
      <c r="D474" s="213" t="s">
        <v>47</v>
      </c>
      <c r="E474" s="214" t="s">
        <v>8</v>
      </c>
      <c r="F474" s="215">
        <v>27815</v>
      </c>
      <c r="G474" s="215">
        <v>27815</v>
      </c>
      <c r="H474" s="171"/>
      <c r="I474" s="88">
        <f t="shared" si="82"/>
        <v>27815</v>
      </c>
      <c r="J474" s="163">
        <f t="shared" si="83"/>
        <v>0</v>
      </c>
      <c r="K474" s="155">
        <f t="shared" si="8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5"/>
        <v>201227339.79893059</v>
      </c>
      <c r="O474" s="155">
        <f t="shared" si="86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227</v>
      </c>
      <c r="D475" s="213" t="s">
        <v>47</v>
      </c>
      <c r="E475" s="214" t="s">
        <v>8</v>
      </c>
      <c r="F475" s="215">
        <v>20800</v>
      </c>
      <c r="G475" s="215">
        <v>20800</v>
      </c>
      <c r="H475" s="171"/>
      <c r="I475" s="88">
        <f t="shared" si="82"/>
        <v>20800</v>
      </c>
      <c r="J475" s="163">
        <f t="shared" si="83"/>
        <v>0</v>
      </c>
      <c r="K475" s="155">
        <f t="shared" si="8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5"/>
        <v>201227340.79893059</v>
      </c>
      <c r="O475" s="155">
        <f t="shared" si="86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25</v>
      </c>
      <c r="D476" s="213" t="s">
        <v>47</v>
      </c>
      <c r="E476" s="214" t="s">
        <v>8</v>
      </c>
      <c r="F476" s="215">
        <v>23936</v>
      </c>
      <c r="G476" s="215">
        <v>23936</v>
      </c>
      <c r="H476" s="171"/>
      <c r="I476" s="88">
        <f t="shared" si="82"/>
        <v>23936</v>
      </c>
      <c r="J476" s="163">
        <f t="shared" si="83"/>
        <v>0</v>
      </c>
      <c r="K476" s="155">
        <f t="shared" si="8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5"/>
        <v>201227341.79893059</v>
      </c>
      <c r="O476" s="155">
        <f t="shared" si="86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228</v>
      </c>
      <c r="D477" s="213" t="s">
        <v>47</v>
      </c>
      <c r="E477" s="214" t="s">
        <v>8</v>
      </c>
      <c r="F477" s="215">
        <v>31590</v>
      </c>
      <c r="G477" s="215">
        <v>31590</v>
      </c>
      <c r="H477" s="171"/>
      <c r="I477" s="88">
        <f t="shared" si="82"/>
        <v>31590</v>
      </c>
      <c r="J477" s="163">
        <f t="shared" si="83"/>
        <v>0</v>
      </c>
      <c r="K477" s="155">
        <f t="shared" si="8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5"/>
        <v>201227342.79893059</v>
      </c>
      <c r="O477" s="155">
        <f t="shared" si="86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229</v>
      </c>
      <c r="D478" s="213" t="s">
        <v>47</v>
      </c>
      <c r="E478" s="214" t="s">
        <v>8</v>
      </c>
      <c r="F478" s="215">
        <v>32500</v>
      </c>
      <c r="G478" s="215">
        <v>32500</v>
      </c>
      <c r="H478" s="171"/>
      <c r="I478" s="88">
        <f t="shared" si="82"/>
        <v>32500</v>
      </c>
      <c r="J478" s="163">
        <f t="shared" si="83"/>
        <v>0</v>
      </c>
      <c r="K478" s="155">
        <f t="shared" si="8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5"/>
        <v>201227343.79893059</v>
      </c>
      <c r="O478" s="155">
        <f t="shared" si="86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230</v>
      </c>
      <c r="D479" s="213" t="s">
        <v>47</v>
      </c>
      <c r="E479" s="214" t="s">
        <v>8</v>
      </c>
      <c r="F479" s="215">
        <v>47300</v>
      </c>
      <c r="G479" s="215">
        <v>47300</v>
      </c>
      <c r="H479" s="171"/>
      <c r="I479" s="88">
        <f t="shared" si="82"/>
        <v>47300</v>
      </c>
      <c r="J479" s="163">
        <f t="shared" si="83"/>
        <v>0</v>
      </c>
      <c r="K479" s="155">
        <f t="shared" si="8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5"/>
        <v>201227344.79893059</v>
      </c>
      <c r="O479" s="155">
        <f t="shared" si="86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231</v>
      </c>
      <c r="D480" s="213" t="s">
        <v>47</v>
      </c>
      <c r="E480" s="214" t="s">
        <v>8</v>
      </c>
      <c r="F480" s="215">
        <v>61560</v>
      </c>
      <c r="G480" s="215">
        <v>61560</v>
      </c>
      <c r="H480" s="171"/>
      <c r="I480" s="88">
        <f t="shared" si="82"/>
        <v>61560</v>
      </c>
      <c r="J480" s="163">
        <f t="shared" si="83"/>
        <v>0</v>
      </c>
      <c r="K480" s="155">
        <f t="shared" si="8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5"/>
        <v>201227345.79893059</v>
      </c>
      <c r="O480" s="155">
        <f t="shared" si="86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1052</v>
      </c>
      <c r="D481" s="213" t="s">
        <v>47</v>
      </c>
      <c r="E481" s="214" t="s">
        <v>8</v>
      </c>
      <c r="F481" s="215">
        <v>79056</v>
      </c>
      <c r="G481" s="215">
        <v>79056</v>
      </c>
      <c r="H481" s="171"/>
      <c r="I481" s="88">
        <f t="shared" si="82"/>
        <v>79056</v>
      </c>
      <c r="J481" s="163">
        <f t="shared" si="83"/>
        <v>0</v>
      </c>
      <c r="K481" s="155">
        <f t="shared" si="8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5"/>
        <v>201227346.79893059</v>
      </c>
      <c r="O481" s="155">
        <f t="shared" si="86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1053</v>
      </c>
      <c r="D482" s="213" t="s">
        <v>47</v>
      </c>
      <c r="E482" s="214" t="s">
        <v>8</v>
      </c>
      <c r="F482" s="215">
        <v>81984</v>
      </c>
      <c r="G482" s="215">
        <v>81984</v>
      </c>
      <c r="H482" s="171"/>
      <c r="I482" s="88">
        <f t="shared" si="82"/>
        <v>81984</v>
      </c>
      <c r="J482" s="163">
        <f t="shared" si="83"/>
        <v>0</v>
      </c>
      <c r="K482" s="155">
        <f t="shared" si="8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5"/>
        <v>201227347.79893059</v>
      </c>
      <c r="O482" s="155">
        <f t="shared" si="86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1054</v>
      </c>
      <c r="D483" s="213" t="s">
        <v>47</v>
      </c>
      <c r="E483" s="214" t="s">
        <v>8</v>
      </c>
      <c r="F483" s="215">
        <v>7320</v>
      </c>
      <c r="G483" s="215">
        <v>7320</v>
      </c>
      <c r="H483" s="171"/>
      <c r="I483" s="88">
        <f t="shared" si="82"/>
        <v>7320</v>
      </c>
      <c r="J483" s="163">
        <f t="shared" si="83"/>
        <v>0</v>
      </c>
      <c r="K483" s="155">
        <f t="shared" si="8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5"/>
        <v>201227348.79893059</v>
      </c>
      <c r="O483" s="155">
        <f t="shared" si="86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1055</v>
      </c>
      <c r="D484" s="213" t="s">
        <v>47</v>
      </c>
      <c r="E484" s="214" t="s">
        <v>8</v>
      </c>
      <c r="F484" s="215">
        <v>8784</v>
      </c>
      <c r="G484" s="215">
        <v>8784</v>
      </c>
      <c r="H484" s="171"/>
      <c r="I484" s="88">
        <f t="shared" si="82"/>
        <v>8784</v>
      </c>
      <c r="J484" s="163">
        <f t="shared" si="83"/>
        <v>0</v>
      </c>
      <c r="K484" s="155">
        <f t="shared" si="8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5"/>
        <v>201227349.79893059</v>
      </c>
      <c r="O484" s="155">
        <f t="shared" si="86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1056</v>
      </c>
      <c r="D485" s="213" t="s">
        <v>47</v>
      </c>
      <c r="E485" s="214" t="s">
        <v>8</v>
      </c>
      <c r="F485" s="215">
        <v>52704</v>
      </c>
      <c r="G485" s="215">
        <v>52704</v>
      </c>
      <c r="H485" s="171"/>
      <c r="I485" s="88">
        <f t="shared" si="82"/>
        <v>52704</v>
      </c>
      <c r="J485" s="163">
        <f t="shared" si="83"/>
        <v>0</v>
      </c>
      <c r="K485" s="155">
        <f t="shared" si="8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5"/>
        <v>201227350.79893059</v>
      </c>
      <c r="O485" s="155">
        <f t="shared" si="86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1057</v>
      </c>
      <c r="D486" s="213" t="s">
        <v>47</v>
      </c>
      <c r="E486" s="214" t="s">
        <v>8</v>
      </c>
      <c r="F486" s="215">
        <v>67344</v>
      </c>
      <c r="G486" s="215">
        <v>67344</v>
      </c>
      <c r="H486" s="171"/>
      <c r="I486" s="88">
        <f t="shared" si="82"/>
        <v>67344</v>
      </c>
      <c r="J486" s="163">
        <f t="shared" si="83"/>
        <v>0</v>
      </c>
      <c r="K486" s="155">
        <f t="shared" si="8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5"/>
        <v>201227351.79893059</v>
      </c>
      <c r="O486" s="155">
        <f t="shared" si="86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606</v>
      </c>
      <c r="D487" s="213" t="s">
        <v>47</v>
      </c>
      <c r="E487" s="214" t="s">
        <v>8</v>
      </c>
      <c r="F487" s="215">
        <v>40000</v>
      </c>
      <c r="G487" s="215">
        <v>40000</v>
      </c>
      <c r="H487" s="171"/>
      <c r="I487" s="88">
        <f t="shared" si="82"/>
        <v>40000</v>
      </c>
      <c r="J487" s="163">
        <f t="shared" si="83"/>
        <v>0</v>
      </c>
      <c r="K487" s="155">
        <f t="shared" si="8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5"/>
        <v>201227352.79893059</v>
      </c>
      <c r="O487" s="155">
        <f t="shared" si="86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607</v>
      </c>
      <c r="D488" s="213" t="s">
        <v>47</v>
      </c>
      <c r="E488" s="214" t="s">
        <v>8</v>
      </c>
      <c r="F488" s="215">
        <v>150000</v>
      </c>
      <c r="G488" s="215">
        <v>150000</v>
      </c>
      <c r="H488" s="171"/>
      <c r="I488" s="88">
        <f t="shared" si="82"/>
        <v>150000</v>
      </c>
      <c r="J488" s="163">
        <f t="shared" si="83"/>
        <v>0</v>
      </c>
      <c r="K488" s="155">
        <f t="shared" si="8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5"/>
        <v>201227353.79893059</v>
      </c>
      <c r="O488" s="155">
        <f t="shared" si="86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232</v>
      </c>
      <c r="D489" s="213" t="s">
        <v>47</v>
      </c>
      <c r="E489" s="214" t="s">
        <v>8</v>
      </c>
      <c r="F489" s="215">
        <v>4212</v>
      </c>
      <c r="G489" s="215">
        <v>4212</v>
      </c>
      <c r="H489" s="171"/>
      <c r="I489" s="88">
        <f t="shared" si="82"/>
        <v>4212</v>
      </c>
      <c r="J489" s="163">
        <f t="shared" si="83"/>
        <v>0</v>
      </c>
      <c r="K489" s="155">
        <f t="shared" si="8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5"/>
        <v>201227354.79893059</v>
      </c>
      <c r="O489" s="155">
        <f t="shared" si="86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608</v>
      </c>
      <c r="D490" s="213" t="s">
        <v>47</v>
      </c>
      <c r="E490" s="214" t="s">
        <v>8</v>
      </c>
      <c r="F490" s="215">
        <v>50000</v>
      </c>
      <c r="G490" s="215">
        <v>50000</v>
      </c>
      <c r="H490" s="171"/>
      <c r="I490" s="88">
        <f t="shared" si="82"/>
        <v>50000</v>
      </c>
      <c r="J490" s="163">
        <f t="shared" si="83"/>
        <v>0</v>
      </c>
      <c r="K490" s="155">
        <f t="shared" si="8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5"/>
        <v>201227355.79893059</v>
      </c>
      <c r="O490" s="155">
        <f t="shared" si="86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233</v>
      </c>
      <c r="D491" s="213" t="s">
        <v>47</v>
      </c>
      <c r="E491" s="214" t="s">
        <v>8</v>
      </c>
      <c r="F491" s="215">
        <v>32500</v>
      </c>
      <c r="G491" s="215">
        <v>32500</v>
      </c>
      <c r="H491" s="171"/>
      <c r="I491" s="88">
        <f t="shared" si="82"/>
        <v>32500</v>
      </c>
      <c r="J491" s="163">
        <f t="shared" si="83"/>
        <v>0</v>
      </c>
      <c r="K491" s="155">
        <f t="shared" si="8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5"/>
        <v>201227356.79893059</v>
      </c>
      <c r="O491" s="155">
        <f t="shared" si="86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234</v>
      </c>
      <c r="D492" s="213" t="s">
        <v>47</v>
      </c>
      <c r="E492" s="214" t="s">
        <v>8</v>
      </c>
      <c r="F492" s="215">
        <v>37500</v>
      </c>
      <c r="G492" s="215">
        <v>37500</v>
      </c>
      <c r="H492" s="171"/>
      <c r="I492" s="88">
        <f t="shared" si="82"/>
        <v>37500</v>
      </c>
      <c r="J492" s="163">
        <f t="shared" si="83"/>
        <v>0</v>
      </c>
      <c r="K492" s="155">
        <f t="shared" si="8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5"/>
        <v>201227357.79893059</v>
      </c>
      <c r="O492" s="155">
        <f t="shared" si="86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235</v>
      </c>
      <c r="D493" s="213" t="s">
        <v>47</v>
      </c>
      <c r="E493" s="214" t="s">
        <v>8</v>
      </c>
      <c r="F493" s="215">
        <v>47800</v>
      </c>
      <c r="G493" s="215">
        <v>47800</v>
      </c>
      <c r="H493" s="171"/>
      <c r="I493" s="88">
        <f t="shared" si="82"/>
        <v>47800</v>
      </c>
      <c r="J493" s="163">
        <f t="shared" si="83"/>
        <v>0</v>
      </c>
      <c r="K493" s="155">
        <f t="shared" si="8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5"/>
        <v>201227358.79893059</v>
      </c>
      <c r="O493" s="155">
        <f t="shared" si="86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236</v>
      </c>
      <c r="D494" s="213" t="s">
        <v>47</v>
      </c>
      <c r="E494" s="214" t="s">
        <v>8</v>
      </c>
      <c r="F494" s="215">
        <v>52500</v>
      </c>
      <c r="G494" s="215">
        <v>52500</v>
      </c>
      <c r="H494" s="171"/>
      <c r="I494" s="88">
        <f t="shared" si="82"/>
        <v>52500</v>
      </c>
      <c r="J494" s="163">
        <f t="shared" si="83"/>
        <v>0</v>
      </c>
      <c r="K494" s="155">
        <f t="shared" si="8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5"/>
        <v>201227359.79893059</v>
      </c>
      <c r="O494" s="155">
        <f t="shared" si="86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38</v>
      </c>
      <c r="D495" s="213" t="s">
        <v>47</v>
      </c>
      <c r="E495" s="214" t="s">
        <v>8</v>
      </c>
      <c r="F495" s="215">
        <v>63500</v>
      </c>
      <c r="G495" s="215">
        <v>63500</v>
      </c>
      <c r="H495" s="171"/>
      <c r="I495" s="88">
        <f t="shared" si="82"/>
        <v>63500</v>
      </c>
      <c r="J495" s="163">
        <f t="shared" si="83"/>
        <v>0</v>
      </c>
      <c r="K495" s="155">
        <f t="shared" si="8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5"/>
        <v>201227360.79893059</v>
      </c>
      <c r="O495" s="155">
        <f t="shared" si="86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237</v>
      </c>
      <c r="D496" s="213" t="s">
        <v>47</v>
      </c>
      <c r="E496" s="214" t="s">
        <v>8</v>
      </c>
      <c r="F496" s="215">
        <v>67500</v>
      </c>
      <c r="G496" s="215">
        <v>67500</v>
      </c>
      <c r="H496" s="171"/>
      <c r="I496" s="88">
        <f t="shared" si="82"/>
        <v>67500</v>
      </c>
      <c r="J496" s="163">
        <f t="shared" si="83"/>
        <v>0</v>
      </c>
      <c r="K496" s="155">
        <f t="shared" si="8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5"/>
        <v>201227361.79893059</v>
      </c>
      <c r="O496" s="155">
        <f t="shared" si="86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238</v>
      </c>
      <c r="D497" s="213" t="s">
        <v>47</v>
      </c>
      <c r="E497" s="214" t="s">
        <v>8</v>
      </c>
      <c r="F497" s="215">
        <v>53000</v>
      </c>
      <c r="G497" s="215">
        <v>53000</v>
      </c>
      <c r="H497" s="171"/>
      <c r="I497" s="88">
        <f t="shared" si="82"/>
        <v>53000</v>
      </c>
      <c r="J497" s="163">
        <f t="shared" si="83"/>
        <v>0</v>
      </c>
      <c r="K497" s="155">
        <f t="shared" si="8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5"/>
        <v>201227362.79893059</v>
      </c>
      <c r="O497" s="155">
        <f t="shared" si="86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239</v>
      </c>
      <c r="D498" s="213" t="s">
        <v>47</v>
      </c>
      <c r="E498" s="214" t="s">
        <v>8</v>
      </c>
      <c r="F498" s="215">
        <v>34000</v>
      </c>
      <c r="G498" s="215">
        <v>34000</v>
      </c>
      <c r="H498" s="171"/>
      <c r="I498" s="88">
        <f t="shared" si="82"/>
        <v>34000</v>
      </c>
      <c r="J498" s="163">
        <f t="shared" si="83"/>
        <v>0</v>
      </c>
      <c r="K498" s="155">
        <f t="shared" si="8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5"/>
        <v>201227363.79893059</v>
      </c>
      <c r="O498" s="155">
        <f t="shared" si="86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240</v>
      </c>
      <c r="D499" s="213" t="s">
        <v>47</v>
      </c>
      <c r="E499" s="214" t="s">
        <v>8</v>
      </c>
      <c r="F499" s="215">
        <v>39500</v>
      </c>
      <c r="G499" s="215">
        <v>39500</v>
      </c>
      <c r="H499" s="171"/>
      <c r="I499" s="88">
        <f t="shared" si="82"/>
        <v>39500</v>
      </c>
      <c r="J499" s="163">
        <f t="shared" si="83"/>
        <v>0</v>
      </c>
      <c r="K499" s="155">
        <f t="shared" si="8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5"/>
        <v>201227364.79893059</v>
      </c>
      <c r="O499" s="155">
        <f t="shared" si="86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241</v>
      </c>
      <c r="D500" s="213" t="s">
        <v>47</v>
      </c>
      <c r="E500" s="214" t="s">
        <v>8</v>
      </c>
      <c r="F500" s="215">
        <v>41900</v>
      </c>
      <c r="G500" s="215">
        <v>41900</v>
      </c>
      <c r="H500" s="171"/>
      <c r="I500" s="88">
        <f t="shared" si="82"/>
        <v>41900</v>
      </c>
      <c r="J500" s="163">
        <f t="shared" si="83"/>
        <v>0</v>
      </c>
      <c r="K500" s="155">
        <f t="shared" si="8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5"/>
        <v>201227365.79893059</v>
      </c>
      <c r="O500" s="155">
        <f t="shared" si="86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242</v>
      </c>
      <c r="D501" s="213" t="s">
        <v>47</v>
      </c>
      <c r="E501" s="214" t="s">
        <v>8</v>
      </c>
      <c r="F501" s="215">
        <v>44400</v>
      </c>
      <c r="G501" s="215">
        <v>44400</v>
      </c>
      <c r="H501" s="171"/>
      <c r="I501" s="88">
        <f t="shared" si="82"/>
        <v>44400</v>
      </c>
      <c r="J501" s="163">
        <f t="shared" si="83"/>
        <v>0</v>
      </c>
      <c r="K501" s="155">
        <f t="shared" si="8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5"/>
        <v>201227366.79893059</v>
      </c>
      <c r="O501" s="155">
        <f t="shared" si="86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243</v>
      </c>
      <c r="D502" s="213" t="s">
        <v>47</v>
      </c>
      <c r="E502" s="214" t="s">
        <v>8</v>
      </c>
      <c r="F502" s="215">
        <v>61800</v>
      </c>
      <c r="G502" s="215">
        <v>61800</v>
      </c>
      <c r="H502" s="171"/>
      <c r="I502" s="88">
        <f t="shared" si="82"/>
        <v>61800</v>
      </c>
      <c r="J502" s="163">
        <f t="shared" si="83"/>
        <v>0</v>
      </c>
      <c r="K502" s="155">
        <f t="shared" si="8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5"/>
        <v>201227367.79893059</v>
      </c>
      <c r="O502" s="155">
        <f t="shared" si="86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244</v>
      </c>
      <c r="D503" s="213" t="s">
        <v>47</v>
      </c>
      <c r="E503" s="214" t="s">
        <v>8</v>
      </c>
      <c r="F503" s="215">
        <v>68600</v>
      </c>
      <c r="G503" s="215">
        <v>68600</v>
      </c>
      <c r="H503" s="171"/>
      <c r="I503" s="88">
        <f t="shared" si="82"/>
        <v>68600</v>
      </c>
      <c r="J503" s="163">
        <f t="shared" si="83"/>
        <v>0</v>
      </c>
      <c r="K503" s="155">
        <f t="shared" si="8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5"/>
        <v>201227368.79893059</v>
      </c>
      <c r="O503" s="155">
        <f t="shared" si="86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245</v>
      </c>
      <c r="D504" s="213" t="s">
        <v>47</v>
      </c>
      <c r="E504" s="214" t="s">
        <v>8</v>
      </c>
      <c r="F504" s="215">
        <v>68600</v>
      </c>
      <c r="G504" s="215">
        <v>68600</v>
      </c>
      <c r="H504" s="171"/>
      <c r="I504" s="88">
        <f t="shared" si="82"/>
        <v>68600</v>
      </c>
      <c r="J504" s="163">
        <f t="shared" si="83"/>
        <v>0</v>
      </c>
      <c r="K504" s="155">
        <f t="shared" si="8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5"/>
        <v>201227369.79893059</v>
      </c>
      <c r="O504" s="155">
        <f t="shared" si="86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246</v>
      </c>
      <c r="D505" s="213" t="s">
        <v>47</v>
      </c>
      <c r="E505" s="214" t="s">
        <v>8</v>
      </c>
      <c r="F505" s="215">
        <v>29600</v>
      </c>
      <c r="G505" s="215">
        <v>29600</v>
      </c>
      <c r="H505" s="171"/>
      <c r="I505" s="88">
        <f t="shared" si="82"/>
        <v>29600</v>
      </c>
      <c r="J505" s="163">
        <f t="shared" si="83"/>
        <v>0</v>
      </c>
      <c r="K505" s="155">
        <f t="shared" si="8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5"/>
        <v>201227370.79893059</v>
      </c>
      <c r="O505" s="155">
        <f t="shared" si="86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247</v>
      </c>
      <c r="D506" s="213" t="s">
        <v>47</v>
      </c>
      <c r="E506" s="214" t="s">
        <v>8</v>
      </c>
      <c r="F506" s="215">
        <v>34500</v>
      </c>
      <c r="G506" s="215">
        <v>34500</v>
      </c>
      <c r="H506" s="171"/>
      <c r="I506" s="88">
        <f t="shared" si="82"/>
        <v>34500</v>
      </c>
      <c r="J506" s="163">
        <f t="shared" si="83"/>
        <v>0</v>
      </c>
      <c r="K506" s="155">
        <f t="shared" si="8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5"/>
        <v>201227371.79893059</v>
      </c>
      <c r="O506" s="155">
        <f t="shared" si="86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248</v>
      </c>
      <c r="D507" s="213" t="s">
        <v>47</v>
      </c>
      <c r="E507" s="214" t="s">
        <v>8</v>
      </c>
      <c r="F507" s="215">
        <v>44800</v>
      </c>
      <c r="G507" s="215">
        <v>44800</v>
      </c>
      <c r="H507" s="175"/>
      <c r="I507" s="88">
        <f t="shared" si="82"/>
        <v>44800</v>
      </c>
      <c r="J507" s="163">
        <f t="shared" si="83"/>
        <v>0</v>
      </c>
      <c r="K507" s="155">
        <f t="shared" si="8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5"/>
        <v>201227372.79893059</v>
      </c>
      <c r="O507" s="155">
        <f t="shared" si="86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249</v>
      </c>
      <c r="D508" s="213" t="s">
        <v>47</v>
      </c>
      <c r="E508" s="214" t="s">
        <v>8</v>
      </c>
      <c r="F508" s="215">
        <v>49500</v>
      </c>
      <c r="G508" s="215">
        <v>49500</v>
      </c>
      <c r="H508" s="171"/>
      <c r="I508" s="88">
        <f t="shared" si="82"/>
        <v>49500</v>
      </c>
      <c r="J508" s="163">
        <f t="shared" si="83"/>
        <v>0</v>
      </c>
      <c r="K508" s="155">
        <f t="shared" si="8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5"/>
        <v>201227373.79893059</v>
      </c>
      <c r="O508" s="155">
        <f t="shared" si="86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250</v>
      </c>
      <c r="D509" s="213" t="s">
        <v>47</v>
      </c>
      <c r="E509" s="214" t="s">
        <v>8</v>
      </c>
      <c r="F509" s="215">
        <v>57690</v>
      </c>
      <c r="G509" s="215">
        <v>57690</v>
      </c>
      <c r="H509" s="171"/>
      <c r="I509" s="88">
        <f t="shared" si="82"/>
        <v>57690</v>
      </c>
      <c r="J509" s="163">
        <f t="shared" si="83"/>
        <v>0</v>
      </c>
      <c r="K509" s="155">
        <f t="shared" si="8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5"/>
        <v>201227374.79893059</v>
      </c>
      <c r="O509" s="155">
        <f t="shared" si="86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251</v>
      </c>
      <c r="D510" s="213" t="s">
        <v>47</v>
      </c>
      <c r="E510" s="214" t="s">
        <v>8</v>
      </c>
      <c r="F510" s="215">
        <v>60300</v>
      </c>
      <c r="G510" s="215">
        <v>60300</v>
      </c>
      <c r="H510" s="171"/>
      <c r="I510" s="88">
        <f t="shared" si="82"/>
        <v>60300</v>
      </c>
      <c r="J510" s="163">
        <f t="shared" si="83"/>
        <v>0</v>
      </c>
      <c r="K510" s="155">
        <f t="shared" si="8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5"/>
        <v>201227375.79893059</v>
      </c>
      <c r="O510" s="155">
        <f t="shared" si="86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252</v>
      </c>
      <c r="D511" s="213" t="s">
        <v>47</v>
      </c>
      <c r="E511" s="214" t="s">
        <v>8</v>
      </c>
      <c r="F511" s="215">
        <v>39900</v>
      </c>
      <c r="G511" s="215">
        <v>39900</v>
      </c>
      <c r="H511" s="171"/>
      <c r="I511" s="88">
        <f t="shared" si="82"/>
        <v>39900</v>
      </c>
      <c r="J511" s="163">
        <f t="shared" si="83"/>
        <v>0</v>
      </c>
      <c r="K511" s="155">
        <f t="shared" si="8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5"/>
        <v>201227376.79893059</v>
      </c>
      <c r="O511" s="155">
        <f t="shared" si="86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253</v>
      </c>
      <c r="D512" s="213" t="s">
        <v>47</v>
      </c>
      <c r="E512" s="214" t="s">
        <v>8</v>
      </c>
      <c r="F512" s="215">
        <v>34500</v>
      </c>
      <c r="G512" s="215">
        <v>34500</v>
      </c>
      <c r="H512" s="171"/>
      <c r="I512" s="88">
        <f t="shared" si="82"/>
        <v>34500</v>
      </c>
      <c r="J512" s="163">
        <f t="shared" si="83"/>
        <v>0</v>
      </c>
      <c r="K512" s="155">
        <f t="shared" si="8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5"/>
        <v>201227377.79893059</v>
      </c>
      <c r="O512" s="155">
        <f t="shared" si="86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254</v>
      </c>
      <c r="D513" s="213" t="s">
        <v>47</v>
      </c>
      <c r="E513" s="214" t="s">
        <v>8</v>
      </c>
      <c r="F513" s="215">
        <v>37000</v>
      </c>
      <c r="G513" s="215">
        <v>37000</v>
      </c>
      <c r="H513" s="171"/>
      <c r="I513" s="88">
        <f t="shared" si="82"/>
        <v>37000</v>
      </c>
      <c r="J513" s="163">
        <f t="shared" si="83"/>
        <v>0</v>
      </c>
      <c r="K513" s="155">
        <f t="shared" si="8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5"/>
        <v>201227378.79893059</v>
      </c>
      <c r="O513" s="155">
        <f t="shared" si="86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255</v>
      </c>
      <c r="D514" s="213" t="s">
        <v>47</v>
      </c>
      <c r="E514" s="214" t="s">
        <v>8</v>
      </c>
      <c r="F514" s="215">
        <v>39500</v>
      </c>
      <c r="G514" s="215">
        <v>39500</v>
      </c>
      <c r="H514" s="171"/>
      <c r="I514" s="88">
        <f t="shared" si="82"/>
        <v>39500</v>
      </c>
      <c r="J514" s="163">
        <f t="shared" si="83"/>
        <v>0</v>
      </c>
      <c r="K514" s="155">
        <f t="shared" si="8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5"/>
        <v>201227379.79893059</v>
      </c>
      <c r="O514" s="155">
        <f t="shared" si="86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256</v>
      </c>
      <c r="D515" s="213" t="s">
        <v>47</v>
      </c>
      <c r="E515" s="214" t="s">
        <v>8</v>
      </c>
      <c r="F515" s="215">
        <v>41900</v>
      </c>
      <c r="G515" s="215">
        <v>41900</v>
      </c>
      <c r="H515" s="171"/>
      <c r="I515" s="88">
        <f t="shared" si="82"/>
        <v>41900</v>
      </c>
      <c r="J515" s="163">
        <f t="shared" si="83"/>
        <v>0</v>
      </c>
      <c r="K515" s="155">
        <f t="shared" si="8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5"/>
        <v>201227380.79893059</v>
      </c>
      <c r="O515" s="155">
        <f t="shared" si="86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257</v>
      </c>
      <c r="D516" s="213" t="s">
        <v>47</v>
      </c>
      <c r="E516" s="214" t="s">
        <v>8</v>
      </c>
      <c r="F516" s="215">
        <v>51100</v>
      </c>
      <c r="G516" s="215">
        <v>51100</v>
      </c>
      <c r="H516" s="171"/>
      <c r="I516" s="88">
        <f t="shared" si="82"/>
        <v>51100</v>
      </c>
      <c r="J516" s="163">
        <f t="shared" si="83"/>
        <v>0</v>
      </c>
      <c r="K516" s="155">
        <f t="shared" si="8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5"/>
        <v>201227381.79893059</v>
      </c>
      <c r="O516" s="155">
        <f t="shared" si="86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258</v>
      </c>
      <c r="D517" s="213" t="s">
        <v>47</v>
      </c>
      <c r="E517" s="214" t="s">
        <v>8</v>
      </c>
      <c r="F517" s="215">
        <v>51800</v>
      </c>
      <c r="G517" s="215">
        <v>51800</v>
      </c>
      <c r="H517" s="171"/>
      <c r="I517" s="88">
        <f t="shared" si="82"/>
        <v>51800</v>
      </c>
      <c r="J517" s="163">
        <f t="shared" si="83"/>
        <v>0</v>
      </c>
      <c r="K517" s="155">
        <f t="shared" si="8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5"/>
        <v>201227382.79893059</v>
      </c>
      <c r="O517" s="155">
        <f t="shared" si="86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259</v>
      </c>
      <c r="D518" s="213" t="s">
        <v>47</v>
      </c>
      <c r="E518" s="214" t="s">
        <v>8</v>
      </c>
      <c r="F518" s="215">
        <v>51800</v>
      </c>
      <c r="G518" s="215">
        <v>51800</v>
      </c>
      <c r="H518" s="171"/>
      <c r="I518" s="88">
        <f t="shared" si="82"/>
        <v>51800</v>
      </c>
      <c r="J518" s="163">
        <f t="shared" si="83"/>
        <v>0</v>
      </c>
      <c r="K518" s="155">
        <f t="shared" si="8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5"/>
        <v>201227383.79893059</v>
      </c>
      <c r="O518" s="155">
        <f t="shared" si="86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260</v>
      </c>
      <c r="D519" s="213" t="s">
        <v>47</v>
      </c>
      <c r="E519" s="214" t="s">
        <v>8</v>
      </c>
      <c r="F519" s="215">
        <v>75420</v>
      </c>
      <c r="G519" s="215">
        <v>75420</v>
      </c>
      <c r="H519" s="171"/>
      <c r="I519" s="88">
        <f t="shared" si="82"/>
        <v>75420</v>
      </c>
      <c r="J519" s="163">
        <f t="shared" si="83"/>
        <v>0</v>
      </c>
      <c r="K519" s="155">
        <f t="shared" si="8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5"/>
        <v>201227384.79893059</v>
      </c>
      <c r="O519" s="155">
        <f t="shared" si="86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261</v>
      </c>
      <c r="D520" s="213" t="s">
        <v>47</v>
      </c>
      <c r="E520" s="214" t="s">
        <v>8</v>
      </c>
      <c r="F520" s="215">
        <v>118440</v>
      </c>
      <c r="G520" s="215">
        <v>118440</v>
      </c>
      <c r="H520" s="171"/>
      <c r="I520" s="88">
        <f t="shared" si="82"/>
        <v>118440</v>
      </c>
      <c r="J520" s="163">
        <f t="shared" si="83"/>
        <v>0</v>
      </c>
      <c r="K520" s="155">
        <f t="shared" si="8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5"/>
        <v>201227385.79893059</v>
      </c>
      <c r="O520" s="155">
        <f t="shared" si="86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262</v>
      </c>
      <c r="D521" s="213" t="s">
        <v>47</v>
      </c>
      <c r="E521" s="214" t="s">
        <v>8</v>
      </c>
      <c r="F521" s="215">
        <v>136980</v>
      </c>
      <c r="G521" s="215">
        <v>136980</v>
      </c>
      <c r="H521" s="171"/>
      <c r="I521" s="88">
        <f t="shared" si="82"/>
        <v>136980</v>
      </c>
      <c r="J521" s="163">
        <f t="shared" si="83"/>
        <v>0</v>
      </c>
      <c r="K521" s="155">
        <f t="shared" si="8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5"/>
        <v>201227386.79893059</v>
      </c>
      <c r="O521" s="155">
        <f t="shared" si="86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263</v>
      </c>
      <c r="D522" s="213" t="s">
        <v>47</v>
      </c>
      <c r="E522" s="214" t="s">
        <v>8</v>
      </c>
      <c r="F522" s="215">
        <v>172350</v>
      </c>
      <c r="G522" s="215">
        <v>172350</v>
      </c>
      <c r="H522" s="171"/>
      <c r="I522" s="88">
        <f t="shared" si="82"/>
        <v>172350</v>
      </c>
      <c r="J522" s="163">
        <f t="shared" si="83"/>
        <v>0</v>
      </c>
      <c r="K522" s="155">
        <f t="shared" si="8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5"/>
        <v>201227387.79893059</v>
      </c>
      <c r="O522" s="155">
        <f t="shared" si="86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36</v>
      </c>
      <c r="D523" s="213" t="s">
        <v>47</v>
      </c>
      <c r="E523" s="214" t="s">
        <v>8</v>
      </c>
      <c r="F523" s="215">
        <v>180000</v>
      </c>
      <c r="G523" s="215">
        <v>180000</v>
      </c>
      <c r="H523" s="171"/>
      <c r="I523" s="88">
        <f t="shared" si="82"/>
        <v>180000</v>
      </c>
      <c r="J523" s="163">
        <f t="shared" si="83"/>
        <v>0</v>
      </c>
      <c r="K523" s="155">
        <f t="shared" si="8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5"/>
        <v>201227388.79893059</v>
      </c>
      <c r="O523" s="155">
        <f t="shared" si="86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264</v>
      </c>
      <c r="D524" s="213" t="s">
        <v>47</v>
      </c>
      <c r="E524" s="214" t="s">
        <v>8</v>
      </c>
      <c r="F524" s="215">
        <v>135800</v>
      </c>
      <c r="G524" s="215">
        <v>135800</v>
      </c>
      <c r="H524" s="171"/>
      <c r="I524" s="88">
        <f t="shared" ref="I524:I589" si="87">IF($I$5=$G$4,G524,(IF($I$5=$F$4,F524,0)))</f>
        <v>135800</v>
      </c>
      <c r="J524" s="163">
        <f t="shared" si="83"/>
        <v>0</v>
      </c>
      <c r="K524" s="155">
        <f t="shared" si="8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5"/>
        <v>201227389.79893059</v>
      </c>
      <c r="O524" s="155">
        <f t="shared" si="86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265</v>
      </c>
      <c r="D525" s="213" t="s">
        <v>47</v>
      </c>
      <c r="E525" s="214" t="s">
        <v>8</v>
      </c>
      <c r="F525" s="215">
        <v>104200</v>
      </c>
      <c r="G525" s="215">
        <v>104200</v>
      </c>
      <c r="H525" s="171"/>
      <c r="I525" s="88">
        <f t="shared" si="87"/>
        <v>104200</v>
      </c>
      <c r="J525" s="163">
        <f t="shared" si="83"/>
        <v>0</v>
      </c>
      <c r="K525" s="155">
        <f t="shared" si="8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5"/>
        <v>201227390.79893059</v>
      </c>
      <c r="O525" s="155">
        <f t="shared" si="86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27</v>
      </c>
      <c r="D526" s="213" t="s">
        <v>47</v>
      </c>
      <c r="E526" s="214" t="s">
        <v>8</v>
      </c>
      <c r="F526" s="215">
        <v>16000</v>
      </c>
      <c r="G526" s="215">
        <v>16000</v>
      </c>
      <c r="H526" s="171"/>
      <c r="I526" s="88">
        <f t="shared" si="87"/>
        <v>16000</v>
      </c>
      <c r="J526" s="163">
        <f t="shared" si="83"/>
        <v>0</v>
      </c>
      <c r="K526" s="155">
        <f t="shared" si="8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5"/>
        <v>201227391.79893059</v>
      </c>
      <c r="O526" s="155">
        <f t="shared" si="86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266</v>
      </c>
      <c r="D527" s="213" t="s">
        <v>47</v>
      </c>
      <c r="E527" s="214" t="s">
        <v>8</v>
      </c>
      <c r="F527" s="215">
        <v>118530</v>
      </c>
      <c r="G527" s="215">
        <v>118530</v>
      </c>
      <c r="H527" s="171"/>
      <c r="I527" s="88">
        <f t="shared" si="87"/>
        <v>118530</v>
      </c>
      <c r="J527" s="163">
        <f t="shared" si="83"/>
        <v>0</v>
      </c>
      <c r="K527" s="155">
        <f t="shared" si="8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5"/>
        <v>201227392.79893059</v>
      </c>
      <c r="O527" s="155">
        <f t="shared" si="86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410" t="s">
        <v>477</v>
      </c>
      <c r="D528" s="213" t="s">
        <v>47</v>
      </c>
      <c r="E528" s="214" t="s">
        <v>8</v>
      </c>
      <c r="F528" s="215">
        <v>3711.24</v>
      </c>
      <c r="G528" s="215">
        <v>3711.24</v>
      </c>
      <c r="H528" s="171"/>
      <c r="I528" s="88">
        <f t="shared" si="87"/>
        <v>3711.24</v>
      </c>
      <c r="J528" s="163">
        <f t="shared" si="83"/>
        <v>0</v>
      </c>
      <c r="K528" s="155">
        <f t="shared" si="8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5"/>
        <v>201227393.79893059</v>
      </c>
      <c r="O528" s="155">
        <f t="shared" si="86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267</v>
      </c>
      <c r="D529" s="213" t="s">
        <v>47</v>
      </c>
      <c r="E529" s="214" t="s">
        <v>8</v>
      </c>
      <c r="F529" s="215">
        <v>28000</v>
      </c>
      <c r="G529" s="215">
        <v>28000</v>
      </c>
      <c r="H529" s="171"/>
      <c r="I529" s="88">
        <f t="shared" si="87"/>
        <v>28000</v>
      </c>
      <c r="J529" s="163">
        <f t="shared" si="83"/>
        <v>0</v>
      </c>
      <c r="K529" s="155">
        <f t="shared" si="8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85"/>
        <v>201227394.79893059</v>
      </c>
      <c r="O529" s="155">
        <f t="shared" si="86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268</v>
      </c>
      <c r="D530" s="213" t="s">
        <v>47</v>
      </c>
      <c r="E530" s="214" t="s">
        <v>8</v>
      </c>
      <c r="F530" s="215">
        <v>33501.866666666669</v>
      </c>
      <c r="G530" s="215">
        <v>33501.866666666669</v>
      </c>
      <c r="H530" s="171"/>
      <c r="I530" s="88">
        <f t="shared" si="87"/>
        <v>33501.866666666669</v>
      </c>
      <c r="J530" s="163">
        <f t="shared" ref="J530:J594" si="88">IF(D530="MDU-KD",1,0)</f>
        <v>0</v>
      </c>
      <c r="K530" s="155">
        <f t="shared" ref="K530:K594" si="89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90">IF(L530=0,M530,L530)</f>
        <v>201227395.79893059</v>
      </c>
      <c r="O530" s="155">
        <f t="shared" ref="O530:O594" si="91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269</v>
      </c>
      <c r="D531" s="213" t="s">
        <v>47</v>
      </c>
      <c r="E531" s="214" t="s">
        <v>7</v>
      </c>
      <c r="F531" s="215">
        <v>23310</v>
      </c>
      <c r="G531" s="215">
        <v>23310</v>
      </c>
      <c r="H531" s="171"/>
      <c r="I531" s="88">
        <f t="shared" si="87"/>
        <v>23310</v>
      </c>
      <c r="J531" s="163">
        <f t="shared" si="88"/>
        <v>0</v>
      </c>
      <c r="K531" s="155">
        <f t="shared" si="8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90"/>
        <v>201227396.79893059</v>
      </c>
      <c r="O531" s="155">
        <f t="shared" si="91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270</v>
      </c>
      <c r="D532" s="213" t="s">
        <v>47</v>
      </c>
      <c r="E532" s="214" t="s">
        <v>8</v>
      </c>
      <c r="F532" s="215">
        <v>129000</v>
      </c>
      <c r="G532" s="215">
        <v>129000</v>
      </c>
      <c r="H532" s="171"/>
      <c r="I532" s="88">
        <f t="shared" si="87"/>
        <v>129000</v>
      </c>
      <c r="J532" s="163">
        <f t="shared" si="88"/>
        <v>0</v>
      </c>
      <c r="K532" s="155">
        <f t="shared" si="8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90"/>
        <v>201227397.79893059</v>
      </c>
      <c r="O532" s="155">
        <f t="shared" si="91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609</v>
      </c>
      <c r="D533" s="213" t="s">
        <v>47</v>
      </c>
      <c r="E533" s="214" t="s">
        <v>8</v>
      </c>
      <c r="F533" s="215">
        <v>145400</v>
      </c>
      <c r="G533" s="215">
        <v>145400</v>
      </c>
      <c r="H533" s="171"/>
      <c r="I533" s="88">
        <f t="shared" si="87"/>
        <v>145400</v>
      </c>
      <c r="J533" s="163">
        <f t="shared" si="88"/>
        <v>0</v>
      </c>
      <c r="K533" s="155">
        <f t="shared" si="8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90"/>
        <v>201227398.79893059</v>
      </c>
      <c r="O533" s="155">
        <f t="shared" si="91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610</v>
      </c>
      <c r="D534" s="213" t="s">
        <v>47</v>
      </c>
      <c r="E534" s="214" t="s">
        <v>8</v>
      </c>
      <c r="F534" s="215">
        <v>351751.73281450948</v>
      </c>
      <c r="G534" s="215">
        <v>351751.73281450948</v>
      </c>
      <c r="H534" s="171"/>
      <c r="I534" s="88">
        <f t="shared" si="87"/>
        <v>351751.73281450948</v>
      </c>
      <c r="J534" s="163">
        <f t="shared" si="88"/>
        <v>0</v>
      </c>
      <c r="K534" s="155">
        <f t="shared" si="8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90"/>
        <v>201227399.79893059</v>
      </c>
      <c r="O534" s="155">
        <f t="shared" si="91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611</v>
      </c>
      <c r="D535" s="213" t="s">
        <v>47</v>
      </c>
      <c r="E535" s="214" t="s">
        <v>8</v>
      </c>
      <c r="F535" s="215">
        <v>250000</v>
      </c>
      <c r="G535" s="215">
        <v>250000</v>
      </c>
      <c r="H535" s="171"/>
      <c r="I535" s="88">
        <f t="shared" si="87"/>
        <v>250000</v>
      </c>
      <c r="J535" s="163">
        <f t="shared" si="88"/>
        <v>0</v>
      </c>
      <c r="K535" s="155">
        <f t="shared" si="8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90"/>
        <v>201227400.79893059</v>
      </c>
      <c r="O535" s="155">
        <f t="shared" si="91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612</v>
      </c>
      <c r="D536" s="213" t="s">
        <v>47</v>
      </c>
      <c r="E536" s="214" t="s">
        <v>8</v>
      </c>
      <c r="F536" s="215">
        <v>485097.76536861184</v>
      </c>
      <c r="G536" s="215">
        <v>485097.76536861184</v>
      </c>
      <c r="H536" s="171"/>
      <c r="I536" s="88">
        <f t="shared" si="87"/>
        <v>485097.76536861184</v>
      </c>
      <c r="J536" s="163">
        <f t="shared" si="88"/>
        <v>0</v>
      </c>
      <c r="K536" s="155">
        <f t="shared" si="8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90"/>
        <v>201227401.79893059</v>
      </c>
      <c r="O536" s="155">
        <f t="shared" si="91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271</v>
      </c>
      <c r="D537" s="213" t="s">
        <v>47</v>
      </c>
      <c r="E537" s="214" t="s">
        <v>8</v>
      </c>
      <c r="F537" s="215">
        <v>423009.82499999995</v>
      </c>
      <c r="G537" s="215">
        <v>423009.82499999995</v>
      </c>
      <c r="H537" s="171"/>
      <c r="I537" s="88">
        <f t="shared" si="87"/>
        <v>423009.82499999995</v>
      </c>
      <c r="J537" s="163">
        <f t="shared" si="88"/>
        <v>0</v>
      </c>
      <c r="K537" s="155">
        <f t="shared" si="8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90"/>
        <v>201227402.79893059</v>
      </c>
      <c r="O537" s="155">
        <f t="shared" si="91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272</v>
      </c>
      <c r="D538" s="213" t="s">
        <v>47</v>
      </c>
      <c r="E538" s="214" t="s">
        <v>8</v>
      </c>
      <c r="F538" s="215">
        <v>302149.875</v>
      </c>
      <c r="G538" s="215">
        <v>302149.875</v>
      </c>
      <c r="H538" s="171"/>
      <c r="I538" s="88">
        <f t="shared" si="87"/>
        <v>302149.875</v>
      </c>
      <c r="J538" s="163">
        <f t="shared" si="88"/>
        <v>0</v>
      </c>
      <c r="K538" s="155">
        <f t="shared" si="8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90"/>
        <v>201227403.79893059</v>
      </c>
      <c r="O538" s="155">
        <f t="shared" si="91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273</v>
      </c>
      <c r="D539" s="213" t="s">
        <v>47</v>
      </c>
      <c r="E539" s="214" t="s">
        <v>8</v>
      </c>
      <c r="F539" s="215">
        <v>335990.66099999991</v>
      </c>
      <c r="G539" s="215">
        <v>335990.66099999991</v>
      </c>
      <c r="H539" s="171"/>
      <c r="I539" s="88">
        <f t="shared" si="87"/>
        <v>335990.66099999991</v>
      </c>
      <c r="J539" s="163">
        <f t="shared" si="88"/>
        <v>0</v>
      </c>
      <c r="K539" s="155">
        <f t="shared" si="8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90"/>
        <v>201227404.79893059</v>
      </c>
      <c r="O539" s="155">
        <f t="shared" si="91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35</v>
      </c>
      <c r="D540" s="213" t="s">
        <v>47</v>
      </c>
      <c r="E540" s="214" t="s">
        <v>8</v>
      </c>
      <c r="F540" s="215">
        <v>2300</v>
      </c>
      <c r="G540" s="215">
        <v>2300</v>
      </c>
      <c r="H540" s="171"/>
      <c r="I540" s="88">
        <f t="shared" si="87"/>
        <v>2300</v>
      </c>
      <c r="J540" s="163">
        <f t="shared" si="88"/>
        <v>0</v>
      </c>
      <c r="K540" s="155">
        <f t="shared" si="8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90"/>
        <v>201227405.79893059</v>
      </c>
      <c r="O540" s="155">
        <f t="shared" si="91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274</v>
      </c>
      <c r="D541" s="213" t="s">
        <v>47</v>
      </c>
      <c r="E541" s="214" t="s">
        <v>8</v>
      </c>
      <c r="F541" s="215">
        <v>88000</v>
      </c>
      <c r="G541" s="215">
        <v>88000</v>
      </c>
      <c r="H541" s="171"/>
      <c r="I541" s="88">
        <f t="shared" si="87"/>
        <v>88000</v>
      </c>
      <c r="J541" s="163">
        <f t="shared" si="88"/>
        <v>0</v>
      </c>
      <c r="K541" s="155">
        <f t="shared" si="8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90"/>
        <v>201227406.79893059</v>
      </c>
      <c r="O541" s="155">
        <f t="shared" si="91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275</v>
      </c>
      <c r="D542" s="213" t="s">
        <v>47</v>
      </c>
      <c r="E542" s="214" t="s">
        <v>8</v>
      </c>
      <c r="F542" s="215">
        <v>72400</v>
      </c>
      <c r="G542" s="215">
        <v>72400</v>
      </c>
      <c r="H542" s="171"/>
      <c r="I542" s="88">
        <f t="shared" si="87"/>
        <v>72400</v>
      </c>
      <c r="J542" s="163">
        <f t="shared" si="88"/>
        <v>0</v>
      </c>
      <c r="K542" s="155">
        <f t="shared" si="8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90"/>
        <v>201227407.79893059</v>
      </c>
      <c r="O542" s="155">
        <f t="shared" si="91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276</v>
      </c>
      <c r="D543" s="213" t="s">
        <v>47</v>
      </c>
      <c r="E543" s="214" t="s">
        <v>8</v>
      </c>
      <c r="F543" s="215">
        <v>123500</v>
      </c>
      <c r="G543" s="215">
        <v>123500</v>
      </c>
      <c r="H543" s="171"/>
      <c r="I543" s="88">
        <f t="shared" si="87"/>
        <v>123500</v>
      </c>
      <c r="J543" s="163">
        <f t="shared" si="88"/>
        <v>0</v>
      </c>
      <c r="K543" s="155">
        <f t="shared" si="8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90"/>
        <v>201227408.79893059</v>
      </c>
      <c r="O543" s="155">
        <f t="shared" si="91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277</v>
      </c>
      <c r="D544" s="213" t="s">
        <v>47</v>
      </c>
      <c r="E544" s="214" t="s">
        <v>8</v>
      </c>
      <c r="F544" s="215">
        <v>225000</v>
      </c>
      <c r="G544" s="215">
        <v>225000</v>
      </c>
      <c r="H544" s="171"/>
      <c r="I544" s="88">
        <f>IF($I$5=$G$4,G544,(IF($I$5=$F$4,F544,0)))</f>
        <v>225000</v>
      </c>
      <c r="J544" s="163">
        <f t="shared" si="88"/>
        <v>0</v>
      </c>
      <c r="K544" s="155">
        <f t="shared" si="8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90"/>
        <v>201227409.79893059</v>
      </c>
      <c r="O544" s="155">
        <f t="shared" si="91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613</v>
      </c>
      <c r="D545" s="213" t="s">
        <v>47</v>
      </c>
      <c r="E545" s="214" t="s">
        <v>8</v>
      </c>
      <c r="F545" s="215">
        <v>71000</v>
      </c>
      <c r="G545" s="215">
        <v>71000</v>
      </c>
      <c r="H545" s="171"/>
      <c r="I545" s="88">
        <f t="shared" si="87"/>
        <v>71000</v>
      </c>
      <c r="J545" s="163">
        <f t="shared" si="88"/>
        <v>0</v>
      </c>
      <c r="K545" s="155">
        <f t="shared" si="8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90"/>
        <v>201227410.79893059</v>
      </c>
      <c r="O545" s="155">
        <f t="shared" si="91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278</v>
      </c>
      <c r="D546" s="213" t="s">
        <v>47</v>
      </c>
      <c r="E546" s="214" t="s">
        <v>8</v>
      </c>
      <c r="F546" s="215">
        <v>36000</v>
      </c>
      <c r="G546" s="215">
        <v>36000</v>
      </c>
      <c r="H546" s="171"/>
      <c r="I546" s="88">
        <f t="shared" si="87"/>
        <v>36000</v>
      </c>
      <c r="J546" s="163">
        <f t="shared" si="88"/>
        <v>0</v>
      </c>
      <c r="K546" s="155">
        <f t="shared" si="8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90"/>
        <v>201227411.79893059</v>
      </c>
      <c r="O546" s="155">
        <f t="shared" si="91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279</v>
      </c>
      <c r="D547" s="213" t="s">
        <v>47</v>
      </c>
      <c r="E547" s="214" t="s">
        <v>8</v>
      </c>
      <c r="F547" s="215">
        <v>17820</v>
      </c>
      <c r="G547" s="215">
        <v>17820</v>
      </c>
      <c r="H547" s="171"/>
      <c r="I547" s="88">
        <f t="shared" si="87"/>
        <v>17820</v>
      </c>
      <c r="J547" s="163">
        <f t="shared" si="88"/>
        <v>0</v>
      </c>
      <c r="K547" s="155">
        <f t="shared" si="8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90"/>
        <v>201227412.79893059</v>
      </c>
      <c r="O547" s="155">
        <f t="shared" si="91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280</v>
      </c>
      <c r="D548" s="213" t="s">
        <v>47</v>
      </c>
      <c r="E548" s="214" t="s">
        <v>8</v>
      </c>
      <c r="F548" s="215">
        <v>22900</v>
      </c>
      <c r="G548" s="215">
        <v>22900</v>
      </c>
      <c r="H548" s="171"/>
      <c r="I548" s="88">
        <f t="shared" si="87"/>
        <v>22900</v>
      </c>
      <c r="J548" s="163">
        <f t="shared" si="88"/>
        <v>0</v>
      </c>
      <c r="K548" s="155">
        <f t="shared" si="8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90"/>
        <v>201227413.79893059</v>
      </c>
      <c r="O548" s="155">
        <f t="shared" si="91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281</v>
      </c>
      <c r="D549" s="213" t="s">
        <v>47</v>
      </c>
      <c r="E549" s="214" t="s">
        <v>8</v>
      </c>
      <c r="F549" s="215">
        <v>30800</v>
      </c>
      <c r="G549" s="215">
        <v>30800</v>
      </c>
      <c r="H549" s="171"/>
      <c r="I549" s="88">
        <f t="shared" si="87"/>
        <v>30800</v>
      </c>
      <c r="J549" s="163">
        <f t="shared" si="88"/>
        <v>0</v>
      </c>
      <c r="K549" s="155">
        <f t="shared" si="8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90"/>
        <v>201227414.79893059</v>
      </c>
      <c r="O549" s="155">
        <f t="shared" si="91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282</v>
      </c>
      <c r="D550" s="213" t="s">
        <v>47</v>
      </c>
      <c r="E550" s="214" t="s">
        <v>8</v>
      </c>
      <c r="F550" s="215">
        <v>33900</v>
      </c>
      <c r="G550" s="215">
        <v>33900</v>
      </c>
      <c r="H550" s="171"/>
      <c r="I550" s="88">
        <f t="shared" si="87"/>
        <v>33900</v>
      </c>
      <c r="J550" s="163">
        <f t="shared" si="88"/>
        <v>0</v>
      </c>
      <c r="K550" s="155">
        <f t="shared" si="8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90"/>
        <v>201227415.79893059</v>
      </c>
      <c r="O550" s="155">
        <f t="shared" si="91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1472</v>
      </c>
      <c r="D551" s="213" t="s">
        <v>47</v>
      </c>
      <c r="E551" s="214" t="s">
        <v>8</v>
      </c>
      <c r="F551" s="215">
        <v>30800</v>
      </c>
      <c r="G551" s="215">
        <v>30800</v>
      </c>
      <c r="H551" s="171"/>
      <c r="I551" s="88">
        <f t="shared" si="87"/>
        <v>30800</v>
      </c>
      <c r="J551" s="163">
        <f t="shared" si="88"/>
        <v>0</v>
      </c>
      <c r="K551" s="155">
        <f t="shared" si="8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90"/>
        <v>201227416.79893059</v>
      </c>
      <c r="O551" s="155">
        <f t="shared" si="91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1473</v>
      </c>
      <c r="D552" s="213" t="s">
        <v>47</v>
      </c>
      <c r="E552" s="214" t="s">
        <v>8</v>
      </c>
      <c r="F552" s="215">
        <v>33900</v>
      </c>
      <c r="G552" s="215">
        <v>33900</v>
      </c>
      <c r="H552" s="171"/>
      <c r="I552" s="88">
        <f t="shared" si="87"/>
        <v>33900</v>
      </c>
      <c r="J552" s="163">
        <f t="shared" si="88"/>
        <v>0</v>
      </c>
      <c r="K552" s="155">
        <f t="shared" si="8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90"/>
        <v>201227417.79893059</v>
      </c>
      <c r="O552" s="155">
        <f t="shared" si="91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283</v>
      </c>
      <c r="D553" s="213" t="s">
        <v>47</v>
      </c>
      <c r="E553" s="214" t="s">
        <v>8</v>
      </c>
      <c r="F553" s="215">
        <v>12510</v>
      </c>
      <c r="G553" s="215">
        <v>12510</v>
      </c>
      <c r="H553" s="171"/>
      <c r="I553" s="88">
        <f t="shared" si="87"/>
        <v>12510</v>
      </c>
      <c r="J553" s="163">
        <f t="shared" si="88"/>
        <v>0</v>
      </c>
      <c r="K553" s="155">
        <f t="shared" si="8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90"/>
        <v>201227418.79893059</v>
      </c>
      <c r="O553" s="155">
        <f t="shared" si="91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284</v>
      </c>
      <c r="D554" s="213" t="s">
        <v>47</v>
      </c>
      <c r="E554" s="214" t="s">
        <v>8</v>
      </c>
      <c r="F554" s="215">
        <v>15500</v>
      </c>
      <c r="G554" s="215">
        <v>15500</v>
      </c>
      <c r="H554" s="171"/>
      <c r="I554" s="88">
        <f t="shared" si="87"/>
        <v>15500</v>
      </c>
      <c r="J554" s="163">
        <f t="shared" si="88"/>
        <v>0</v>
      </c>
      <c r="K554" s="155">
        <f t="shared" si="8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90"/>
        <v>201227419.79893059</v>
      </c>
      <c r="O554" s="155">
        <f t="shared" si="91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285</v>
      </c>
      <c r="D555" s="213" t="s">
        <v>47</v>
      </c>
      <c r="E555" s="214" t="s">
        <v>8</v>
      </c>
      <c r="F555" s="215">
        <v>19500</v>
      </c>
      <c r="G555" s="215">
        <v>19500</v>
      </c>
      <c r="H555" s="171"/>
      <c r="I555" s="88">
        <f t="shared" si="87"/>
        <v>19500</v>
      </c>
      <c r="J555" s="163">
        <f t="shared" si="88"/>
        <v>0</v>
      </c>
      <c r="K555" s="155">
        <f t="shared" si="8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90"/>
        <v>201227420.79893059</v>
      </c>
      <c r="O555" s="155">
        <f t="shared" si="91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286</v>
      </c>
      <c r="D556" s="213" t="s">
        <v>47</v>
      </c>
      <c r="E556" s="214" t="s">
        <v>8</v>
      </c>
      <c r="F556" s="215">
        <v>28400</v>
      </c>
      <c r="G556" s="215">
        <v>28400</v>
      </c>
      <c r="H556" s="171"/>
      <c r="I556" s="88">
        <f t="shared" si="87"/>
        <v>28400</v>
      </c>
      <c r="J556" s="163">
        <f t="shared" si="88"/>
        <v>0</v>
      </c>
      <c r="K556" s="155">
        <f t="shared" si="8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90"/>
        <v>201227421.79893059</v>
      </c>
      <c r="O556" s="155">
        <f t="shared" si="91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287</v>
      </c>
      <c r="D557" s="213" t="s">
        <v>47</v>
      </c>
      <c r="E557" s="214" t="s">
        <v>8</v>
      </c>
      <c r="F557" s="215">
        <v>28314</v>
      </c>
      <c r="G557" s="215">
        <v>28314</v>
      </c>
      <c r="H557" s="171"/>
      <c r="I557" s="88">
        <f t="shared" si="87"/>
        <v>28314</v>
      </c>
      <c r="J557" s="163">
        <f t="shared" si="88"/>
        <v>0</v>
      </c>
      <c r="K557" s="155">
        <f t="shared" si="8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90"/>
        <v>201227422.79893059</v>
      </c>
      <c r="O557" s="155">
        <f t="shared" si="91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288</v>
      </c>
      <c r="D558" s="213" t="s">
        <v>47</v>
      </c>
      <c r="E558" s="214" t="s">
        <v>8</v>
      </c>
      <c r="F558" s="215">
        <v>3510</v>
      </c>
      <c r="G558" s="215">
        <v>3510</v>
      </c>
      <c r="H558" s="171"/>
      <c r="I558" s="88">
        <f t="shared" si="87"/>
        <v>3510</v>
      </c>
      <c r="J558" s="163">
        <f t="shared" si="88"/>
        <v>0</v>
      </c>
      <c r="K558" s="155">
        <f t="shared" si="8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90"/>
        <v>201227423.79893059</v>
      </c>
      <c r="O558" s="155">
        <f t="shared" si="91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289</v>
      </c>
      <c r="D559" s="213" t="s">
        <v>47</v>
      </c>
      <c r="E559" s="214" t="s">
        <v>8</v>
      </c>
      <c r="F559" s="215">
        <v>2100</v>
      </c>
      <c r="G559" s="215">
        <v>2100</v>
      </c>
      <c r="H559" s="171"/>
      <c r="I559" s="88">
        <f t="shared" si="87"/>
        <v>2100</v>
      </c>
      <c r="J559" s="163">
        <f t="shared" si="88"/>
        <v>0</v>
      </c>
      <c r="K559" s="155">
        <f t="shared" si="8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90"/>
        <v>201227424.79893059</v>
      </c>
      <c r="O559" s="155">
        <f t="shared" si="91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290</v>
      </c>
      <c r="D560" s="213" t="s">
        <v>47</v>
      </c>
      <c r="E560" s="214" t="s">
        <v>8</v>
      </c>
      <c r="F560" s="215">
        <v>40000</v>
      </c>
      <c r="G560" s="215">
        <v>40000</v>
      </c>
      <c r="H560" s="171"/>
      <c r="I560" s="88">
        <f t="shared" si="87"/>
        <v>40000</v>
      </c>
      <c r="J560" s="163">
        <f t="shared" si="88"/>
        <v>0</v>
      </c>
      <c r="K560" s="155">
        <f t="shared" si="8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90"/>
        <v>201227425.79893059</v>
      </c>
      <c r="O560" s="155">
        <f t="shared" si="91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39</v>
      </c>
      <c r="D561" s="213" t="s">
        <v>47</v>
      </c>
      <c r="E561" s="214" t="s">
        <v>7</v>
      </c>
      <c r="F561" s="215">
        <v>8550</v>
      </c>
      <c r="G561" s="215">
        <v>8550</v>
      </c>
      <c r="H561" s="171"/>
      <c r="I561" s="88">
        <f t="shared" si="87"/>
        <v>8550</v>
      </c>
      <c r="J561" s="163">
        <f t="shared" si="88"/>
        <v>0</v>
      </c>
      <c r="K561" s="155">
        <f t="shared" si="89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90"/>
        <v>201227426.79893059</v>
      </c>
      <c r="O561" s="155">
        <f t="shared" si="91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614</v>
      </c>
      <c r="D562" s="213" t="s">
        <v>47</v>
      </c>
      <c r="E562" s="214" t="s">
        <v>8</v>
      </c>
      <c r="F562" s="215">
        <v>45000</v>
      </c>
      <c r="G562" s="215">
        <v>45000</v>
      </c>
      <c r="H562" s="171"/>
      <c r="I562" s="88">
        <f t="shared" si="87"/>
        <v>45000</v>
      </c>
      <c r="J562" s="163">
        <f t="shared" si="88"/>
        <v>0</v>
      </c>
      <c r="K562" s="155">
        <f t="shared" si="89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90"/>
        <v>201227427.79893059</v>
      </c>
      <c r="O562" s="155">
        <f t="shared" si="91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291</v>
      </c>
      <c r="D563" s="213" t="s">
        <v>47</v>
      </c>
      <c r="E563" s="214" t="s">
        <v>8</v>
      </c>
      <c r="F563" s="215">
        <v>2500</v>
      </c>
      <c r="G563" s="215">
        <v>2500</v>
      </c>
      <c r="H563" s="171"/>
      <c r="I563" s="88">
        <f t="shared" si="87"/>
        <v>2500</v>
      </c>
      <c r="J563" s="163">
        <f t="shared" si="88"/>
        <v>0</v>
      </c>
      <c r="K563" s="155">
        <f t="shared" si="89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90"/>
        <v>201227428.79893059</v>
      </c>
      <c r="O563" s="155">
        <f t="shared" si="91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26</v>
      </c>
      <c r="D564" s="213" t="s">
        <v>47</v>
      </c>
      <c r="E564" s="214" t="s">
        <v>8</v>
      </c>
      <c r="F564" s="215">
        <v>2500</v>
      </c>
      <c r="G564" s="215">
        <v>2500</v>
      </c>
      <c r="H564" s="171"/>
      <c r="I564" s="88">
        <f t="shared" si="87"/>
        <v>2500</v>
      </c>
      <c r="J564" s="163">
        <f t="shared" si="88"/>
        <v>0</v>
      </c>
      <c r="K564" s="155">
        <f t="shared" si="89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90"/>
        <v>201227429.79893059</v>
      </c>
      <c r="O564" s="155">
        <f t="shared" si="91"/>
        <v>0</v>
      </c>
      <c r="P564" s="155">
        <f>IF(O564=1,SUM($O$6:O564),0)</f>
        <v>0</v>
      </c>
    </row>
    <row r="565" spans="1:16" ht="15" customHeight="1">
      <c r="A565" s="15"/>
      <c r="B565" s="194"/>
      <c r="C565" s="109"/>
      <c r="D565" s="213" t="s">
        <v>50</v>
      </c>
      <c r="E565" s="214"/>
      <c r="F565" s="215"/>
      <c r="G565" s="215"/>
      <c r="H565" s="171"/>
      <c r="I565" s="88">
        <f t="shared" si="87"/>
        <v>0</v>
      </c>
      <c r="J565" s="163">
        <f t="shared" si="88"/>
        <v>0</v>
      </c>
      <c r="K565" s="155">
        <f t="shared" si="89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90"/>
        <v>0</v>
      </c>
      <c r="O565" s="155">
        <f t="shared" si="91"/>
        <v>0</v>
      </c>
      <c r="P565" s="155">
        <f>IF(O565=1,SUM($O$6:O565),0)</f>
        <v>0</v>
      </c>
    </row>
    <row r="566" spans="1:16" ht="15" customHeight="1">
      <c r="A566" s="15"/>
      <c r="B566" s="194" t="s">
        <v>615</v>
      </c>
      <c r="C566" s="109" t="s">
        <v>616</v>
      </c>
      <c r="D566" s="213" t="s">
        <v>50</v>
      </c>
      <c r="E566" s="214"/>
      <c r="F566" s="215"/>
      <c r="G566" s="215"/>
      <c r="H566" s="171"/>
      <c r="I566" s="88">
        <f t="shared" si="87"/>
        <v>0</v>
      </c>
      <c r="J566" s="163">
        <f t="shared" si="88"/>
        <v>0</v>
      </c>
      <c r="K566" s="155">
        <f t="shared" si="89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90"/>
        <v>0</v>
      </c>
      <c r="O566" s="155">
        <f t="shared" si="91"/>
        <v>0</v>
      </c>
      <c r="P566" s="155">
        <f>IF(O566=1,SUM($O$6:O566),0)</f>
        <v>0</v>
      </c>
    </row>
    <row r="567" spans="1:16" ht="15" customHeight="1">
      <c r="A567" s="15"/>
      <c r="B567" s="194">
        <v>1</v>
      </c>
      <c r="C567" s="109" t="s">
        <v>1474</v>
      </c>
      <c r="D567" s="213" t="s">
        <v>47</v>
      </c>
      <c r="E567" s="214" t="s">
        <v>24</v>
      </c>
      <c r="F567" s="215">
        <v>5950800</v>
      </c>
      <c r="G567" s="215">
        <v>6628600</v>
      </c>
      <c r="H567" s="171"/>
      <c r="I567" s="88">
        <f t="shared" si="87"/>
        <v>6628600</v>
      </c>
      <c r="J567" s="163">
        <f t="shared" si="88"/>
        <v>0</v>
      </c>
      <c r="K567" s="155">
        <f t="shared" si="8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90"/>
        <v>201227430.79893059</v>
      </c>
      <c r="O567" s="155">
        <f t="shared" si="91"/>
        <v>0</v>
      </c>
      <c r="P567" s="155">
        <f>IF(O567=1,SUM($O$6:O567),0)</f>
        <v>0</v>
      </c>
    </row>
    <row r="568" spans="1:16" ht="15" customHeight="1">
      <c r="A568" s="15"/>
      <c r="B568" s="194">
        <v>2</v>
      </c>
      <c r="C568" s="109" t="s">
        <v>1475</v>
      </c>
      <c r="D568" s="213" t="s">
        <v>47</v>
      </c>
      <c r="E568" s="214" t="s">
        <v>24</v>
      </c>
      <c r="F568" s="215">
        <v>5950800</v>
      </c>
      <c r="G568" s="215">
        <v>6628600</v>
      </c>
      <c r="H568" s="171"/>
      <c r="I568" s="88">
        <f t="shared" si="87"/>
        <v>6628600</v>
      </c>
      <c r="J568" s="163">
        <f t="shared" si="88"/>
        <v>0</v>
      </c>
      <c r="K568" s="155">
        <f t="shared" si="8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90"/>
        <v>201227431.79893059</v>
      </c>
      <c r="O568" s="155">
        <f t="shared" si="91"/>
        <v>0</v>
      </c>
      <c r="P568" s="155">
        <f>IF(O568=1,SUM($O$6:O568),0)</f>
        <v>0</v>
      </c>
    </row>
    <row r="569" spans="1:16" ht="15" customHeight="1">
      <c r="A569" s="15"/>
      <c r="B569" s="194">
        <v>3</v>
      </c>
      <c r="C569" s="109" t="s">
        <v>1476</v>
      </c>
      <c r="D569" s="213" t="s">
        <v>47</v>
      </c>
      <c r="E569" s="214" t="s">
        <v>24</v>
      </c>
      <c r="F569" s="215">
        <v>5950800</v>
      </c>
      <c r="G569" s="215">
        <v>6628600</v>
      </c>
      <c r="H569" s="171"/>
      <c r="I569" s="88">
        <f t="shared" si="87"/>
        <v>6628600</v>
      </c>
      <c r="J569" s="163">
        <f t="shared" si="88"/>
        <v>0</v>
      </c>
      <c r="K569" s="155">
        <f t="shared" si="8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90"/>
        <v>201227432.79893059</v>
      </c>
      <c r="O569" s="155">
        <f t="shared" si="91"/>
        <v>0</v>
      </c>
      <c r="P569" s="155">
        <f>IF(O569=1,SUM($O$6:O569),0)</f>
        <v>0</v>
      </c>
    </row>
    <row r="570" spans="1:16" ht="15" customHeight="1">
      <c r="A570" s="15"/>
      <c r="B570" s="194">
        <v>4</v>
      </c>
      <c r="C570" s="109" t="s">
        <v>1477</v>
      </c>
      <c r="D570" s="213" t="s">
        <v>47</v>
      </c>
      <c r="E570" s="214" t="s">
        <v>24</v>
      </c>
      <c r="F570" s="215">
        <v>6374600</v>
      </c>
      <c r="G570" s="215">
        <v>7100700</v>
      </c>
      <c r="H570" s="171"/>
      <c r="I570" s="88">
        <f t="shared" si="87"/>
        <v>7100700</v>
      </c>
      <c r="J570" s="163">
        <f t="shared" si="88"/>
        <v>0</v>
      </c>
      <c r="K570" s="155">
        <f t="shared" si="8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90"/>
        <v>201227433.79893059</v>
      </c>
      <c r="O570" s="155">
        <f t="shared" si="91"/>
        <v>0</v>
      </c>
      <c r="P570" s="155">
        <f>IF(O570=1,SUM($O$6:O570),0)</f>
        <v>0</v>
      </c>
    </row>
    <row r="571" spans="1:16" ht="15" customHeight="1">
      <c r="A571" s="15"/>
      <c r="B571" s="194">
        <v>5</v>
      </c>
      <c r="C571" s="109" t="s">
        <v>1478</v>
      </c>
      <c r="D571" s="213" t="s">
        <v>47</v>
      </c>
      <c r="E571" s="214" t="s">
        <v>24</v>
      </c>
      <c r="F571" s="215">
        <v>6374600</v>
      </c>
      <c r="G571" s="215">
        <v>7100700</v>
      </c>
      <c r="H571" s="171"/>
      <c r="I571" s="88">
        <f t="shared" si="87"/>
        <v>7100700</v>
      </c>
      <c r="J571" s="163">
        <f t="shared" si="88"/>
        <v>0</v>
      </c>
      <c r="K571" s="155">
        <f t="shared" si="8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90"/>
        <v>201227434.79893059</v>
      </c>
      <c r="O571" s="155">
        <f t="shared" si="91"/>
        <v>0</v>
      </c>
      <c r="P571" s="155">
        <f>IF(O571=1,SUM($O$6:O571),0)</f>
        <v>0</v>
      </c>
    </row>
    <row r="572" spans="1:16" ht="15" customHeight="1">
      <c r="A572" s="17"/>
      <c r="B572" s="194">
        <v>6</v>
      </c>
      <c r="C572" s="109" t="s">
        <v>1479</v>
      </c>
      <c r="D572" s="213" t="s">
        <v>47</v>
      </c>
      <c r="E572" s="214" t="s">
        <v>24</v>
      </c>
      <c r="F572" s="215">
        <v>6374600</v>
      </c>
      <c r="G572" s="215">
        <v>7100700</v>
      </c>
      <c r="H572" s="171"/>
      <c r="I572" s="88">
        <f t="shared" si="87"/>
        <v>7100700</v>
      </c>
      <c r="J572" s="163">
        <f t="shared" si="88"/>
        <v>0</v>
      </c>
      <c r="K572" s="155">
        <f t="shared" si="8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90"/>
        <v>201227435.79893059</v>
      </c>
      <c r="O572" s="155">
        <f t="shared" si="91"/>
        <v>0</v>
      </c>
      <c r="P572" s="155">
        <f>IF(O572=1,SUM($O$6:O572),0)</f>
        <v>0</v>
      </c>
    </row>
    <row r="573" spans="1:16" ht="15" customHeight="1">
      <c r="A573" s="17"/>
      <c r="B573" s="194">
        <v>7</v>
      </c>
      <c r="C573" s="109" t="s">
        <v>1480</v>
      </c>
      <c r="D573" s="213" t="s">
        <v>47</v>
      </c>
      <c r="E573" s="214" t="s">
        <v>24</v>
      </c>
      <c r="F573" s="215">
        <v>6374600</v>
      </c>
      <c r="G573" s="215">
        <v>7100700</v>
      </c>
      <c r="H573" s="171"/>
      <c r="I573" s="88">
        <f t="shared" si="87"/>
        <v>7100700</v>
      </c>
      <c r="J573" s="163">
        <f t="shared" si="88"/>
        <v>0</v>
      </c>
      <c r="K573" s="155">
        <f t="shared" si="8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90"/>
        <v>201227436.79893059</v>
      </c>
      <c r="O573" s="155">
        <f t="shared" si="91"/>
        <v>0</v>
      </c>
      <c r="P573" s="155">
        <f>IF(O573=1,SUM($O$6:O573),0)</f>
        <v>0</v>
      </c>
    </row>
    <row r="574" spans="1:16" ht="15" customHeight="1">
      <c r="A574" s="15"/>
      <c r="B574" s="194">
        <v>8</v>
      </c>
      <c r="C574" s="109" t="s">
        <v>1481</v>
      </c>
      <c r="D574" s="213" t="s">
        <v>47</v>
      </c>
      <c r="E574" s="214" t="s">
        <v>24</v>
      </c>
      <c r="F574" s="215">
        <v>4927200</v>
      </c>
      <c r="G574" s="215">
        <v>5488400</v>
      </c>
      <c r="H574" s="171"/>
      <c r="I574" s="88">
        <f t="shared" si="87"/>
        <v>5488400</v>
      </c>
      <c r="J574" s="163">
        <f t="shared" si="88"/>
        <v>0</v>
      </c>
      <c r="K574" s="155">
        <f t="shared" si="8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90"/>
        <v>201227437.79893059</v>
      </c>
      <c r="O574" s="155">
        <f t="shared" si="91"/>
        <v>0</v>
      </c>
      <c r="P574" s="155">
        <f>IF(O574=1,SUM($O$6:O574),0)</f>
        <v>0</v>
      </c>
    </row>
    <row r="575" spans="1:16" ht="15" customHeight="1">
      <c r="A575" s="15"/>
      <c r="B575" s="194">
        <v>9</v>
      </c>
      <c r="C575" s="109" t="s">
        <v>1482</v>
      </c>
      <c r="D575" s="213" t="s">
        <v>47</v>
      </c>
      <c r="E575" s="214" t="s">
        <v>24</v>
      </c>
      <c r="F575" s="215">
        <v>4927200</v>
      </c>
      <c r="G575" s="215">
        <v>5488400</v>
      </c>
      <c r="H575" s="171"/>
      <c r="I575" s="88">
        <f t="shared" si="87"/>
        <v>5488400</v>
      </c>
      <c r="J575" s="163">
        <f t="shared" si="88"/>
        <v>0</v>
      </c>
      <c r="K575" s="155">
        <f t="shared" si="8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90"/>
        <v>201227438.79893059</v>
      </c>
      <c r="O575" s="155">
        <f t="shared" si="91"/>
        <v>0</v>
      </c>
      <c r="P575" s="155">
        <f>IF(O575=1,SUM($O$6:O575),0)</f>
        <v>0</v>
      </c>
    </row>
    <row r="576" spans="1:16" ht="15" customHeight="1">
      <c r="A576" s="15"/>
      <c r="B576" s="194">
        <v>10</v>
      </c>
      <c r="C576" s="109" t="s">
        <v>1483</v>
      </c>
      <c r="D576" s="213" t="s">
        <v>47</v>
      </c>
      <c r="E576" s="214" t="s">
        <v>24</v>
      </c>
      <c r="F576" s="215">
        <v>4927200</v>
      </c>
      <c r="G576" s="215">
        <v>5488400</v>
      </c>
      <c r="H576" s="171"/>
      <c r="I576" s="88">
        <f t="shared" si="87"/>
        <v>5488400</v>
      </c>
      <c r="J576" s="163">
        <f t="shared" si="88"/>
        <v>0</v>
      </c>
      <c r="K576" s="155">
        <f t="shared" si="8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90"/>
        <v>201227439.79893059</v>
      </c>
      <c r="O576" s="155">
        <f t="shared" si="91"/>
        <v>0</v>
      </c>
      <c r="P576" s="155">
        <f>IF(O576=1,SUM($O$6:O576),0)</f>
        <v>0</v>
      </c>
    </row>
    <row r="577" spans="1:16" ht="15" customHeight="1">
      <c r="A577" s="15"/>
      <c r="B577" s="194">
        <v>11</v>
      </c>
      <c r="C577" s="109" t="s">
        <v>1484</v>
      </c>
      <c r="D577" s="213" t="s">
        <v>47</v>
      </c>
      <c r="E577" s="214" t="s">
        <v>24</v>
      </c>
      <c r="F577" s="215">
        <v>5602300</v>
      </c>
      <c r="G577" s="215">
        <v>6240400</v>
      </c>
      <c r="H577" s="171"/>
      <c r="I577" s="88">
        <f t="shared" si="87"/>
        <v>6240400</v>
      </c>
      <c r="J577" s="163">
        <f t="shared" si="88"/>
        <v>0</v>
      </c>
      <c r="K577" s="155">
        <f t="shared" si="8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90"/>
        <v>201227440.79893059</v>
      </c>
      <c r="O577" s="155">
        <f t="shared" si="91"/>
        <v>0</v>
      </c>
      <c r="P577" s="155">
        <f>IF(O577=1,SUM($O$6:O577),0)</f>
        <v>0</v>
      </c>
    </row>
    <row r="578" spans="1:16" ht="15" customHeight="1">
      <c r="A578" s="15"/>
      <c r="B578" s="194">
        <v>12</v>
      </c>
      <c r="C578" s="109" t="s">
        <v>1485</v>
      </c>
      <c r="D578" s="213" t="s">
        <v>47</v>
      </c>
      <c r="E578" s="214" t="s">
        <v>24</v>
      </c>
      <c r="F578" s="215">
        <v>5602300</v>
      </c>
      <c r="G578" s="215">
        <v>6240400</v>
      </c>
      <c r="H578" s="171"/>
      <c r="I578" s="88">
        <f t="shared" si="87"/>
        <v>6240400</v>
      </c>
      <c r="J578" s="163">
        <f t="shared" si="88"/>
        <v>0</v>
      </c>
      <c r="K578" s="155">
        <f t="shared" si="8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90"/>
        <v>201227441.79893059</v>
      </c>
      <c r="O578" s="155">
        <f t="shared" si="91"/>
        <v>0</v>
      </c>
      <c r="P578" s="155">
        <f>IF(O578=1,SUM($O$6:O578),0)</f>
        <v>0</v>
      </c>
    </row>
    <row r="579" spans="1:16" ht="15" customHeight="1">
      <c r="A579" s="15"/>
      <c r="B579" s="194">
        <v>13</v>
      </c>
      <c r="C579" s="109" t="s">
        <v>1486</v>
      </c>
      <c r="D579" s="213" t="s">
        <v>47</v>
      </c>
      <c r="E579" s="214" t="s">
        <v>24</v>
      </c>
      <c r="F579" s="215">
        <v>5602300</v>
      </c>
      <c r="G579" s="215">
        <v>6240400</v>
      </c>
      <c r="H579" s="171"/>
      <c r="I579" s="88">
        <f t="shared" si="87"/>
        <v>6240400</v>
      </c>
      <c r="J579" s="163">
        <f t="shared" si="88"/>
        <v>0</v>
      </c>
      <c r="K579" s="155">
        <f t="shared" si="8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90"/>
        <v>201227442.79893059</v>
      </c>
      <c r="O579" s="155">
        <f t="shared" si="91"/>
        <v>0</v>
      </c>
      <c r="P579" s="155">
        <f>IF(O579=1,SUM($O$6:O579),0)</f>
        <v>0</v>
      </c>
    </row>
    <row r="580" spans="1:16" ht="15" customHeight="1">
      <c r="A580" s="15"/>
      <c r="B580" s="194">
        <v>14</v>
      </c>
      <c r="C580" s="109" t="s">
        <v>1487</v>
      </c>
      <c r="D580" s="213" t="s">
        <v>47</v>
      </c>
      <c r="E580" s="214" t="s">
        <v>24</v>
      </c>
      <c r="F580" s="215">
        <v>5529300</v>
      </c>
      <c r="G580" s="215">
        <v>6159100</v>
      </c>
      <c r="H580" s="171"/>
      <c r="I580" s="88">
        <f t="shared" si="87"/>
        <v>6159100</v>
      </c>
      <c r="J580" s="163">
        <f t="shared" si="88"/>
        <v>0</v>
      </c>
      <c r="K580" s="155">
        <f t="shared" si="8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90"/>
        <v>201227443.79893059</v>
      </c>
      <c r="O580" s="155">
        <f t="shared" si="91"/>
        <v>0</v>
      </c>
      <c r="P580" s="155">
        <f>IF(O580=1,SUM($O$6:O580),0)</f>
        <v>0</v>
      </c>
    </row>
    <row r="581" spans="1:16" ht="15" customHeight="1">
      <c r="A581" s="15"/>
      <c r="B581" s="194">
        <v>15</v>
      </c>
      <c r="C581" s="109" t="s">
        <v>1488</v>
      </c>
      <c r="D581" s="213" t="s">
        <v>47</v>
      </c>
      <c r="E581" s="214" t="s">
        <v>24</v>
      </c>
      <c r="F581" s="215">
        <v>5529300</v>
      </c>
      <c r="G581" s="215">
        <v>6159100</v>
      </c>
      <c r="H581" s="171"/>
      <c r="I581" s="88">
        <f t="shared" si="87"/>
        <v>6159100</v>
      </c>
      <c r="J581" s="163">
        <f t="shared" si="88"/>
        <v>0</v>
      </c>
      <c r="K581" s="155">
        <f t="shared" si="8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90"/>
        <v>201227444.79893059</v>
      </c>
      <c r="O581" s="155">
        <f t="shared" si="91"/>
        <v>0</v>
      </c>
      <c r="P581" s="155">
        <f>IF(O581=1,SUM($O$6:O581),0)</f>
        <v>0</v>
      </c>
    </row>
    <row r="582" spans="1:16" ht="15" customHeight="1">
      <c r="A582" s="15"/>
      <c r="B582" s="194">
        <v>15</v>
      </c>
      <c r="C582" s="414" t="s">
        <v>1620</v>
      </c>
      <c r="D582" s="213" t="s">
        <v>47</v>
      </c>
      <c r="E582" s="214" t="s">
        <v>24</v>
      </c>
      <c r="F582" s="415">
        <v>5529300</v>
      </c>
      <c r="G582" s="415">
        <v>6159100</v>
      </c>
      <c r="H582" s="171"/>
      <c r="I582" s="88">
        <f t="shared" ref="I582" si="92">IF($I$5=$G$4,G582,(IF($I$5=$F$4,F582,0)))</f>
        <v>6159100</v>
      </c>
      <c r="J582" s="163">
        <f t="shared" ref="J582" si="93">IF(D582="MDU-KD",1,0)</f>
        <v>0</v>
      </c>
      <c r="K582" s="155">
        <f t="shared" ref="K582" si="94"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ref="N582" si="95">IF(L582=0,M582,L582)</f>
        <v>201227445.79893059</v>
      </c>
      <c r="O582" s="155">
        <f t="shared" ref="O582" si="96"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94">
        <v>16</v>
      </c>
      <c r="C583" s="109" t="s">
        <v>1489</v>
      </c>
      <c r="D583" s="213" t="s">
        <v>47</v>
      </c>
      <c r="E583" s="214" t="s">
        <v>24</v>
      </c>
      <c r="F583" s="215">
        <v>5529300</v>
      </c>
      <c r="G583" s="215">
        <v>6159100</v>
      </c>
      <c r="H583" s="171"/>
      <c r="I583" s="88">
        <f t="shared" si="87"/>
        <v>6159100</v>
      </c>
      <c r="J583" s="163">
        <f t="shared" si="88"/>
        <v>0</v>
      </c>
      <c r="K583" s="155">
        <f t="shared" si="8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90"/>
        <v>201227446.79893059</v>
      </c>
      <c r="O583" s="155">
        <f t="shared" si="91"/>
        <v>0</v>
      </c>
      <c r="P583" s="155">
        <f>IF(O583=1,SUM($O$6:O583),0)</f>
        <v>0</v>
      </c>
    </row>
    <row r="584" spans="1:16" ht="15" customHeight="1">
      <c r="A584" s="15"/>
      <c r="B584" s="194">
        <v>17</v>
      </c>
      <c r="C584" s="109" t="s">
        <v>1490</v>
      </c>
      <c r="D584" s="213" t="s">
        <v>47</v>
      </c>
      <c r="E584" s="214" t="s">
        <v>24</v>
      </c>
      <c r="F584" s="215">
        <v>5030000</v>
      </c>
      <c r="G584" s="215">
        <v>5602900</v>
      </c>
      <c r="H584" s="171"/>
      <c r="I584" s="88">
        <f t="shared" si="87"/>
        <v>5602900</v>
      </c>
      <c r="J584" s="163">
        <f t="shared" si="88"/>
        <v>0</v>
      </c>
      <c r="K584" s="155">
        <f t="shared" si="8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90"/>
        <v>201227447.79893059</v>
      </c>
      <c r="O584" s="155">
        <f t="shared" si="91"/>
        <v>0</v>
      </c>
      <c r="P584" s="155">
        <f>IF(O584=1,SUM($O$6:O584),0)</f>
        <v>0</v>
      </c>
    </row>
    <row r="585" spans="1:16" ht="15" customHeight="1">
      <c r="A585" s="15"/>
      <c r="B585" s="194">
        <v>18</v>
      </c>
      <c r="C585" s="109" t="s">
        <v>1491</v>
      </c>
      <c r="D585" s="213" t="s">
        <v>47</v>
      </c>
      <c r="E585" s="214" t="s">
        <v>24</v>
      </c>
      <c r="F585" s="215">
        <v>7223500</v>
      </c>
      <c r="G585" s="215">
        <v>8046300</v>
      </c>
      <c r="H585" s="171"/>
      <c r="I585" s="88">
        <f t="shared" si="87"/>
        <v>8046300</v>
      </c>
      <c r="J585" s="163">
        <f t="shared" si="88"/>
        <v>0</v>
      </c>
      <c r="K585" s="155">
        <f t="shared" si="8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90"/>
        <v>201227448.79893059</v>
      </c>
      <c r="O585" s="155">
        <f t="shared" si="91"/>
        <v>0</v>
      </c>
      <c r="P585" s="155">
        <f>IF(O585=1,SUM($O$6:O585),0)</f>
        <v>0</v>
      </c>
    </row>
    <row r="586" spans="1:16" ht="15" customHeight="1">
      <c r="A586" s="15"/>
      <c r="B586" s="194">
        <v>19</v>
      </c>
      <c r="C586" s="109" t="s">
        <v>1492</v>
      </c>
      <c r="D586" s="213" t="s">
        <v>47</v>
      </c>
      <c r="E586" s="214" t="s">
        <v>24</v>
      </c>
      <c r="F586" s="217">
        <v>7275900</v>
      </c>
      <c r="G586" s="217">
        <v>8104600</v>
      </c>
      <c r="H586" s="171"/>
      <c r="I586" s="88">
        <f t="shared" si="87"/>
        <v>8104600</v>
      </c>
      <c r="J586" s="163">
        <f t="shared" si="88"/>
        <v>0</v>
      </c>
      <c r="K586" s="155">
        <f t="shared" si="8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90"/>
        <v>201227449.79893059</v>
      </c>
      <c r="O586" s="155">
        <f t="shared" si="91"/>
        <v>0</v>
      </c>
      <c r="P586" s="155">
        <f>IF(O586=1,SUM($O$6:O586),0)</f>
        <v>0</v>
      </c>
    </row>
    <row r="587" spans="1:16" ht="15" customHeight="1">
      <c r="A587" s="15"/>
      <c r="B587" s="194">
        <v>20</v>
      </c>
      <c r="C587" s="109" t="s">
        <v>1493</v>
      </c>
      <c r="D587" s="213" t="s">
        <v>47</v>
      </c>
      <c r="E587" s="214" t="s">
        <v>24</v>
      </c>
      <c r="F587" s="215">
        <v>7275900</v>
      </c>
      <c r="G587" s="215">
        <v>8104600</v>
      </c>
      <c r="H587" s="171"/>
      <c r="I587" s="88">
        <f t="shared" si="87"/>
        <v>8104600</v>
      </c>
      <c r="J587" s="163">
        <f t="shared" si="88"/>
        <v>0</v>
      </c>
      <c r="K587" s="155">
        <f t="shared" si="8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90"/>
        <v>201227450.79893059</v>
      </c>
      <c r="O587" s="155">
        <f t="shared" si="91"/>
        <v>0</v>
      </c>
      <c r="P587" s="155">
        <f>IF(O587=1,SUM($O$6:O587),0)</f>
        <v>0</v>
      </c>
    </row>
    <row r="588" spans="1:16" ht="15" customHeight="1">
      <c r="A588" s="15"/>
      <c r="B588" s="194">
        <v>21</v>
      </c>
      <c r="C588" s="109" t="s">
        <v>1494</v>
      </c>
      <c r="D588" s="213" t="s">
        <v>47</v>
      </c>
      <c r="E588" s="214" t="s">
        <v>24</v>
      </c>
      <c r="F588" s="215">
        <v>5224600</v>
      </c>
      <c r="G588" s="215">
        <v>5819700</v>
      </c>
      <c r="H588" s="171"/>
      <c r="I588" s="88">
        <f t="shared" si="87"/>
        <v>5819700</v>
      </c>
      <c r="J588" s="163">
        <f t="shared" si="88"/>
        <v>0</v>
      </c>
      <c r="K588" s="155">
        <f t="shared" si="8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90"/>
        <v>201227451.79893059</v>
      </c>
      <c r="O588" s="155">
        <f t="shared" si="91"/>
        <v>0</v>
      </c>
      <c r="P588" s="155">
        <f>IF(O588=1,SUM($O$6:O588),0)</f>
        <v>0</v>
      </c>
    </row>
    <row r="589" spans="1:16" ht="15" customHeight="1">
      <c r="A589" s="15"/>
      <c r="B589" s="194">
        <v>22</v>
      </c>
      <c r="C589" s="109" t="s">
        <v>1495</v>
      </c>
      <c r="D589" s="213" t="s">
        <v>47</v>
      </c>
      <c r="E589" s="214" t="s">
        <v>24</v>
      </c>
      <c r="F589" s="215">
        <v>5224600</v>
      </c>
      <c r="G589" s="215">
        <v>5819700</v>
      </c>
      <c r="H589" s="171"/>
      <c r="I589" s="88">
        <f t="shared" si="87"/>
        <v>5819700</v>
      </c>
      <c r="J589" s="163">
        <f t="shared" si="88"/>
        <v>0</v>
      </c>
      <c r="K589" s="155">
        <f t="shared" si="8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90"/>
        <v>201227452.79893059</v>
      </c>
      <c r="O589" s="155">
        <f t="shared" si="91"/>
        <v>0</v>
      </c>
      <c r="P589" s="155">
        <f>IF(O589=1,SUM($O$6:O589),0)</f>
        <v>0</v>
      </c>
    </row>
    <row r="590" spans="1:16" ht="15" customHeight="1">
      <c r="A590" s="15"/>
      <c r="B590" s="194">
        <v>23</v>
      </c>
      <c r="C590" s="109" t="s">
        <v>1496</v>
      </c>
      <c r="D590" s="213" t="s">
        <v>47</v>
      </c>
      <c r="E590" s="214" t="s">
        <v>24</v>
      </c>
      <c r="F590" s="215">
        <v>2857700</v>
      </c>
      <c r="G590" s="215">
        <v>3183200</v>
      </c>
      <c r="H590" s="171"/>
      <c r="I590" s="88">
        <f t="shared" ref="I590:I691" si="97">IF($I$5=$G$4,G590,(IF($I$5=$F$4,F590,0)))</f>
        <v>3183200</v>
      </c>
      <c r="J590" s="163">
        <f t="shared" si="88"/>
        <v>0</v>
      </c>
      <c r="K590" s="155">
        <f t="shared" si="8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90"/>
        <v>201227453.79893059</v>
      </c>
      <c r="O590" s="155">
        <f t="shared" si="91"/>
        <v>0</v>
      </c>
      <c r="P590" s="155">
        <f>IF(O590=1,SUM($O$6:O590),0)</f>
        <v>0</v>
      </c>
    </row>
    <row r="591" spans="1:16" ht="15" customHeight="1">
      <c r="A591" s="15"/>
      <c r="B591" s="194">
        <v>24</v>
      </c>
      <c r="C591" s="109" t="s">
        <v>1497</v>
      </c>
      <c r="D591" s="213" t="s">
        <v>47</v>
      </c>
      <c r="E591" s="214" t="s">
        <v>24</v>
      </c>
      <c r="F591" s="215">
        <v>2857700</v>
      </c>
      <c r="G591" s="215">
        <v>3183200</v>
      </c>
      <c r="H591" s="171"/>
      <c r="I591" s="88">
        <f t="shared" si="97"/>
        <v>3183200</v>
      </c>
      <c r="J591" s="163">
        <f t="shared" si="88"/>
        <v>0</v>
      </c>
      <c r="K591" s="155">
        <f t="shared" si="8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90"/>
        <v>201227454.79893059</v>
      </c>
      <c r="O591" s="155">
        <f t="shared" si="91"/>
        <v>0</v>
      </c>
      <c r="P591" s="155">
        <f>IF(O591=1,SUM($O$6:O591),0)</f>
        <v>0</v>
      </c>
    </row>
    <row r="592" spans="1:16" ht="15" customHeight="1">
      <c r="A592" s="15"/>
      <c r="B592" s="194">
        <v>25</v>
      </c>
      <c r="C592" s="109" t="s">
        <v>1498</v>
      </c>
      <c r="D592" s="213" t="s">
        <v>47</v>
      </c>
      <c r="E592" s="214" t="s">
        <v>24</v>
      </c>
      <c r="F592" s="215">
        <v>3401800</v>
      </c>
      <c r="G592" s="215">
        <v>3789300</v>
      </c>
      <c r="H592" s="171"/>
      <c r="I592" s="88">
        <f t="shared" si="97"/>
        <v>3789300</v>
      </c>
      <c r="J592" s="163">
        <f t="shared" si="88"/>
        <v>0</v>
      </c>
      <c r="K592" s="155">
        <f t="shared" si="8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90"/>
        <v>201227455.79893059</v>
      </c>
      <c r="O592" s="155">
        <f t="shared" si="91"/>
        <v>0</v>
      </c>
      <c r="P592" s="155">
        <f>IF(O592=1,SUM($O$6:O592),0)</f>
        <v>0</v>
      </c>
    </row>
    <row r="593" spans="1:16" ht="15" customHeight="1">
      <c r="A593" s="15"/>
      <c r="B593" s="194">
        <v>26</v>
      </c>
      <c r="C593" s="109" t="s">
        <v>292</v>
      </c>
      <c r="D593" s="213" t="s">
        <v>47</v>
      </c>
      <c r="E593" s="214" t="s">
        <v>24</v>
      </c>
      <c r="F593" s="215">
        <v>2935500</v>
      </c>
      <c r="G593" s="215">
        <v>3269900</v>
      </c>
      <c r="H593" s="175"/>
      <c r="I593" s="88">
        <f t="shared" si="97"/>
        <v>3269900</v>
      </c>
      <c r="J593" s="163">
        <f t="shared" si="88"/>
        <v>0</v>
      </c>
      <c r="K593" s="155">
        <f t="shared" si="8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90"/>
        <v>201227456.79893059</v>
      </c>
      <c r="O593" s="155">
        <f t="shared" si="91"/>
        <v>0</v>
      </c>
      <c r="P593" s="155">
        <f>IF(O593=1,SUM($O$6:O593),0)</f>
        <v>0</v>
      </c>
    </row>
    <row r="594" spans="1:16" ht="15" customHeight="1">
      <c r="A594" s="15"/>
      <c r="B594" s="194">
        <v>27</v>
      </c>
      <c r="C594" s="109" t="s">
        <v>293</v>
      </c>
      <c r="D594" s="213" t="s">
        <v>47</v>
      </c>
      <c r="E594" s="214" t="s">
        <v>24</v>
      </c>
      <c r="F594" s="215">
        <v>4180700</v>
      </c>
      <c r="G594" s="215">
        <v>4656900</v>
      </c>
      <c r="H594" s="175"/>
      <c r="I594" s="88">
        <f t="shared" si="97"/>
        <v>4656900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94">
        <v>28</v>
      </c>
      <c r="C595" s="109" t="s">
        <v>294</v>
      </c>
      <c r="D595" s="213" t="s">
        <v>47</v>
      </c>
      <c r="E595" s="214" t="s">
        <v>24</v>
      </c>
      <c r="F595" s="215">
        <v>7316100</v>
      </c>
      <c r="G595" s="215">
        <v>8149400</v>
      </c>
      <c r="H595" s="175"/>
      <c r="I595" s="88">
        <f t="shared" si="97"/>
        <v>8149400</v>
      </c>
      <c r="J595" s="163">
        <f t="shared" ref="J595:J658" si="98">IF(D595="MDU-KD",1,0)</f>
        <v>0</v>
      </c>
      <c r="K595" s="155">
        <f t="shared" ref="K595:K658" si="9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100">IF(L595=0,M595,L595)</f>
        <v>201227458.79893059</v>
      </c>
      <c r="O595" s="155">
        <f t="shared" ref="O595:O658" si="10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94">
        <v>29</v>
      </c>
      <c r="C596" s="109" t="s">
        <v>295</v>
      </c>
      <c r="D596" s="213" t="s">
        <v>47</v>
      </c>
      <c r="E596" s="214" t="s">
        <v>8</v>
      </c>
      <c r="F596" s="215">
        <v>34800</v>
      </c>
      <c r="G596" s="215">
        <v>38800</v>
      </c>
      <c r="H596" s="175"/>
      <c r="I596" s="88">
        <f t="shared" si="97"/>
        <v>38800</v>
      </c>
      <c r="J596" s="163">
        <f t="shared" si="98"/>
        <v>0</v>
      </c>
      <c r="K596" s="155">
        <f t="shared" si="9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100"/>
        <v>201227459.79893059</v>
      </c>
      <c r="O596" s="155">
        <f t="shared" si="101"/>
        <v>0</v>
      </c>
      <c r="P596" s="155">
        <f>IF(O596=1,SUM($O$6:O596),0)</f>
        <v>0</v>
      </c>
    </row>
    <row r="597" spans="1:16" ht="15" customHeight="1">
      <c r="A597" s="15"/>
      <c r="B597" s="194">
        <v>30</v>
      </c>
      <c r="C597" s="109" t="s">
        <v>297</v>
      </c>
      <c r="D597" s="213" t="s">
        <v>47</v>
      </c>
      <c r="E597" s="214" t="s">
        <v>8</v>
      </c>
      <c r="F597" s="215">
        <v>11200</v>
      </c>
      <c r="G597" s="215">
        <v>12500</v>
      </c>
      <c r="H597" s="175"/>
      <c r="I597" s="88">
        <f t="shared" si="97"/>
        <v>12500</v>
      </c>
      <c r="J597" s="163">
        <f t="shared" si="98"/>
        <v>0</v>
      </c>
      <c r="K597" s="155">
        <f t="shared" si="9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100"/>
        <v>201227460.79893059</v>
      </c>
      <c r="O597" s="155">
        <f t="shared" si="101"/>
        <v>0</v>
      </c>
      <c r="P597" s="155">
        <f>IF(O597=1,SUM($O$6:O597),0)</f>
        <v>0</v>
      </c>
    </row>
    <row r="598" spans="1:16" ht="15" customHeight="1">
      <c r="A598" s="15"/>
      <c r="B598" s="194">
        <v>31</v>
      </c>
      <c r="C598" s="109" t="s">
        <v>34</v>
      </c>
      <c r="D598" s="213" t="s">
        <v>47</v>
      </c>
      <c r="E598" s="214" t="s">
        <v>8</v>
      </c>
      <c r="F598" s="215">
        <v>6100</v>
      </c>
      <c r="G598" s="215">
        <v>6100</v>
      </c>
      <c r="H598" s="175"/>
      <c r="I598" s="88">
        <f t="shared" si="97"/>
        <v>6100</v>
      </c>
      <c r="J598" s="163">
        <f t="shared" si="98"/>
        <v>0</v>
      </c>
      <c r="K598" s="155">
        <f t="shared" si="9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100"/>
        <v>201227461.79893059</v>
      </c>
      <c r="O598" s="155">
        <f t="shared" si="101"/>
        <v>0</v>
      </c>
      <c r="P598" s="155">
        <f>IF(O598=1,SUM($O$6:O598),0)</f>
        <v>0</v>
      </c>
    </row>
    <row r="599" spans="1:16" ht="15" customHeight="1">
      <c r="A599" s="15"/>
      <c r="B599" s="194">
        <v>32</v>
      </c>
      <c r="C599" s="109" t="s">
        <v>617</v>
      </c>
      <c r="D599" s="213" t="s">
        <v>47</v>
      </c>
      <c r="E599" s="214" t="s">
        <v>8</v>
      </c>
      <c r="F599" s="215">
        <v>18200</v>
      </c>
      <c r="G599" s="215">
        <v>38718.5</v>
      </c>
      <c r="H599" s="175"/>
      <c r="I599" s="88">
        <f t="shared" si="97"/>
        <v>38718.5</v>
      </c>
      <c r="J599" s="163">
        <f t="shared" si="98"/>
        <v>0</v>
      </c>
      <c r="K599" s="155">
        <f t="shared" si="9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100"/>
        <v>201227462.79893059</v>
      </c>
      <c r="O599" s="155">
        <f t="shared" si="101"/>
        <v>0</v>
      </c>
      <c r="P599" s="155">
        <f>IF(O599=1,SUM($O$6:O599),0)</f>
        <v>0</v>
      </c>
    </row>
    <row r="600" spans="1:16" ht="15" customHeight="1">
      <c r="A600" s="15"/>
      <c r="B600" s="194">
        <v>33</v>
      </c>
      <c r="C600" s="109" t="s">
        <v>618</v>
      </c>
      <c r="D600" s="213" t="s">
        <v>47</v>
      </c>
      <c r="E600" s="214" t="s">
        <v>8</v>
      </c>
      <c r="F600" s="215">
        <v>83900</v>
      </c>
      <c r="G600" s="215">
        <v>218596</v>
      </c>
      <c r="H600" s="175"/>
      <c r="I600" s="88">
        <f t="shared" si="97"/>
        <v>218596</v>
      </c>
      <c r="J600" s="163">
        <f t="shared" si="98"/>
        <v>0</v>
      </c>
      <c r="K600" s="155">
        <f t="shared" si="9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100"/>
        <v>201227463.79893059</v>
      </c>
      <c r="O600" s="155">
        <f t="shared" si="101"/>
        <v>0</v>
      </c>
      <c r="P600" s="155">
        <f>IF(O600=1,SUM($O$6:O600),0)</f>
        <v>0</v>
      </c>
    </row>
    <row r="601" spans="1:16" ht="15" customHeight="1">
      <c r="A601" s="15"/>
      <c r="B601" s="194">
        <v>34</v>
      </c>
      <c r="C601" s="109" t="s">
        <v>475</v>
      </c>
      <c r="D601" s="213" t="s">
        <v>47</v>
      </c>
      <c r="E601" s="214" t="s">
        <v>8</v>
      </c>
      <c r="F601" s="215">
        <v>148000</v>
      </c>
      <c r="G601" s="215">
        <v>680475</v>
      </c>
      <c r="H601" s="175"/>
      <c r="I601" s="88">
        <f t="shared" si="97"/>
        <v>680475</v>
      </c>
      <c r="J601" s="163">
        <f t="shared" si="98"/>
        <v>0</v>
      </c>
      <c r="K601" s="155">
        <f t="shared" si="9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100"/>
        <v>201227464.79893059</v>
      </c>
      <c r="O601" s="155">
        <f t="shared" si="101"/>
        <v>0</v>
      </c>
      <c r="P601" s="155">
        <f>IF(O601=1,SUM($O$6:O601),0)</f>
        <v>0</v>
      </c>
    </row>
    <row r="602" spans="1:16" ht="15" customHeight="1">
      <c r="A602" s="15"/>
      <c r="B602" s="194">
        <v>35</v>
      </c>
      <c r="C602" s="109" t="s">
        <v>1096</v>
      </c>
      <c r="D602" s="213" t="s">
        <v>47</v>
      </c>
      <c r="E602" s="214" t="s">
        <v>8</v>
      </c>
      <c r="F602" s="215">
        <v>1000000</v>
      </c>
      <c r="G602" s="215">
        <v>1000000</v>
      </c>
      <c r="H602" s="175"/>
      <c r="I602" s="88">
        <f t="shared" si="97"/>
        <v>1000000</v>
      </c>
      <c r="J602" s="163">
        <f t="shared" si="98"/>
        <v>0</v>
      </c>
      <c r="K602" s="155">
        <f t="shared" si="9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100"/>
        <v>201227465.79893059</v>
      </c>
      <c r="O602" s="155">
        <f t="shared" si="101"/>
        <v>0</v>
      </c>
      <c r="P602" s="155">
        <f>IF(O602=1,SUM($O$6:O602),0)</f>
        <v>0</v>
      </c>
    </row>
    <row r="603" spans="1:16" ht="15" customHeight="1">
      <c r="A603" s="15"/>
      <c r="B603" s="194">
        <v>36</v>
      </c>
      <c r="C603" s="109" t="s">
        <v>296</v>
      </c>
      <c r="D603" s="213" t="s">
        <v>47</v>
      </c>
      <c r="E603" s="214" t="s">
        <v>8</v>
      </c>
      <c r="F603" s="215">
        <v>22500</v>
      </c>
      <c r="G603" s="215">
        <v>25100</v>
      </c>
      <c r="H603" s="175"/>
      <c r="I603" s="88">
        <f t="shared" si="97"/>
        <v>25100</v>
      </c>
      <c r="J603" s="163">
        <f t="shared" si="98"/>
        <v>0</v>
      </c>
      <c r="K603" s="155">
        <f t="shared" si="9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100"/>
        <v>201227466.79893059</v>
      </c>
      <c r="O603" s="155">
        <f t="shared" si="101"/>
        <v>0</v>
      </c>
      <c r="P603" s="155">
        <f>IF(O603=1,SUM($O$6:O603),0)</f>
        <v>0</v>
      </c>
    </row>
    <row r="604" spans="1:16" ht="15" customHeight="1">
      <c r="A604" s="15"/>
      <c r="B604" s="194">
        <v>37</v>
      </c>
      <c r="C604" s="109" t="s">
        <v>619</v>
      </c>
      <c r="D604" s="213" t="s">
        <v>47</v>
      </c>
      <c r="E604" s="214" t="s">
        <v>8</v>
      </c>
      <c r="F604" s="215">
        <v>8000</v>
      </c>
      <c r="G604" s="215">
        <v>8900</v>
      </c>
      <c r="H604" s="175"/>
      <c r="I604" s="88">
        <f t="shared" si="97"/>
        <v>8900</v>
      </c>
      <c r="J604" s="163">
        <f t="shared" si="98"/>
        <v>0</v>
      </c>
      <c r="K604" s="155">
        <f t="shared" si="9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100"/>
        <v>201227467.79893059</v>
      </c>
      <c r="O604" s="155">
        <f t="shared" si="101"/>
        <v>0</v>
      </c>
      <c r="P604" s="155">
        <f>IF(O604=1,SUM($O$6:O604),0)</f>
        <v>0</v>
      </c>
    </row>
    <row r="605" spans="1:16" ht="15" customHeight="1">
      <c r="A605" s="15"/>
      <c r="B605" s="194">
        <v>38</v>
      </c>
      <c r="C605" s="109" t="s">
        <v>298</v>
      </c>
      <c r="D605" s="213" t="s">
        <v>47</v>
      </c>
      <c r="E605" s="214" t="s">
        <v>8</v>
      </c>
      <c r="F605" s="215">
        <v>3700</v>
      </c>
      <c r="G605" s="215">
        <v>4100</v>
      </c>
      <c r="H605" s="175"/>
      <c r="I605" s="88">
        <f t="shared" si="97"/>
        <v>4100</v>
      </c>
      <c r="J605" s="163">
        <f t="shared" si="98"/>
        <v>0</v>
      </c>
      <c r="K605" s="155">
        <f t="shared" si="9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100"/>
        <v>201227468.79893059</v>
      </c>
      <c r="O605" s="155">
        <f t="shared" si="101"/>
        <v>0</v>
      </c>
      <c r="P605" s="155">
        <f>IF(O605=1,SUM($O$6:O605),0)</f>
        <v>0</v>
      </c>
    </row>
    <row r="606" spans="1:16" ht="15" customHeight="1">
      <c r="A606" s="15"/>
      <c r="B606" s="194">
        <v>39</v>
      </c>
      <c r="C606" s="197" t="s">
        <v>1097</v>
      </c>
      <c r="D606" s="213" t="s">
        <v>47</v>
      </c>
      <c r="E606" s="214" t="s">
        <v>8</v>
      </c>
      <c r="F606" s="215">
        <v>200000</v>
      </c>
      <c r="G606" s="215">
        <v>200000</v>
      </c>
      <c r="H606" s="175"/>
      <c r="I606" s="88">
        <f t="shared" si="97"/>
        <v>200000</v>
      </c>
      <c r="J606" s="163">
        <f t="shared" si="98"/>
        <v>0</v>
      </c>
      <c r="K606" s="155">
        <f t="shared" si="9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100"/>
        <v>201227469.79893059</v>
      </c>
      <c r="O606" s="155">
        <f t="shared" si="101"/>
        <v>0</v>
      </c>
      <c r="P606" s="155">
        <f>IF(O606=1,SUM($O$6:O606),0)</f>
        <v>0</v>
      </c>
    </row>
    <row r="607" spans="1:16" ht="15" customHeight="1">
      <c r="A607" s="15"/>
      <c r="B607" s="194"/>
      <c r="C607" s="109" t="s">
        <v>50</v>
      </c>
      <c r="D607" s="213" t="s">
        <v>50</v>
      </c>
      <c r="E607" s="214"/>
      <c r="F607" s="215"/>
      <c r="G607" s="215"/>
      <c r="H607" s="175"/>
      <c r="I607" s="88">
        <f t="shared" si="97"/>
        <v>0</v>
      </c>
      <c r="J607" s="163">
        <f t="shared" si="98"/>
        <v>0</v>
      </c>
      <c r="K607" s="155">
        <f t="shared" si="9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100"/>
        <v>0</v>
      </c>
      <c r="O607" s="155">
        <f t="shared" si="101"/>
        <v>0</v>
      </c>
      <c r="P607" s="155">
        <f>IF(O607=1,SUM($O$6:O607),0)</f>
        <v>0</v>
      </c>
    </row>
    <row r="608" spans="1:16" ht="15" customHeight="1">
      <c r="A608" s="15"/>
      <c r="B608" s="194" t="s">
        <v>620</v>
      </c>
      <c r="C608" s="109" t="s">
        <v>1058</v>
      </c>
      <c r="D608" s="213" t="s">
        <v>50</v>
      </c>
      <c r="E608" s="214"/>
      <c r="F608" s="215"/>
      <c r="G608" s="215"/>
      <c r="H608" s="175"/>
      <c r="I608" s="88">
        <f t="shared" si="97"/>
        <v>0</v>
      </c>
      <c r="J608" s="163">
        <f t="shared" si="98"/>
        <v>0</v>
      </c>
      <c r="K608" s="155">
        <f t="shared" si="9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100"/>
        <v>0</v>
      </c>
      <c r="O608" s="155">
        <f t="shared" si="101"/>
        <v>0</v>
      </c>
      <c r="P608" s="155">
        <f>IF(O608=1,SUM($O$6:O608),0)</f>
        <v>0</v>
      </c>
    </row>
    <row r="609" spans="1:16" ht="15" customHeight="1">
      <c r="A609" s="15"/>
      <c r="B609" s="194">
        <v>1</v>
      </c>
      <c r="C609" s="109" t="s">
        <v>1059</v>
      </c>
      <c r="D609" s="213" t="s">
        <v>47</v>
      </c>
      <c r="E609" s="214" t="s">
        <v>1094</v>
      </c>
      <c r="F609" s="215">
        <v>200000</v>
      </c>
      <c r="G609" s="215">
        <v>200000</v>
      </c>
      <c r="H609" s="175"/>
      <c r="I609" s="88">
        <f t="shared" si="97"/>
        <v>200000</v>
      </c>
      <c r="J609" s="163">
        <f t="shared" si="98"/>
        <v>0</v>
      </c>
      <c r="K609" s="155">
        <f t="shared" si="9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100"/>
        <v>201227470.79893059</v>
      </c>
      <c r="O609" s="155">
        <f t="shared" si="101"/>
        <v>0</v>
      </c>
      <c r="P609" s="155">
        <f>IF(O609=1,SUM($O$6:O609),0)</f>
        <v>0</v>
      </c>
    </row>
    <row r="610" spans="1:16" ht="15" customHeight="1">
      <c r="A610" s="15"/>
      <c r="B610" s="194">
        <v>2</v>
      </c>
      <c r="C610" s="109" t="s">
        <v>1060</v>
      </c>
      <c r="D610" s="213" t="s">
        <v>47</v>
      </c>
      <c r="E610" s="214" t="s">
        <v>1094</v>
      </c>
      <c r="F610" s="215">
        <v>2172500</v>
      </c>
      <c r="G610" s="215">
        <v>2172500</v>
      </c>
      <c r="H610" s="175"/>
      <c r="I610" s="88">
        <f t="shared" si="97"/>
        <v>2172500</v>
      </c>
      <c r="J610" s="163">
        <f t="shared" si="98"/>
        <v>0</v>
      </c>
      <c r="K610" s="155">
        <f t="shared" si="9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100"/>
        <v>201227471.79893059</v>
      </c>
      <c r="O610" s="155">
        <f t="shared" si="101"/>
        <v>0</v>
      </c>
      <c r="P610" s="155">
        <f>IF(O610=1,SUM($O$6:O610),0)</f>
        <v>0</v>
      </c>
    </row>
    <row r="611" spans="1:16" ht="15" customHeight="1">
      <c r="A611" s="15"/>
      <c r="B611" s="194">
        <v>3</v>
      </c>
      <c r="C611" s="109" t="s">
        <v>1162</v>
      </c>
      <c r="D611" s="213" t="s">
        <v>47</v>
      </c>
      <c r="E611" s="214" t="s">
        <v>1094</v>
      </c>
      <c r="F611" s="215">
        <v>700000</v>
      </c>
      <c r="G611" s="215">
        <v>700000</v>
      </c>
      <c r="H611" s="175"/>
      <c r="I611" s="88">
        <f t="shared" si="97"/>
        <v>700000</v>
      </c>
      <c r="J611" s="163">
        <f t="shared" si="98"/>
        <v>0</v>
      </c>
      <c r="K611" s="155">
        <f t="shared" si="9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100"/>
        <v>201227472.79893059</v>
      </c>
      <c r="O611" s="155">
        <f t="shared" si="101"/>
        <v>0</v>
      </c>
      <c r="P611" s="155">
        <f>IF(O611=1,SUM($O$6:O611),0)</f>
        <v>0</v>
      </c>
    </row>
    <row r="612" spans="1:16" ht="15" customHeight="1">
      <c r="A612" s="15"/>
      <c r="B612" s="194">
        <v>4</v>
      </c>
      <c r="C612" s="109" t="s">
        <v>1163</v>
      </c>
      <c r="D612" s="213" t="s">
        <v>47</v>
      </c>
      <c r="E612" s="214" t="s">
        <v>1094</v>
      </c>
      <c r="F612" s="215">
        <v>490000</v>
      </c>
      <c r="G612" s="215">
        <v>490000</v>
      </c>
      <c r="H612" s="175"/>
      <c r="I612" s="88">
        <f t="shared" si="97"/>
        <v>490000</v>
      </c>
      <c r="J612" s="163">
        <f t="shared" si="98"/>
        <v>0</v>
      </c>
      <c r="K612" s="155">
        <f t="shared" si="9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100"/>
        <v>201227473.79893059</v>
      </c>
      <c r="O612" s="155">
        <f t="shared" si="101"/>
        <v>0</v>
      </c>
      <c r="P612" s="155">
        <f>IF(O612=1,SUM($O$6:O612),0)</f>
        <v>0</v>
      </c>
    </row>
    <row r="613" spans="1:16" ht="15" customHeight="1">
      <c r="A613" s="15"/>
      <c r="B613" s="194">
        <v>5</v>
      </c>
      <c r="C613" s="109" t="s">
        <v>1164</v>
      </c>
      <c r="D613" s="213" t="s">
        <v>47</v>
      </c>
      <c r="E613" s="214" t="s">
        <v>1094</v>
      </c>
      <c r="F613" s="215">
        <v>224000</v>
      </c>
      <c r="G613" s="215">
        <v>224000</v>
      </c>
      <c r="H613" s="175"/>
      <c r="I613" s="88">
        <f t="shared" si="97"/>
        <v>224000</v>
      </c>
      <c r="J613" s="163">
        <f t="shared" si="98"/>
        <v>0</v>
      </c>
      <c r="K613" s="155">
        <f t="shared" si="9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100"/>
        <v>201227474.79893059</v>
      </c>
      <c r="O613" s="155">
        <f t="shared" si="101"/>
        <v>0</v>
      </c>
      <c r="P613" s="155">
        <f>IF(O613=1,SUM($O$6:O613),0)</f>
        <v>0</v>
      </c>
    </row>
    <row r="614" spans="1:16" ht="15" customHeight="1">
      <c r="A614" s="15"/>
      <c r="B614" s="194">
        <v>6</v>
      </c>
      <c r="C614" s="109" t="s">
        <v>1061</v>
      </c>
      <c r="D614" s="213" t="s">
        <v>47</v>
      </c>
      <c r="E614" s="214" t="s">
        <v>14</v>
      </c>
      <c r="F614" s="215">
        <v>15000</v>
      </c>
      <c r="G614" s="215">
        <v>15000</v>
      </c>
      <c r="H614" s="175"/>
      <c r="I614" s="88">
        <f t="shared" si="97"/>
        <v>15000</v>
      </c>
      <c r="J614" s="163">
        <f t="shared" si="98"/>
        <v>0</v>
      </c>
      <c r="K614" s="155">
        <f t="shared" si="9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100"/>
        <v>201227475.79893059</v>
      </c>
      <c r="O614" s="155">
        <f t="shared" si="101"/>
        <v>0</v>
      </c>
      <c r="P614" s="155">
        <f>IF(O614=1,SUM($O$6:O614),0)</f>
        <v>0</v>
      </c>
    </row>
    <row r="615" spans="1:16" ht="15" customHeight="1">
      <c r="A615" s="15"/>
      <c r="B615" s="194">
        <v>7</v>
      </c>
      <c r="C615" s="109" t="s">
        <v>1165</v>
      </c>
      <c r="D615" s="213" t="s">
        <v>47</v>
      </c>
      <c r="E615" s="214" t="s">
        <v>1094</v>
      </c>
      <c r="F615" s="215">
        <v>1510245</v>
      </c>
      <c r="G615" s="215">
        <v>1510245</v>
      </c>
      <c r="H615" s="175"/>
      <c r="I615" s="88">
        <f t="shared" si="97"/>
        <v>1510245</v>
      </c>
      <c r="J615" s="163">
        <f t="shared" si="98"/>
        <v>0</v>
      </c>
      <c r="K615" s="155">
        <f t="shared" si="9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100"/>
        <v>201227476.79893059</v>
      </c>
      <c r="O615" s="155">
        <f t="shared" si="101"/>
        <v>0</v>
      </c>
      <c r="P615" s="155">
        <f>IF(O615=1,SUM($O$6:O615),0)</f>
        <v>0</v>
      </c>
    </row>
    <row r="616" spans="1:16" ht="15" customHeight="1">
      <c r="A616" s="15"/>
      <c r="B616" s="194"/>
      <c r="C616" s="109" t="s">
        <v>50</v>
      </c>
      <c r="D616" s="213" t="s">
        <v>50</v>
      </c>
      <c r="E616" s="214"/>
      <c r="F616" s="215"/>
      <c r="G616" s="215"/>
      <c r="H616" s="175"/>
      <c r="I616" s="88">
        <f t="shared" si="97"/>
        <v>0</v>
      </c>
      <c r="J616" s="163">
        <f t="shared" si="98"/>
        <v>0</v>
      </c>
      <c r="K616" s="155">
        <f t="shared" si="9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100"/>
        <v>0</v>
      </c>
      <c r="O616" s="155">
        <f t="shared" si="101"/>
        <v>0</v>
      </c>
      <c r="P616" s="155">
        <f>IF(O616=1,SUM($O$6:O616),0)</f>
        <v>0</v>
      </c>
    </row>
    <row r="617" spans="1:16" ht="15" customHeight="1">
      <c r="A617" s="15"/>
      <c r="B617" s="194" t="s">
        <v>805</v>
      </c>
      <c r="C617" s="109" t="s">
        <v>1063</v>
      </c>
      <c r="D617" s="213" t="s">
        <v>50</v>
      </c>
      <c r="E617" s="214"/>
      <c r="F617" s="215"/>
      <c r="G617" s="215"/>
      <c r="H617" s="175"/>
      <c r="I617" s="88">
        <f t="shared" si="97"/>
        <v>0</v>
      </c>
      <c r="J617" s="163">
        <f t="shared" si="98"/>
        <v>0</v>
      </c>
      <c r="K617" s="155">
        <f t="shared" si="9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100"/>
        <v>0</v>
      </c>
      <c r="O617" s="155">
        <f t="shared" si="101"/>
        <v>0</v>
      </c>
      <c r="P617" s="155">
        <f>IF(O617=1,SUM($O$6:O617),0)</f>
        <v>0</v>
      </c>
    </row>
    <row r="618" spans="1:16" ht="15" customHeight="1">
      <c r="A618" s="15"/>
      <c r="B618" s="194">
        <v>1</v>
      </c>
      <c r="C618" s="109" t="s">
        <v>1070</v>
      </c>
      <c r="D618" s="213" t="s">
        <v>47</v>
      </c>
      <c r="E618" s="214" t="s">
        <v>8</v>
      </c>
      <c r="F618" s="215">
        <v>16226</v>
      </c>
      <c r="G618" s="215">
        <v>16226</v>
      </c>
      <c r="H618" s="175"/>
      <c r="I618" s="88">
        <f t="shared" si="97"/>
        <v>16226</v>
      </c>
      <c r="J618" s="163">
        <f t="shared" si="98"/>
        <v>0</v>
      </c>
      <c r="K618" s="155">
        <f t="shared" si="9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100"/>
        <v>201227477.79893059</v>
      </c>
      <c r="O618" s="155">
        <f t="shared" si="101"/>
        <v>0</v>
      </c>
      <c r="P618" s="155">
        <f>IF(O618=1,SUM($O$6:O618),0)</f>
        <v>0</v>
      </c>
    </row>
    <row r="619" spans="1:16" ht="15" customHeight="1">
      <c r="A619" s="15"/>
      <c r="B619" s="194">
        <v>2</v>
      </c>
      <c r="C619" s="109" t="s">
        <v>1071</v>
      </c>
      <c r="D619" s="213" t="s">
        <v>47</v>
      </c>
      <c r="E619" s="214" t="s">
        <v>8</v>
      </c>
      <c r="F619" s="215">
        <v>19947</v>
      </c>
      <c r="G619" s="215">
        <v>19947</v>
      </c>
      <c r="H619" s="175"/>
      <c r="I619" s="88">
        <f t="shared" si="97"/>
        <v>19947</v>
      </c>
      <c r="J619" s="163">
        <f t="shared" si="98"/>
        <v>0</v>
      </c>
      <c r="K619" s="155">
        <f t="shared" si="9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100"/>
        <v>201227478.79893059</v>
      </c>
      <c r="O619" s="155">
        <f t="shared" si="101"/>
        <v>0</v>
      </c>
      <c r="P619" s="155">
        <f>IF(O619=1,SUM($O$6:O619),0)</f>
        <v>0</v>
      </c>
    </row>
    <row r="620" spans="1:16" ht="15" customHeight="1">
      <c r="A620" s="15"/>
      <c r="B620" s="194">
        <v>3</v>
      </c>
      <c r="C620" s="109" t="s">
        <v>1072</v>
      </c>
      <c r="D620" s="213" t="s">
        <v>47</v>
      </c>
      <c r="E620" s="214" t="s">
        <v>8</v>
      </c>
      <c r="F620" s="215">
        <v>26711.899999999998</v>
      </c>
      <c r="G620" s="215">
        <v>26711.899999999998</v>
      </c>
      <c r="H620" s="175"/>
      <c r="I620" s="88">
        <f t="shared" si="97"/>
        <v>26711.899999999998</v>
      </c>
      <c r="J620" s="163">
        <f t="shared" si="98"/>
        <v>0</v>
      </c>
      <c r="K620" s="155">
        <f t="shared" si="9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100"/>
        <v>201227479.79893059</v>
      </c>
      <c r="O620" s="155">
        <f t="shared" si="101"/>
        <v>0</v>
      </c>
      <c r="P620" s="155">
        <f>IF(O620=1,SUM($O$6:O620),0)</f>
        <v>0</v>
      </c>
    </row>
    <row r="621" spans="1:16" ht="15" customHeight="1">
      <c r="A621" s="15"/>
      <c r="B621" s="194">
        <v>4</v>
      </c>
      <c r="C621" s="109" t="s">
        <v>1073</v>
      </c>
      <c r="D621" s="213" t="s">
        <v>47</v>
      </c>
      <c r="E621" s="214" t="s">
        <v>8</v>
      </c>
      <c r="F621" s="215">
        <v>84820.5</v>
      </c>
      <c r="G621" s="215">
        <v>84820.5</v>
      </c>
      <c r="H621" s="175"/>
      <c r="I621" s="88">
        <f t="shared" si="97"/>
        <v>84820.5</v>
      </c>
      <c r="J621" s="163">
        <f t="shared" si="98"/>
        <v>0</v>
      </c>
      <c r="K621" s="155">
        <f t="shared" si="9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100"/>
        <v>201227480.79893059</v>
      </c>
      <c r="O621" s="155">
        <f t="shared" si="101"/>
        <v>0</v>
      </c>
      <c r="P621" s="155">
        <f>IF(O621=1,SUM($O$6:O621),0)</f>
        <v>0</v>
      </c>
    </row>
    <row r="622" spans="1:16" ht="15" customHeight="1">
      <c r="A622" s="15"/>
      <c r="B622" s="194">
        <v>5</v>
      </c>
      <c r="C622" s="109" t="s">
        <v>1074</v>
      </c>
      <c r="D622" s="213" t="s">
        <v>47</v>
      </c>
      <c r="E622" s="214" t="s">
        <v>8</v>
      </c>
      <c r="F622" s="215">
        <v>33550</v>
      </c>
      <c r="G622" s="215">
        <v>33550</v>
      </c>
      <c r="H622" s="175"/>
      <c r="I622" s="88">
        <f t="shared" si="97"/>
        <v>33550</v>
      </c>
      <c r="J622" s="163">
        <f t="shared" si="98"/>
        <v>0</v>
      </c>
      <c r="K622" s="155">
        <f t="shared" si="9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100"/>
        <v>201227481.79893059</v>
      </c>
      <c r="O622" s="155">
        <f t="shared" si="101"/>
        <v>0</v>
      </c>
      <c r="P622" s="155">
        <f>IF(O622=1,SUM($O$6:O622),0)</f>
        <v>0</v>
      </c>
    </row>
    <row r="623" spans="1:16" ht="15" customHeight="1">
      <c r="A623" s="15"/>
      <c r="B623" s="194">
        <v>6</v>
      </c>
      <c r="C623" s="109" t="s">
        <v>1075</v>
      </c>
      <c r="D623" s="213" t="s">
        <v>47</v>
      </c>
      <c r="E623" s="214" t="s">
        <v>8</v>
      </c>
      <c r="F623" s="215">
        <v>16833.560000000001</v>
      </c>
      <c r="G623" s="215">
        <v>16833.560000000001</v>
      </c>
      <c r="H623" s="175"/>
      <c r="I623" s="88">
        <f t="shared" si="97"/>
        <v>16833.560000000001</v>
      </c>
      <c r="J623" s="163">
        <f t="shared" si="98"/>
        <v>0</v>
      </c>
      <c r="K623" s="155">
        <f t="shared" si="9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100"/>
        <v>201227482.79893059</v>
      </c>
      <c r="O623" s="155">
        <f t="shared" si="101"/>
        <v>0</v>
      </c>
      <c r="P623" s="155">
        <f>IF(O623=1,SUM($O$6:O623),0)</f>
        <v>0</v>
      </c>
    </row>
    <row r="624" spans="1:16" ht="15" customHeight="1">
      <c r="A624" s="15"/>
      <c r="B624" s="194">
        <v>7</v>
      </c>
      <c r="C624" s="109" t="s">
        <v>1076</v>
      </c>
      <c r="D624" s="213" t="s">
        <v>47</v>
      </c>
      <c r="E624" s="214" t="s">
        <v>8</v>
      </c>
      <c r="F624" s="215">
        <v>72742.5</v>
      </c>
      <c r="G624" s="215">
        <v>72742.5</v>
      </c>
      <c r="H624" s="175"/>
      <c r="I624" s="88">
        <f t="shared" si="97"/>
        <v>72742.5</v>
      </c>
      <c r="J624" s="163">
        <f t="shared" si="98"/>
        <v>0</v>
      </c>
      <c r="K624" s="155">
        <f t="shared" si="9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100"/>
        <v>201227483.79893059</v>
      </c>
      <c r="O624" s="155">
        <f t="shared" si="101"/>
        <v>0</v>
      </c>
      <c r="P624" s="155">
        <f>IF(O624=1,SUM($O$6:O624),0)</f>
        <v>0</v>
      </c>
    </row>
    <row r="625" spans="1:16" ht="15" customHeight="1">
      <c r="A625" s="15"/>
      <c r="B625" s="194">
        <v>8</v>
      </c>
      <c r="C625" s="109" t="s">
        <v>1077</v>
      </c>
      <c r="D625" s="213" t="s">
        <v>47</v>
      </c>
      <c r="E625" s="214" t="s">
        <v>8</v>
      </c>
      <c r="F625" s="215">
        <v>45445</v>
      </c>
      <c r="G625" s="215">
        <v>45445</v>
      </c>
      <c r="H625" s="175"/>
      <c r="I625" s="88">
        <f t="shared" si="97"/>
        <v>45445</v>
      </c>
      <c r="J625" s="163">
        <f t="shared" si="98"/>
        <v>0</v>
      </c>
      <c r="K625" s="155">
        <f t="shared" si="9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100"/>
        <v>201227484.79893059</v>
      </c>
      <c r="O625" s="155">
        <f t="shared" si="101"/>
        <v>0</v>
      </c>
      <c r="P625" s="155">
        <f>IF(O625=1,SUM($O$6:O625),0)</f>
        <v>0</v>
      </c>
    </row>
    <row r="626" spans="1:16" ht="15" customHeight="1">
      <c r="A626" s="15"/>
      <c r="B626" s="194">
        <v>9</v>
      </c>
      <c r="C626" s="109" t="s">
        <v>1078</v>
      </c>
      <c r="D626" s="213" t="s">
        <v>47</v>
      </c>
      <c r="E626" s="214" t="s">
        <v>8</v>
      </c>
      <c r="F626" s="215">
        <v>84820.5</v>
      </c>
      <c r="G626" s="215">
        <v>84820.5</v>
      </c>
      <c r="H626" s="175"/>
      <c r="I626" s="88">
        <f t="shared" si="97"/>
        <v>84820.5</v>
      </c>
      <c r="J626" s="163">
        <f t="shared" si="98"/>
        <v>0</v>
      </c>
      <c r="K626" s="155">
        <f t="shared" si="9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100"/>
        <v>201227485.79893059</v>
      </c>
      <c r="O626" s="155">
        <f t="shared" si="101"/>
        <v>0</v>
      </c>
      <c r="P626" s="155">
        <f>IF(O626=1,SUM($O$6:O626),0)</f>
        <v>0</v>
      </c>
    </row>
    <row r="627" spans="1:16" ht="15" customHeight="1">
      <c r="A627" s="15"/>
      <c r="B627" s="194">
        <v>10</v>
      </c>
      <c r="C627" s="109" t="s">
        <v>1079</v>
      </c>
      <c r="D627" s="213" t="s">
        <v>47</v>
      </c>
      <c r="E627" s="214" t="s">
        <v>8</v>
      </c>
      <c r="F627" s="215">
        <v>53866.659999999996</v>
      </c>
      <c r="G627" s="215">
        <v>53866.659999999996</v>
      </c>
      <c r="H627" s="175"/>
      <c r="I627" s="88">
        <f t="shared" si="97"/>
        <v>53866.659999999996</v>
      </c>
      <c r="J627" s="163">
        <f t="shared" si="98"/>
        <v>0</v>
      </c>
      <c r="K627" s="155">
        <f t="shared" si="9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100"/>
        <v>201227486.79893059</v>
      </c>
      <c r="O627" s="155">
        <f t="shared" si="101"/>
        <v>0</v>
      </c>
      <c r="P627" s="155">
        <f>IF(O627=1,SUM($O$6:O627),0)</f>
        <v>0</v>
      </c>
    </row>
    <row r="628" spans="1:16" ht="15" customHeight="1">
      <c r="A628" s="15"/>
      <c r="B628" s="194">
        <v>11</v>
      </c>
      <c r="C628" s="109" t="s">
        <v>1080</v>
      </c>
      <c r="D628" s="213" t="s">
        <v>47</v>
      </c>
      <c r="E628" s="214" t="s">
        <v>8</v>
      </c>
      <c r="F628" s="215">
        <v>38499.54</v>
      </c>
      <c r="G628" s="215">
        <v>38499.54</v>
      </c>
      <c r="H628" s="175"/>
      <c r="I628" s="88">
        <f t="shared" si="97"/>
        <v>38499.54</v>
      </c>
      <c r="J628" s="163">
        <f t="shared" si="98"/>
        <v>0</v>
      </c>
      <c r="K628" s="155">
        <f t="shared" si="9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100"/>
        <v>201227487.79893059</v>
      </c>
      <c r="O628" s="155">
        <f t="shared" si="101"/>
        <v>0</v>
      </c>
      <c r="P628" s="155">
        <f>IF(O628=1,SUM($O$6:O628),0)</f>
        <v>0</v>
      </c>
    </row>
    <row r="629" spans="1:16" ht="15" customHeight="1">
      <c r="A629" s="15"/>
      <c r="B629" s="194">
        <v>12</v>
      </c>
      <c r="C629" s="109" t="s">
        <v>1081</v>
      </c>
      <c r="D629" s="213" t="s">
        <v>47</v>
      </c>
      <c r="E629" s="214" t="s">
        <v>7</v>
      </c>
      <c r="F629" s="215">
        <v>31720</v>
      </c>
      <c r="G629" s="215">
        <v>31720</v>
      </c>
      <c r="H629" s="175"/>
      <c r="I629" s="88">
        <f t="shared" si="97"/>
        <v>31720</v>
      </c>
      <c r="J629" s="163">
        <f t="shared" si="98"/>
        <v>0</v>
      </c>
      <c r="K629" s="155">
        <f t="shared" si="9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100"/>
        <v>201227488.79893059</v>
      </c>
      <c r="O629" s="155">
        <f t="shared" si="101"/>
        <v>0</v>
      </c>
      <c r="P629" s="155">
        <f>IF(O629=1,SUM($O$6:O629),0)</f>
        <v>0</v>
      </c>
    </row>
    <row r="630" spans="1:16" ht="15" customHeight="1">
      <c r="A630" s="15"/>
      <c r="B630" s="194">
        <v>13</v>
      </c>
      <c r="C630" s="109" t="s">
        <v>1082</v>
      </c>
      <c r="D630" s="213" t="s">
        <v>47</v>
      </c>
      <c r="E630" s="214" t="s">
        <v>7</v>
      </c>
      <c r="F630" s="215">
        <v>51240</v>
      </c>
      <c r="G630" s="215">
        <v>51240</v>
      </c>
      <c r="H630" s="175"/>
      <c r="I630" s="88">
        <f t="shared" si="97"/>
        <v>51240</v>
      </c>
      <c r="J630" s="163">
        <f t="shared" si="98"/>
        <v>0</v>
      </c>
      <c r="K630" s="155">
        <f t="shared" si="9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100"/>
        <v>201227489.79893059</v>
      </c>
      <c r="O630" s="155">
        <f t="shared" si="101"/>
        <v>0</v>
      </c>
      <c r="P630" s="155">
        <f>IF(O630=1,SUM($O$6:O630),0)</f>
        <v>0</v>
      </c>
    </row>
    <row r="631" spans="1:16" ht="15" customHeight="1">
      <c r="A631" s="15"/>
      <c r="B631" s="194">
        <v>14</v>
      </c>
      <c r="C631" s="109" t="s">
        <v>1083</v>
      </c>
      <c r="D631" s="213" t="s">
        <v>47</v>
      </c>
      <c r="E631" s="214" t="s">
        <v>8</v>
      </c>
      <c r="F631" s="215">
        <v>3477</v>
      </c>
      <c r="G631" s="215">
        <v>3477</v>
      </c>
      <c r="H631" s="175"/>
      <c r="I631" s="88">
        <f t="shared" si="97"/>
        <v>3477</v>
      </c>
      <c r="J631" s="163">
        <f t="shared" si="98"/>
        <v>0</v>
      </c>
      <c r="K631" s="155">
        <f t="shared" si="9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100"/>
        <v>201227490.79893059</v>
      </c>
      <c r="O631" s="155">
        <f t="shared" si="101"/>
        <v>0</v>
      </c>
      <c r="P631" s="155">
        <f>IF(O631=1,SUM($O$6:O631),0)</f>
        <v>0</v>
      </c>
    </row>
    <row r="632" spans="1:16" ht="15" customHeight="1">
      <c r="A632" s="15"/>
      <c r="B632" s="194">
        <v>15</v>
      </c>
      <c r="C632" s="109" t="s">
        <v>1084</v>
      </c>
      <c r="D632" s="213" t="s">
        <v>47</v>
      </c>
      <c r="E632" s="214" t="s">
        <v>8</v>
      </c>
      <c r="F632" s="215">
        <v>3477</v>
      </c>
      <c r="G632" s="215">
        <v>3477</v>
      </c>
      <c r="H632" s="175"/>
      <c r="I632" s="88">
        <f t="shared" si="97"/>
        <v>3477</v>
      </c>
      <c r="J632" s="163">
        <f t="shared" si="98"/>
        <v>0</v>
      </c>
      <c r="K632" s="155">
        <f t="shared" si="9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100"/>
        <v>201227491.79893059</v>
      </c>
      <c r="O632" s="155">
        <f t="shared" si="101"/>
        <v>0</v>
      </c>
      <c r="P632" s="155">
        <f>IF(O632=1,SUM($O$6:O632),0)</f>
        <v>0</v>
      </c>
    </row>
    <row r="633" spans="1:16" ht="15" customHeight="1">
      <c r="A633" s="15"/>
      <c r="B633" s="194">
        <v>16</v>
      </c>
      <c r="C633" s="109" t="s">
        <v>1085</v>
      </c>
      <c r="D633" s="213" t="s">
        <v>47</v>
      </c>
      <c r="E633" s="214" t="s">
        <v>8</v>
      </c>
      <c r="F633" s="176">
        <v>5531.48</v>
      </c>
      <c r="G633" s="176">
        <v>5531.48</v>
      </c>
      <c r="H633" s="175"/>
      <c r="I633" s="88">
        <f t="shared" si="97"/>
        <v>5531.48</v>
      </c>
      <c r="J633" s="163">
        <f t="shared" si="98"/>
        <v>0</v>
      </c>
      <c r="K633" s="155">
        <f t="shared" si="9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100"/>
        <v>201227492.79893059</v>
      </c>
      <c r="O633" s="155">
        <f t="shared" si="101"/>
        <v>0</v>
      </c>
      <c r="P633" s="155">
        <f>IF(O633=1,SUM($O$6:O633),0)</f>
        <v>0</v>
      </c>
    </row>
    <row r="634" spans="1:16" ht="15" customHeight="1">
      <c r="A634" s="15"/>
      <c r="B634" s="194">
        <v>17</v>
      </c>
      <c r="C634" s="109" t="s">
        <v>1168</v>
      </c>
      <c r="D634" s="213" t="s">
        <v>47</v>
      </c>
      <c r="E634" s="214" t="s">
        <v>7</v>
      </c>
      <c r="F634" s="176">
        <v>15000</v>
      </c>
      <c r="G634" s="176">
        <v>15000</v>
      </c>
      <c r="H634" s="175"/>
      <c r="I634" s="88">
        <f t="shared" si="97"/>
        <v>15000</v>
      </c>
      <c r="J634" s="163">
        <f t="shared" si="98"/>
        <v>0</v>
      </c>
      <c r="K634" s="155">
        <f t="shared" si="9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100"/>
        <v>201227493.79893059</v>
      </c>
      <c r="O634" s="155">
        <f t="shared" si="101"/>
        <v>0</v>
      </c>
      <c r="P634" s="155">
        <f>IF(O634=1,SUM($O$6:O634),0)</f>
        <v>0</v>
      </c>
    </row>
    <row r="635" spans="1:16" ht="15" customHeight="1">
      <c r="A635" s="15"/>
      <c r="B635" s="194">
        <v>18</v>
      </c>
      <c r="C635" s="109" t="s">
        <v>1086</v>
      </c>
      <c r="D635" s="213" t="s">
        <v>47</v>
      </c>
      <c r="E635" s="214" t="s">
        <v>8</v>
      </c>
      <c r="F635" s="215">
        <v>154106.74</v>
      </c>
      <c r="G635" s="215">
        <v>154106.74</v>
      </c>
      <c r="H635" s="175"/>
      <c r="I635" s="88">
        <f t="shared" si="97"/>
        <v>154106.74</v>
      </c>
      <c r="J635" s="163">
        <f t="shared" si="98"/>
        <v>0</v>
      </c>
      <c r="K635" s="155">
        <f t="shared" si="9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100"/>
        <v>201227494.79893059</v>
      </c>
      <c r="O635" s="155">
        <f t="shared" si="101"/>
        <v>0</v>
      </c>
      <c r="P635" s="155">
        <f>IF(O635=1,SUM($O$6:O635),0)</f>
        <v>0</v>
      </c>
    </row>
    <row r="636" spans="1:16" ht="15" customHeight="1">
      <c r="A636" s="15"/>
      <c r="B636" s="194">
        <v>19</v>
      </c>
      <c r="C636" s="109" t="s">
        <v>1087</v>
      </c>
      <c r="D636" s="213" t="s">
        <v>47</v>
      </c>
      <c r="E636" s="214" t="s">
        <v>8</v>
      </c>
      <c r="F636" s="215">
        <v>16226</v>
      </c>
      <c r="G636" s="215">
        <v>16226</v>
      </c>
      <c r="H636" s="175"/>
      <c r="I636" s="88">
        <f t="shared" si="97"/>
        <v>16226</v>
      </c>
      <c r="J636" s="163">
        <f t="shared" si="98"/>
        <v>0</v>
      </c>
      <c r="K636" s="155">
        <f t="shared" si="9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100"/>
        <v>201227495.79893059</v>
      </c>
      <c r="O636" s="155">
        <f t="shared" si="101"/>
        <v>0</v>
      </c>
      <c r="P636" s="155">
        <f>IF(O636=1,SUM($O$6:O636),0)</f>
        <v>0</v>
      </c>
    </row>
    <row r="637" spans="1:16" ht="15" customHeight="1">
      <c r="A637" s="15"/>
      <c r="B637" s="194">
        <v>20</v>
      </c>
      <c r="C637" s="109" t="s">
        <v>1088</v>
      </c>
      <c r="D637" s="213" t="s">
        <v>47</v>
      </c>
      <c r="E637" s="214" t="s">
        <v>8</v>
      </c>
      <c r="F637" s="215">
        <v>61732</v>
      </c>
      <c r="G637" s="215">
        <v>61732</v>
      </c>
      <c r="H637" s="175"/>
      <c r="I637" s="88">
        <f t="shared" si="97"/>
        <v>61732</v>
      </c>
      <c r="J637" s="163">
        <f t="shared" si="98"/>
        <v>0</v>
      </c>
      <c r="K637" s="155">
        <f t="shared" si="9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100"/>
        <v>201227496.79893059</v>
      </c>
      <c r="O637" s="155">
        <f t="shared" si="101"/>
        <v>0</v>
      </c>
      <c r="P637" s="155">
        <f>IF(O637=1,SUM($O$6:O637),0)</f>
        <v>0</v>
      </c>
    </row>
    <row r="638" spans="1:16" ht="15" customHeight="1">
      <c r="A638" s="15"/>
      <c r="B638" s="194">
        <v>21</v>
      </c>
      <c r="C638" s="109" t="s">
        <v>1089</v>
      </c>
      <c r="D638" s="213" t="s">
        <v>47</v>
      </c>
      <c r="E638" s="214" t="s">
        <v>8</v>
      </c>
      <c r="F638" s="215">
        <v>34299.08</v>
      </c>
      <c r="G638" s="215">
        <v>34299.08</v>
      </c>
      <c r="H638" s="175"/>
      <c r="I638" s="88">
        <f t="shared" si="97"/>
        <v>34299.08</v>
      </c>
      <c r="J638" s="163">
        <f t="shared" si="98"/>
        <v>0</v>
      </c>
      <c r="K638" s="155">
        <f t="shared" si="9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100"/>
        <v>201227497.79893059</v>
      </c>
      <c r="O638" s="155">
        <f t="shared" si="101"/>
        <v>0</v>
      </c>
      <c r="P638" s="155">
        <f>IF(O638=1,SUM($O$6:O638),0)</f>
        <v>0</v>
      </c>
    </row>
    <row r="639" spans="1:16" ht="15" customHeight="1">
      <c r="A639" s="15"/>
      <c r="B639" s="194">
        <v>22</v>
      </c>
      <c r="C639" s="109" t="s">
        <v>1090</v>
      </c>
      <c r="D639" s="213" t="s">
        <v>47</v>
      </c>
      <c r="E639" s="214" t="s">
        <v>8</v>
      </c>
      <c r="F639" s="215">
        <v>19825</v>
      </c>
      <c r="G639" s="215">
        <v>19825</v>
      </c>
      <c r="H639" s="175"/>
      <c r="I639" s="88">
        <f t="shared" si="97"/>
        <v>19825</v>
      </c>
      <c r="J639" s="163">
        <f t="shared" si="98"/>
        <v>0</v>
      </c>
      <c r="K639" s="155">
        <f t="shared" si="9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100"/>
        <v>201227498.79893059</v>
      </c>
      <c r="O639" s="155">
        <f t="shared" si="101"/>
        <v>0</v>
      </c>
      <c r="P639" s="155">
        <f>IF(O639=1,SUM($O$6:O639),0)</f>
        <v>0</v>
      </c>
    </row>
    <row r="640" spans="1:16" ht="15" customHeight="1">
      <c r="A640" s="15"/>
      <c r="B640" s="194">
        <v>23</v>
      </c>
      <c r="C640" s="109" t="s">
        <v>1091</v>
      </c>
      <c r="D640" s="213" t="s">
        <v>47</v>
      </c>
      <c r="E640" s="214" t="s">
        <v>8</v>
      </c>
      <c r="F640" s="215">
        <v>5874300</v>
      </c>
      <c r="G640" s="215">
        <v>5874300</v>
      </c>
      <c r="H640" s="175"/>
      <c r="I640" s="88">
        <f>IF($I$5=$G$4,G640,(IF($I$5=$F$4,F640,0)))</f>
        <v>5874300</v>
      </c>
      <c r="J640" s="163">
        <f t="shared" si="98"/>
        <v>0</v>
      </c>
      <c r="K640" s="155">
        <f t="shared" si="9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100"/>
        <v>201227499.79893059</v>
      </c>
      <c r="O640" s="155">
        <f t="shared" si="101"/>
        <v>0</v>
      </c>
      <c r="P640" s="155">
        <f>IF(O640=1,SUM($O$6:O640),0)</f>
        <v>0</v>
      </c>
    </row>
    <row r="641" spans="1:16" ht="15" customHeight="1">
      <c r="A641" s="15"/>
      <c r="B641" s="194">
        <v>24</v>
      </c>
      <c r="C641" s="109" t="s">
        <v>1092</v>
      </c>
      <c r="D641" s="213" t="s">
        <v>47</v>
      </c>
      <c r="E641" s="214" t="s">
        <v>8</v>
      </c>
      <c r="F641" s="215">
        <v>23180</v>
      </c>
      <c r="G641" s="215">
        <v>23180</v>
      </c>
      <c r="H641" s="171"/>
      <c r="I641" s="88">
        <f t="shared" si="97"/>
        <v>23180</v>
      </c>
      <c r="J641" s="163">
        <f t="shared" si="98"/>
        <v>0</v>
      </c>
      <c r="K641" s="155">
        <f t="shared" si="9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100"/>
        <v>201227500.79893059</v>
      </c>
      <c r="O641" s="155">
        <f t="shared" si="101"/>
        <v>0</v>
      </c>
      <c r="P641" s="155">
        <f>IF(O641=1,SUM($O$6:O641),0)</f>
        <v>0</v>
      </c>
    </row>
    <row r="642" spans="1:16" ht="15" customHeight="1">
      <c r="A642" s="15"/>
      <c r="B642" s="194">
        <v>25</v>
      </c>
      <c r="C642" s="109" t="s">
        <v>1093</v>
      </c>
      <c r="D642" s="213" t="s">
        <v>47</v>
      </c>
      <c r="E642" s="214" t="s">
        <v>8</v>
      </c>
      <c r="F642" s="215">
        <v>482893.08</v>
      </c>
      <c r="G642" s="215">
        <v>482893.08</v>
      </c>
      <c r="H642" s="171"/>
      <c r="I642" s="88">
        <f t="shared" si="97"/>
        <v>482893.08</v>
      </c>
      <c r="J642" s="163">
        <f t="shared" si="98"/>
        <v>0</v>
      </c>
      <c r="K642" s="155">
        <f t="shared" si="9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100"/>
        <v>201227501.79893059</v>
      </c>
      <c r="O642" s="155">
        <f t="shared" si="101"/>
        <v>0</v>
      </c>
      <c r="P642" s="155">
        <f>IF(O642=1,SUM($O$6:O642),0)</f>
        <v>0</v>
      </c>
    </row>
    <row r="643" spans="1:16" ht="15" customHeight="1">
      <c r="A643" s="15"/>
      <c r="B643" s="194"/>
      <c r="C643" s="109"/>
      <c r="D643" s="213" t="s">
        <v>50</v>
      </c>
      <c r="E643" s="214"/>
      <c r="F643" s="215"/>
      <c r="G643" s="215"/>
      <c r="H643" s="171"/>
      <c r="I643" s="88">
        <f t="shared" si="97"/>
        <v>0</v>
      </c>
      <c r="J643" s="163">
        <f t="shared" si="98"/>
        <v>0</v>
      </c>
      <c r="K643" s="155">
        <f t="shared" si="9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100"/>
        <v>0</v>
      </c>
      <c r="O643" s="155">
        <f t="shared" si="101"/>
        <v>0</v>
      </c>
      <c r="P643" s="155">
        <f>IF(O643=1,SUM($O$6:O643),0)</f>
        <v>0</v>
      </c>
    </row>
    <row r="644" spans="1:16" ht="15" customHeight="1">
      <c r="A644" s="15"/>
      <c r="B644" s="194" t="s">
        <v>1006</v>
      </c>
      <c r="C644" s="109" t="s">
        <v>1108</v>
      </c>
      <c r="D644" s="213" t="s">
        <v>50</v>
      </c>
      <c r="E644" s="214"/>
      <c r="F644" s="215" t="s">
        <v>50</v>
      </c>
      <c r="G644" s="215" t="s">
        <v>50</v>
      </c>
      <c r="H644" s="171"/>
      <c r="I644" s="88" t="str">
        <f t="shared" si="97"/>
        <v/>
      </c>
      <c r="J644" s="163">
        <f t="shared" si="98"/>
        <v>0</v>
      </c>
      <c r="K644" s="155">
        <f t="shared" si="9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100"/>
        <v>0</v>
      </c>
      <c r="O644" s="155">
        <f t="shared" si="101"/>
        <v>0</v>
      </c>
      <c r="P644" s="155">
        <f>IF(O644=1,SUM($O$6:O644),0)</f>
        <v>0</v>
      </c>
    </row>
    <row r="645" spans="1:16" ht="15" customHeight="1">
      <c r="A645" s="15"/>
      <c r="B645" s="194" t="s">
        <v>1194</v>
      </c>
      <c r="C645" s="109" t="s">
        <v>1351</v>
      </c>
      <c r="D645" s="213" t="s">
        <v>50</v>
      </c>
      <c r="E645" s="214"/>
      <c r="F645" s="215" t="s">
        <v>50</v>
      </c>
      <c r="G645" s="215" t="s">
        <v>50</v>
      </c>
      <c r="H645" s="171"/>
      <c r="I645" s="88" t="str">
        <f t="shared" si="97"/>
        <v/>
      </c>
      <c r="J645" s="163">
        <f t="shared" si="98"/>
        <v>0</v>
      </c>
      <c r="K645" s="155">
        <f t="shared" si="9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100"/>
        <v>0</v>
      </c>
      <c r="O645" s="155">
        <f t="shared" si="101"/>
        <v>0</v>
      </c>
      <c r="P645" s="155">
        <f>IF(O645=1,SUM($O$6:O645),0)</f>
        <v>0</v>
      </c>
    </row>
    <row r="646" spans="1:16" ht="15" customHeight="1">
      <c r="A646" s="15"/>
      <c r="B646" s="194">
        <v>1</v>
      </c>
      <c r="C646" s="109" t="s">
        <v>1109</v>
      </c>
      <c r="D646" s="213" t="s">
        <v>49</v>
      </c>
      <c r="E646" s="214" t="s">
        <v>1125</v>
      </c>
      <c r="F646" s="215">
        <v>300000</v>
      </c>
      <c r="G646" s="215">
        <v>300000</v>
      </c>
      <c r="H646" s="171"/>
      <c r="I646" s="88">
        <f t="shared" si="97"/>
        <v>300000</v>
      </c>
      <c r="J646" s="163">
        <f t="shared" si="98"/>
        <v>0</v>
      </c>
      <c r="K646" s="155">
        <f t="shared" si="9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100"/>
        <v>0</v>
      </c>
      <c r="O646" s="155">
        <f t="shared" si="101"/>
        <v>0</v>
      </c>
      <c r="P646" s="155">
        <f>IF(O646=1,SUM($O$6:O646),0)</f>
        <v>0</v>
      </c>
    </row>
    <row r="647" spans="1:16" ht="15" customHeight="1">
      <c r="A647" s="15"/>
      <c r="B647" s="194">
        <v>2</v>
      </c>
      <c r="C647" s="109" t="s">
        <v>1110</v>
      </c>
      <c r="D647" s="213" t="s">
        <v>49</v>
      </c>
      <c r="E647" s="214" t="s">
        <v>1126</v>
      </c>
      <c r="F647" s="215">
        <v>95147.5</v>
      </c>
      <c r="G647" s="215">
        <v>95147.5</v>
      </c>
      <c r="H647" s="171"/>
      <c r="I647" s="88">
        <f t="shared" si="97"/>
        <v>95147.5</v>
      </c>
      <c r="J647" s="163">
        <f t="shared" si="98"/>
        <v>0</v>
      </c>
      <c r="K647" s="155">
        <f t="shared" si="9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100"/>
        <v>0</v>
      </c>
      <c r="O647" s="155">
        <f t="shared" si="101"/>
        <v>0</v>
      </c>
      <c r="P647" s="155">
        <f>IF(O647=1,SUM($O$6:O647),0)</f>
        <v>0</v>
      </c>
    </row>
    <row r="648" spans="1:16" ht="15" customHeight="1">
      <c r="A648" s="15"/>
      <c r="B648" s="194">
        <v>3</v>
      </c>
      <c r="C648" s="109" t="s">
        <v>1111</v>
      </c>
      <c r="D648" s="213" t="s">
        <v>49</v>
      </c>
      <c r="E648" s="214" t="s">
        <v>1127</v>
      </c>
      <c r="F648" s="215">
        <v>74125</v>
      </c>
      <c r="G648" s="215">
        <v>74125</v>
      </c>
      <c r="H648" s="171"/>
      <c r="I648" s="88">
        <f t="shared" si="97"/>
        <v>74125</v>
      </c>
      <c r="J648" s="163">
        <f t="shared" si="98"/>
        <v>0</v>
      </c>
      <c r="K648" s="155">
        <f t="shared" si="9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100"/>
        <v>0</v>
      </c>
      <c r="O648" s="155">
        <f t="shared" si="101"/>
        <v>0</v>
      </c>
      <c r="P648" s="155">
        <f>IF(O648=1,SUM($O$6:O648),0)</f>
        <v>0</v>
      </c>
    </row>
    <row r="649" spans="1:16" ht="15" customHeight="1">
      <c r="A649" s="15"/>
      <c r="B649" s="194">
        <v>4</v>
      </c>
      <c r="C649" s="109" t="s">
        <v>1112</v>
      </c>
      <c r="D649" s="213" t="s">
        <v>49</v>
      </c>
      <c r="E649" s="214" t="s">
        <v>1127</v>
      </c>
      <c r="F649" s="215">
        <v>150000</v>
      </c>
      <c r="G649" s="215">
        <v>150000</v>
      </c>
      <c r="H649" s="171"/>
      <c r="I649" s="88">
        <f t="shared" si="97"/>
        <v>150000</v>
      </c>
      <c r="J649" s="163">
        <f t="shared" si="98"/>
        <v>0</v>
      </c>
      <c r="K649" s="155">
        <f t="shared" si="9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100"/>
        <v>0</v>
      </c>
      <c r="O649" s="155">
        <f t="shared" si="101"/>
        <v>0</v>
      </c>
      <c r="P649" s="155">
        <f>IF(O649=1,SUM($O$6:O649),0)</f>
        <v>0</v>
      </c>
    </row>
    <row r="650" spans="1:16" ht="15" customHeight="1">
      <c r="A650" s="15"/>
      <c r="B650" s="194">
        <v>5</v>
      </c>
      <c r="C650" s="109" t="s">
        <v>1113</v>
      </c>
      <c r="D650" s="213" t="s">
        <v>47</v>
      </c>
      <c r="E650" s="214" t="s">
        <v>1127</v>
      </c>
      <c r="F650" s="215">
        <v>242999.99999999997</v>
      </c>
      <c r="G650" s="215">
        <v>242999.99999999997</v>
      </c>
      <c r="H650" s="171"/>
      <c r="I650" s="88">
        <f t="shared" si="97"/>
        <v>242999.99999999997</v>
      </c>
      <c r="J650" s="163">
        <f t="shared" si="98"/>
        <v>0</v>
      </c>
      <c r="K650" s="155">
        <f t="shared" si="9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100"/>
        <v>201227502.79893059</v>
      </c>
      <c r="O650" s="155">
        <f t="shared" si="101"/>
        <v>0</v>
      </c>
      <c r="P650" s="155">
        <f>IF(O650=1,SUM($O$6:O650),0)</f>
        <v>0</v>
      </c>
    </row>
    <row r="651" spans="1:16" ht="15" customHeight="1">
      <c r="A651" s="15"/>
      <c r="B651" s="194">
        <v>6</v>
      </c>
      <c r="C651" s="109" t="s">
        <v>1114</v>
      </c>
      <c r="D651" s="213" t="s">
        <v>47</v>
      </c>
      <c r="E651" s="214" t="s">
        <v>1127</v>
      </c>
      <c r="F651" s="215">
        <v>1124962.5</v>
      </c>
      <c r="G651" s="215">
        <v>1124962.5</v>
      </c>
      <c r="H651" s="171"/>
      <c r="I651" s="88">
        <f t="shared" si="97"/>
        <v>1124962.5</v>
      </c>
      <c r="J651" s="163">
        <f t="shared" si="98"/>
        <v>0</v>
      </c>
      <c r="K651" s="155">
        <f t="shared" si="9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100"/>
        <v>201227503.79893059</v>
      </c>
      <c r="O651" s="155">
        <f t="shared" si="101"/>
        <v>0</v>
      </c>
      <c r="P651" s="155">
        <f>IF(O651=1,SUM($O$6:O651),0)</f>
        <v>0</v>
      </c>
    </row>
    <row r="652" spans="1:16" ht="15" customHeight="1">
      <c r="A652" s="15"/>
      <c r="B652" s="194">
        <v>7</v>
      </c>
      <c r="C652" s="109" t="s">
        <v>1115</v>
      </c>
      <c r="D652" s="213" t="s">
        <v>47</v>
      </c>
      <c r="E652" s="214" t="s">
        <v>1127</v>
      </c>
      <c r="F652" s="215">
        <v>5065452.75</v>
      </c>
      <c r="G652" s="215">
        <v>5065452.75</v>
      </c>
      <c r="H652" s="171"/>
      <c r="I652" s="88">
        <f t="shared" si="97"/>
        <v>5065452.75</v>
      </c>
      <c r="J652" s="163">
        <f t="shared" si="98"/>
        <v>0</v>
      </c>
      <c r="K652" s="155">
        <f t="shared" si="9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100"/>
        <v>201227504.79893059</v>
      </c>
      <c r="O652" s="155">
        <f t="shared" si="101"/>
        <v>0</v>
      </c>
      <c r="P652" s="155">
        <f>IF(O652=1,SUM($O$6:O652),0)</f>
        <v>0</v>
      </c>
    </row>
    <row r="653" spans="1:16" ht="15" customHeight="1">
      <c r="A653" s="15"/>
      <c r="B653" s="194">
        <v>8</v>
      </c>
      <c r="C653" s="109" t="s">
        <v>1116</v>
      </c>
      <c r="D653" s="213" t="s">
        <v>47</v>
      </c>
      <c r="E653" s="214" t="s">
        <v>1127</v>
      </c>
      <c r="F653" s="215">
        <v>5065452.75</v>
      </c>
      <c r="G653" s="215">
        <v>5065452.75</v>
      </c>
      <c r="H653" s="171"/>
      <c r="I653" s="88">
        <f t="shared" si="97"/>
        <v>5065452.75</v>
      </c>
      <c r="J653" s="163">
        <f t="shared" si="98"/>
        <v>0</v>
      </c>
      <c r="K653" s="155">
        <f t="shared" si="9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100"/>
        <v>201227505.79893059</v>
      </c>
      <c r="O653" s="155">
        <f t="shared" si="101"/>
        <v>0</v>
      </c>
      <c r="P653" s="155">
        <f>IF(O653=1,SUM($O$6:O653),0)</f>
        <v>0</v>
      </c>
    </row>
    <row r="654" spans="1:16" ht="15" customHeight="1">
      <c r="A654" s="15"/>
      <c r="B654" s="194">
        <v>9</v>
      </c>
      <c r="C654" s="109" t="s">
        <v>1117</v>
      </c>
      <c r="D654" s="213" t="s">
        <v>47</v>
      </c>
      <c r="E654" s="214" t="s">
        <v>1128</v>
      </c>
      <c r="F654" s="215">
        <v>185000</v>
      </c>
      <c r="G654" s="215">
        <v>185000</v>
      </c>
      <c r="H654" s="171"/>
      <c r="I654" s="88">
        <f t="shared" si="97"/>
        <v>185000</v>
      </c>
      <c r="J654" s="163">
        <f t="shared" si="98"/>
        <v>0</v>
      </c>
      <c r="K654" s="155">
        <f t="shared" si="9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100"/>
        <v>201227506.79893059</v>
      </c>
      <c r="O654" s="155">
        <f t="shared" si="101"/>
        <v>0</v>
      </c>
      <c r="P654" s="155">
        <f>IF(O654=1,SUM($O$6:O654),0)</f>
        <v>0</v>
      </c>
    </row>
    <row r="655" spans="1:16" ht="15" customHeight="1">
      <c r="A655" s="15"/>
      <c r="B655" s="194"/>
      <c r="C655" s="109" t="s">
        <v>50</v>
      </c>
      <c r="D655" s="213" t="s">
        <v>50</v>
      </c>
      <c r="E655" s="214"/>
      <c r="F655" s="215"/>
      <c r="G655" s="215"/>
      <c r="H655" s="171"/>
      <c r="I655" s="88">
        <f t="shared" si="97"/>
        <v>0</v>
      </c>
      <c r="J655" s="163">
        <f t="shared" si="98"/>
        <v>0</v>
      </c>
      <c r="K655" s="155">
        <f t="shared" si="9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100"/>
        <v>0</v>
      </c>
      <c r="O655" s="155">
        <f t="shared" si="101"/>
        <v>0</v>
      </c>
      <c r="P655" s="155">
        <f>IF(O655=1,SUM($O$6:O655),0)</f>
        <v>0</v>
      </c>
    </row>
    <row r="656" spans="1:16" ht="15" customHeight="1">
      <c r="A656" s="15"/>
      <c r="B656" s="194" t="s">
        <v>1195</v>
      </c>
      <c r="C656" s="109" t="s">
        <v>1118</v>
      </c>
      <c r="D656" s="213" t="s">
        <v>50</v>
      </c>
      <c r="E656" s="214"/>
      <c r="F656" s="215"/>
      <c r="G656" s="215"/>
      <c r="H656" s="171"/>
      <c r="I656" s="88">
        <f t="shared" si="97"/>
        <v>0</v>
      </c>
      <c r="J656" s="163">
        <f t="shared" si="98"/>
        <v>0</v>
      </c>
      <c r="K656" s="155">
        <f t="shared" si="9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100"/>
        <v>0</v>
      </c>
      <c r="O656" s="155">
        <f t="shared" si="101"/>
        <v>0</v>
      </c>
      <c r="P656" s="155">
        <f>IF(O656=1,SUM($O$6:O656),0)</f>
        <v>0</v>
      </c>
    </row>
    <row r="657" spans="1:16" ht="15" customHeight="1">
      <c r="A657" s="15"/>
      <c r="B657" s="194">
        <v>1</v>
      </c>
      <c r="C657" s="109" t="s">
        <v>1119</v>
      </c>
      <c r="D657" s="213" t="s">
        <v>49</v>
      </c>
      <c r="E657" s="214" t="s">
        <v>7</v>
      </c>
      <c r="F657" s="215">
        <v>200000</v>
      </c>
      <c r="G657" s="215">
        <v>200000</v>
      </c>
      <c r="H657" s="171"/>
      <c r="I657" s="88">
        <f t="shared" si="97"/>
        <v>200000</v>
      </c>
      <c r="J657" s="163">
        <f t="shared" si="98"/>
        <v>0</v>
      </c>
      <c r="K657" s="155">
        <f t="shared" si="9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100"/>
        <v>0</v>
      </c>
      <c r="O657" s="155">
        <f t="shared" si="101"/>
        <v>0</v>
      </c>
      <c r="P657" s="155">
        <f>IF(O657=1,SUM($O$6:O657),0)</f>
        <v>0</v>
      </c>
    </row>
    <row r="658" spans="1:16" ht="15" customHeight="1">
      <c r="A658" s="15"/>
      <c r="B658" s="194">
        <v>2</v>
      </c>
      <c r="C658" s="109" t="s">
        <v>1120</v>
      </c>
      <c r="D658" s="213" t="s">
        <v>49</v>
      </c>
      <c r="E658" s="214" t="s">
        <v>1127</v>
      </c>
      <c r="F658" s="215">
        <v>230000</v>
      </c>
      <c r="G658" s="215">
        <v>230000</v>
      </c>
      <c r="H658" s="171"/>
      <c r="I658" s="88">
        <f t="shared" si="97"/>
        <v>230000</v>
      </c>
      <c r="J658" s="163">
        <f t="shared" si="98"/>
        <v>0</v>
      </c>
      <c r="K658" s="155">
        <f t="shared" si="9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100"/>
        <v>0</v>
      </c>
      <c r="O658" s="155">
        <f t="shared" si="101"/>
        <v>0</v>
      </c>
      <c r="P658" s="155">
        <f>IF(O658=1,SUM($O$6:O658),0)</f>
        <v>0</v>
      </c>
    </row>
    <row r="659" spans="1:16" ht="15" customHeight="1">
      <c r="A659" s="15"/>
      <c r="B659" s="194">
        <v>3</v>
      </c>
      <c r="C659" s="109" t="s">
        <v>1121</v>
      </c>
      <c r="D659" s="213" t="s">
        <v>49</v>
      </c>
      <c r="E659" s="214" t="s">
        <v>1127</v>
      </c>
      <c r="F659" s="215">
        <v>55000</v>
      </c>
      <c r="G659" s="215">
        <v>55000</v>
      </c>
      <c r="H659" s="171"/>
      <c r="I659" s="88">
        <f t="shared" si="97"/>
        <v>55000</v>
      </c>
      <c r="J659" s="163">
        <f t="shared" ref="J659:J722" si="102">IF(D659="MDU-KD",1,0)</f>
        <v>0</v>
      </c>
      <c r="K659" s="155">
        <f t="shared" ref="K659:K722" si="10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104">IF(L659=0,M659,L659)</f>
        <v>0</v>
      </c>
      <c r="O659" s="155">
        <f t="shared" ref="O659:O722" si="10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94">
        <v>4</v>
      </c>
      <c r="C660" s="109" t="s">
        <v>1122</v>
      </c>
      <c r="D660" s="213" t="s">
        <v>49</v>
      </c>
      <c r="E660" s="214" t="s">
        <v>7</v>
      </c>
      <c r="F660" s="215">
        <v>93000</v>
      </c>
      <c r="G660" s="215">
        <v>93000</v>
      </c>
      <c r="H660" s="171"/>
      <c r="I660" s="88">
        <f t="shared" si="97"/>
        <v>93000</v>
      </c>
      <c r="J660" s="163">
        <f t="shared" si="102"/>
        <v>0</v>
      </c>
      <c r="K660" s="155">
        <f t="shared" si="10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104"/>
        <v>0</v>
      </c>
      <c r="O660" s="155">
        <f t="shared" si="105"/>
        <v>0</v>
      </c>
      <c r="P660" s="155">
        <f>IF(O660=1,SUM($O$6:O660),0)</f>
        <v>0</v>
      </c>
    </row>
    <row r="661" spans="1:16" ht="15" customHeight="1">
      <c r="A661" s="15"/>
      <c r="B661" s="194">
        <v>5</v>
      </c>
      <c r="C661" s="109" t="s">
        <v>1123</v>
      </c>
      <c r="D661" s="213" t="s">
        <v>49</v>
      </c>
      <c r="E661" s="214" t="s">
        <v>7</v>
      </c>
      <c r="F661" s="215">
        <v>85000</v>
      </c>
      <c r="G661" s="215">
        <v>85000</v>
      </c>
      <c r="H661" s="171"/>
      <c r="I661" s="88">
        <f t="shared" si="97"/>
        <v>85000</v>
      </c>
      <c r="J661" s="163">
        <f t="shared" si="102"/>
        <v>0</v>
      </c>
      <c r="K661" s="155">
        <f t="shared" si="10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104"/>
        <v>0</v>
      </c>
      <c r="O661" s="155">
        <f t="shared" si="105"/>
        <v>0</v>
      </c>
      <c r="P661" s="155">
        <f>IF(O661=1,SUM($O$6:O661),0)</f>
        <v>0</v>
      </c>
    </row>
    <row r="662" spans="1:16" ht="15" customHeight="1">
      <c r="A662" s="15"/>
      <c r="B662" s="194"/>
      <c r="C662" s="109" t="s">
        <v>50</v>
      </c>
      <c r="D662" s="213" t="s">
        <v>50</v>
      </c>
      <c r="E662" s="214"/>
      <c r="F662" s="215"/>
      <c r="G662" s="215"/>
      <c r="H662" s="171"/>
      <c r="I662" s="88">
        <f t="shared" si="97"/>
        <v>0</v>
      </c>
      <c r="J662" s="163">
        <f t="shared" si="102"/>
        <v>0</v>
      </c>
      <c r="K662" s="155">
        <f t="shared" si="10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104"/>
        <v>0</v>
      </c>
      <c r="O662" s="155">
        <f t="shared" si="105"/>
        <v>0</v>
      </c>
      <c r="P662" s="155">
        <f>IF(O662=1,SUM($O$6:O662),0)</f>
        <v>0</v>
      </c>
    </row>
    <row r="663" spans="1:16" ht="15" customHeight="1">
      <c r="A663" s="15"/>
      <c r="B663" s="194" t="s">
        <v>1196</v>
      </c>
      <c r="C663" s="109" t="s">
        <v>1124</v>
      </c>
      <c r="D663" s="213" t="s">
        <v>47</v>
      </c>
      <c r="E663" s="214" t="s">
        <v>8</v>
      </c>
      <c r="F663" s="215">
        <v>12000</v>
      </c>
      <c r="G663" s="215">
        <v>12000</v>
      </c>
      <c r="H663" s="171"/>
      <c r="I663" s="88">
        <f t="shared" si="97"/>
        <v>12000</v>
      </c>
      <c r="J663" s="163">
        <f t="shared" si="102"/>
        <v>0</v>
      </c>
      <c r="K663" s="155">
        <f t="shared" si="10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104"/>
        <v>201227507.79893059</v>
      </c>
      <c r="O663" s="155">
        <f t="shared" si="105"/>
        <v>0</v>
      </c>
      <c r="P663" s="155">
        <f>IF(O663=1,SUM($O$6:O663),0)</f>
        <v>0</v>
      </c>
    </row>
    <row r="664" spans="1:16" ht="15" customHeight="1">
      <c r="A664" s="15"/>
      <c r="B664" s="194"/>
      <c r="C664" s="109" t="s">
        <v>50</v>
      </c>
      <c r="D664" s="213" t="s">
        <v>50</v>
      </c>
      <c r="E664" s="214"/>
      <c r="F664" s="215"/>
      <c r="G664" s="215"/>
      <c r="H664" s="171"/>
      <c r="I664" s="88">
        <f t="shared" si="97"/>
        <v>0</v>
      </c>
      <c r="J664" s="163">
        <f t="shared" si="102"/>
        <v>0</v>
      </c>
      <c r="K664" s="155">
        <f t="shared" si="10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104"/>
        <v>0</v>
      </c>
      <c r="O664" s="155">
        <f t="shared" si="105"/>
        <v>0</v>
      </c>
      <c r="P664" s="155">
        <f>IF(O664=1,SUM($O$6:O664),0)</f>
        <v>0</v>
      </c>
    </row>
    <row r="665" spans="1:16" ht="15" customHeight="1">
      <c r="A665" s="15"/>
      <c r="B665" s="194" t="s">
        <v>1062</v>
      </c>
      <c r="C665" s="109" t="s">
        <v>621</v>
      </c>
      <c r="D665" s="213" t="s">
        <v>50</v>
      </c>
      <c r="E665" s="214"/>
      <c r="F665" s="215"/>
      <c r="G665" s="215"/>
      <c r="H665" s="171"/>
      <c r="I665" s="88">
        <f t="shared" si="97"/>
        <v>0</v>
      </c>
      <c r="J665" s="163">
        <f t="shared" si="102"/>
        <v>0</v>
      </c>
      <c r="K665" s="155">
        <f t="shared" si="10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104"/>
        <v>0</v>
      </c>
      <c r="O665" s="155">
        <f t="shared" si="105"/>
        <v>0</v>
      </c>
      <c r="P665" s="155">
        <f>IF(O665=1,SUM($O$6:O665),0)</f>
        <v>0</v>
      </c>
    </row>
    <row r="666" spans="1:16" ht="15" customHeight="1">
      <c r="A666" s="15"/>
      <c r="B666" s="194" t="s">
        <v>1035</v>
      </c>
      <c r="C666" s="109" t="s">
        <v>622</v>
      </c>
      <c r="D666" s="213" t="s">
        <v>50</v>
      </c>
      <c r="E666" s="214"/>
      <c r="F666" s="215"/>
      <c r="G666" s="215"/>
      <c r="H666" s="171"/>
      <c r="I666" s="88">
        <f t="shared" si="97"/>
        <v>0</v>
      </c>
      <c r="J666" s="163">
        <f t="shared" si="102"/>
        <v>0</v>
      </c>
      <c r="K666" s="155">
        <f t="shared" si="10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104"/>
        <v>0</v>
      </c>
      <c r="O666" s="155">
        <f t="shared" si="10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623</v>
      </c>
      <c r="D667" s="213" t="s">
        <v>49</v>
      </c>
      <c r="E667" s="214" t="s">
        <v>14</v>
      </c>
      <c r="F667" s="215">
        <v>19800</v>
      </c>
      <c r="G667" s="215">
        <v>19800</v>
      </c>
      <c r="H667" s="171"/>
      <c r="I667" s="88">
        <f t="shared" si="97"/>
        <v>19800</v>
      </c>
      <c r="J667" s="163">
        <f t="shared" si="102"/>
        <v>0</v>
      </c>
      <c r="K667" s="155">
        <f t="shared" si="10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104"/>
        <v>0</v>
      </c>
      <c r="O667" s="155">
        <f t="shared" si="10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624</v>
      </c>
      <c r="D668" s="213" t="s">
        <v>49</v>
      </c>
      <c r="E668" s="214" t="s">
        <v>14</v>
      </c>
      <c r="F668" s="215">
        <v>20500</v>
      </c>
      <c r="G668" s="215">
        <v>20500</v>
      </c>
      <c r="H668" s="171"/>
      <c r="I668" s="88">
        <f t="shared" si="97"/>
        <v>20500</v>
      </c>
      <c r="J668" s="163">
        <f t="shared" si="102"/>
        <v>0</v>
      </c>
      <c r="K668" s="155">
        <f t="shared" si="10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104"/>
        <v>0</v>
      </c>
      <c r="O668" s="155">
        <f t="shared" si="10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625</v>
      </c>
      <c r="D669" s="213" t="s">
        <v>49</v>
      </c>
      <c r="E669" s="214" t="s">
        <v>14</v>
      </c>
      <c r="F669" s="215">
        <v>27500</v>
      </c>
      <c r="G669" s="215">
        <v>27500</v>
      </c>
      <c r="H669" s="171"/>
      <c r="I669" s="88">
        <f t="shared" si="97"/>
        <v>27500</v>
      </c>
      <c r="J669" s="163">
        <f t="shared" si="102"/>
        <v>0</v>
      </c>
      <c r="K669" s="155">
        <f t="shared" si="10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104"/>
        <v>0</v>
      </c>
      <c r="O669" s="155">
        <f t="shared" si="10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626</v>
      </c>
      <c r="D670" s="213" t="s">
        <v>49</v>
      </c>
      <c r="E670" s="214" t="s">
        <v>14</v>
      </c>
      <c r="F670" s="215">
        <v>14900</v>
      </c>
      <c r="G670" s="215">
        <v>14900</v>
      </c>
      <c r="H670" s="171"/>
      <c r="I670" s="88">
        <f t="shared" si="97"/>
        <v>14900</v>
      </c>
      <c r="J670" s="163">
        <f t="shared" si="102"/>
        <v>0</v>
      </c>
      <c r="K670" s="155">
        <f t="shared" si="10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104"/>
        <v>0</v>
      </c>
      <c r="O670" s="155">
        <f t="shared" si="10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627</v>
      </c>
      <c r="D671" s="213" t="s">
        <v>49</v>
      </c>
      <c r="E671" s="214" t="s">
        <v>14</v>
      </c>
      <c r="F671" s="215">
        <v>27900</v>
      </c>
      <c r="G671" s="215">
        <v>33200</v>
      </c>
      <c r="H671" s="171"/>
      <c r="I671" s="88">
        <f t="shared" si="97"/>
        <v>33200</v>
      </c>
      <c r="J671" s="163">
        <f t="shared" si="102"/>
        <v>0</v>
      </c>
      <c r="K671" s="155">
        <f t="shared" si="10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104"/>
        <v>0</v>
      </c>
      <c r="O671" s="155">
        <f t="shared" si="10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628</v>
      </c>
      <c r="D672" s="213" t="s">
        <v>49</v>
      </c>
      <c r="E672" s="214" t="s">
        <v>14</v>
      </c>
      <c r="F672" s="215">
        <v>33000</v>
      </c>
      <c r="G672" s="215">
        <v>35700</v>
      </c>
      <c r="H672" s="171"/>
      <c r="I672" s="88">
        <f t="shared" si="97"/>
        <v>35700</v>
      </c>
      <c r="J672" s="163">
        <f t="shared" si="102"/>
        <v>0</v>
      </c>
      <c r="K672" s="155">
        <f t="shared" si="10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104"/>
        <v>0</v>
      </c>
      <c r="O672" s="155">
        <f t="shared" si="10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629</v>
      </c>
      <c r="D673" s="213" t="s">
        <v>49</v>
      </c>
      <c r="E673" s="214" t="s">
        <v>14</v>
      </c>
      <c r="F673" s="215">
        <v>27900</v>
      </c>
      <c r="G673" s="215">
        <v>33200</v>
      </c>
      <c r="H673" s="171"/>
      <c r="I673" s="88">
        <f t="shared" si="97"/>
        <v>33200</v>
      </c>
      <c r="J673" s="163">
        <f t="shared" si="102"/>
        <v>0</v>
      </c>
      <c r="K673" s="155">
        <f t="shared" si="10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104"/>
        <v>0</v>
      </c>
      <c r="O673" s="155">
        <f t="shared" si="10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630</v>
      </c>
      <c r="D674" s="213" t="s">
        <v>49</v>
      </c>
      <c r="E674" s="214" t="s">
        <v>14</v>
      </c>
      <c r="F674" s="215">
        <v>37600</v>
      </c>
      <c r="G674" s="215">
        <v>37600</v>
      </c>
      <c r="H674" s="171"/>
      <c r="I674" s="88">
        <f t="shared" si="97"/>
        <v>37600</v>
      </c>
      <c r="J674" s="163">
        <f t="shared" si="102"/>
        <v>0</v>
      </c>
      <c r="K674" s="155">
        <f t="shared" si="10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104"/>
        <v>0</v>
      </c>
      <c r="O674" s="155">
        <f t="shared" si="10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631</v>
      </c>
      <c r="D675" s="213" t="s">
        <v>49</v>
      </c>
      <c r="E675" s="214" t="s">
        <v>14</v>
      </c>
      <c r="F675" s="215">
        <v>27900</v>
      </c>
      <c r="G675" s="215">
        <v>33200</v>
      </c>
      <c r="H675" s="171"/>
      <c r="I675" s="88">
        <f t="shared" si="97"/>
        <v>33200</v>
      </c>
      <c r="J675" s="163">
        <f t="shared" si="102"/>
        <v>0</v>
      </c>
      <c r="K675" s="155">
        <f t="shared" si="10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104"/>
        <v>0</v>
      </c>
      <c r="O675" s="155">
        <f t="shared" si="10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632</v>
      </c>
      <c r="D676" s="213" t="s">
        <v>49</v>
      </c>
      <c r="E676" s="214" t="s">
        <v>14</v>
      </c>
      <c r="F676" s="215">
        <v>39800</v>
      </c>
      <c r="G676" s="215">
        <v>39800</v>
      </c>
      <c r="H676" s="171"/>
      <c r="I676" s="88">
        <f t="shared" si="97"/>
        <v>39800</v>
      </c>
      <c r="J676" s="163">
        <f t="shared" si="102"/>
        <v>0</v>
      </c>
      <c r="K676" s="155">
        <f t="shared" si="10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104"/>
        <v>0</v>
      </c>
      <c r="O676" s="155">
        <f t="shared" si="10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633</v>
      </c>
      <c r="D677" s="213" t="s">
        <v>49</v>
      </c>
      <c r="E677" s="214" t="s">
        <v>14</v>
      </c>
      <c r="F677" s="215">
        <v>24700</v>
      </c>
      <c r="G677" s="215">
        <v>29400</v>
      </c>
      <c r="H677" s="171"/>
      <c r="I677" s="88">
        <f t="shared" si="97"/>
        <v>29400</v>
      </c>
      <c r="J677" s="163">
        <f t="shared" si="102"/>
        <v>0</v>
      </c>
      <c r="K677" s="155">
        <f t="shared" si="10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104"/>
        <v>0</v>
      </c>
      <c r="O677" s="155">
        <f t="shared" si="10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634</v>
      </c>
      <c r="D678" s="213" t="s">
        <v>49</v>
      </c>
      <c r="E678" s="214" t="s">
        <v>14</v>
      </c>
      <c r="F678" s="215">
        <v>33700</v>
      </c>
      <c r="G678" s="215">
        <v>35700</v>
      </c>
      <c r="H678" s="171"/>
      <c r="I678" s="88">
        <f t="shared" si="97"/>
        <v>35700</v>
      </c>
      <c r="J678" s="163">
        <f t="shared" si="102"/>
        <v>0</v>
      </c>
      <c r="K678" s="155">
        <f t="shared" si="10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104"/>
        <v>0</v>
      </c>
      <c r="O678" s="155">
        <f t="shared" si="10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635</v>
      </c>
      <c r="D679" s="213" t="s">
        <v>49</v>
      </c>
      <c r="E679" s="214" t="s">
        <v>14</v>
      </c>
      <c r="F679" s="215">
        <v>25800</v>
      </c>
      <c r="G679" s="215">
        <v>30700</v>
      </c>
      <c r="H679" s="171"/>
      <c r="I679" s="88">
        <f t="shared" si="97"/>
        <v>30700</v>
      </c>
      <c r="J679" s="163">
        <f t="shared" si="102"/>
        <v>0</v>
      </c>
      <c r="K679" s="155">
        <f t="shared" si="10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104"/>
        <v>0</v>
      </c>
      <c r="O679" s="155">
        <f t="shared" si="10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636</v>
      </c>
      <c r="D680" s="213" t="s">
        <v>49</v>
      </c>
      <c r="E680" s="214" t="s">
        <v>14</v>
      </c>
      <c r="F680" s="215">
        <v>19100</v>
      </c>
      <c r="G680" s="215">
        <v>22700</v>
      </c>
      <c r="H680" s="171"/>
      <c r="I680" s="88">
        <f t="shared" si="97"/>
        <v>22700</v>
      </c>
      <c r="J680" s="163">
        <f t="shared" si="102"/>
        <v>0</v>
      </c>
      <c r="K680" s="155">
        <f t="shared" si="10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104"/>
        <v>0</v>
      </c>
      <c r="O680" s="155">
        <f t="shared" si="10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637</v>
      </c>
      <c r="D681" s="213" t="s">
        <v>49</v>
      </c>
      <c r="E681" s="214" t="s">
        <v>14</v>
      </c>
      <c r="F681" s="215">
        <v>19800</v>
      </c>
      <c r="G681" s="215">
        <v>19800</v>
      </c>
      <c r="H681" s="171"/>
      <c r="I681" s="88">
        <f t="shared" si="97"/>
        <v>19800</v>
      </c>
      <c r="J681" s="163">
        <f t="shared" si="102"/>
        <v>0</v>
      </c>
      <c r="K681" s="155">
        <f t="shared" si="10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104"/>
        <v>0</v>
      </c>
      <c r="O681" s="155">
        <f t="shared" si="10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638</v>
      </c>
      <c r="D682" s="213" t="s">
        <v>49</v>
      </c>
      <c r="E682" s="214" t="s">
        <v>14</v>
      </c>
      <c r="F682" s="215">
        <v>19800</v>
      </c>
      <c r="G682" s="215">
        <v>19800</v>
      </c>
      <c r="H682" s="171"/>
      <c r="I682" s="88">
        <f t="shared" si="97"/>
        <v>19800</v>
      </c>
      <c r="J682" s="163">
        <f t="shared" si="102"/>
        <v>0</v>
      </c>
      <c r="K682" s="155">
        <f t="shared" si="10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104"/>
        <v>0</v>
      </c>
      <c r="O682" s="155">
        <f t="shared" si="10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639</v>
      </c>
      <c r="D683" s="213" t="s">
        <v>49</v>
      </c>
      <c r="E683" s="214" t="s">
        <v>14</v>
      </c>
      <c r="F683" s="215">
        <v>20500</v>
      </c>
      <c r="G683" s="215">
        <v>20500</v>
      </c>
      <c r="H683" s="171"/>
      <c r="I683" s="88">
        <f t="shared" si="97"/>
        <v>20500</v>
      </c>
      <c r="J683" s="163">
        <f t="shared" si="102"/>
        <v>0</v>
      </c>
      <c r="K683" s="155">
        <f t="shared" si="10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104"/>
        <v>0</v>
      </c>
      <c r="O683" s="155">
        <f t="shared" si="10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640</v>
      </c>
      <c r="D684" s="213" t="s">
        <v>49</v>
      </c>
      <c r="E684" s="214" t="s">
        <v>14</v>
      </c>
      <c r="F684" s="215">
        <v>20500</v>
      </c>
      <c r="G684" s="215">
        <v>20500</v>
      </c>
      <c r="H684" s="171"/>
      <c r="I684" s="88">
        <f t="shared" si="97"/>
        <v>20500</v>
      </c>
      <c r="J684" s="163">
        <f t="shared" si="102"/>
        <v>0</v>
      </c>
      <c r="K684" s="155">
        <f t="shared" si="10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104"/>
        <v>0</v>
      </c>
      <c r="O684" s="155">
        <f t="shared" si="10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641</v>
      </c>
      <c r="D685" s="213" t="s">
        <v>49</v>
      </c>
      <c r="E685" s="214" t="s">
        <v>14</v>
      </c>
      <c r="F685" s="215">
        <v>27500</v>
      </c>
      <c r="G685" s="215">
        <v>27500</v>
      </c>
      <c r="H685" s="171"/>
      <c r="I685" s="88">
        <f t="shared" si="97"/>
        <v>27500</v>
      </c>
      <c r="J685" s="163">
        <f t="shared" si="102"/>
        <v>0</v>
      </c>
      <c r="K685" s="155">
        <f t="shared" si="10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104"/>
        <v>0</v>
      </c>
      <c r="O685" s="155">
        <f t="shared" si="10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642</v>
      </c>
      <c r="D686" s="213" t="s">
        <v>49</v>
      </c>
      <c r="E686" s="214" t="s">
        <v>14</v>
      </c>
      <c r="F686" s="215">
        <v>27500</v>
      </c>
      <c r="G686" s="215">
        <v>27500</v>
      </c>
      <c r="H686" s="171"/>
      <c r="I686" s="88">
        <f t="shared" si="97"/>
        <v>27500</v>
      </c>
      <c r="J686" s="163">
        <f t="shared" si="102"/>
        <v>0</v>
      </c>
      <c r="K686" s="155">
        <f t="shared" si="10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104"/>
        <v>0</v>
      </c>
      <c r="O686" s="155">
        <f t="shared" si="10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643</v>
      </c>
      <c r="D687" s="213" t="s">
        <v>49</v>
      </c>
      <c r="E687" s="214" t="s">
        <v>14</v>
      </c>
      <c r="F687" s="215">
        <v>22100</v>
      </c>
      <c r="G687" s="215">
        <v>22100</v>
      </c>
      <c r="H687" s="171"/>
      <c r="I687" s="88">
        <f t="shared" si="97"/>
        <v>22100</v>
      </c>
      <c r="J687" s="163">
        <f t="shared" si="102"/>
        <v>0</v>
      </c>
      <c r="K687" s="155">
        <f t="shared" si="10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104"/>
        <v>0</v>
      </c>
      <c r="O687" s="155">
        <f t="shared" si="105"/>
        <v>0</v>
      </c>
      <c r="P687" s="155">
        <f>IF(O687=1,SUM($O$6:O687),0)</f>
        <v>0</v>
      </c>
    </row>
    <row r="688" spans="1:16" ht="15" customHeight="1">
      <c r="A688" s="15"/>
      <c r="B688" s="194"/>
      <c r="C688" s="109" t="s">
        <v>50</v>
      </c>
      <c r="D688" s="213" t="s">
        <v>50</v>
      </c>
      <c r="E688" s="214"/>
      <c r="F688" s="215"/>
      <c r="G688" s="215"/>
      <c r="H688" s="171"/>
      <c r="I688" s="88">
        <f t="shared" si="97"/>
        <v>0</v>
      </c>
      <c r="J688" s="163">
        <f t="shared" si="102"/>
        <v>0</v>
      </c>
      <c r="K688" s="155">
        <f t="shared" si="10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104"/>
        <v>0</v>
      </c>
      <c r="O688" s="155">
        <f t="shared" si="105"/>
        <v>0</v>
      </c>
      <c r="P688" s="155">
        <f>IF(O688=1,SUM($O$6:O688),0)</f>
        <v>0</v>
      </c>
    </row>
    <row r="689" spans="1:16" ht="15" customHeight="1">
      <c r="A689" s="15"/>
      <c r="B689" s="194" t="s">
        <v>1035</v>
      </c>
      <c r="C689" s="109" t="s">
        <v>644</v>
      </c>
      <c r="D689" s="213" t="s">
        <v>50</v>
      </c>
      <c r="E689" s="214"/>
      <c r="F689" s="215"/>
      <c r="G689" s="215"/>
      <c r="H689" s="171"/>
      <c r="I689" s="88">
        <f t="shared" si="97"/>
        <v>0</v>
      </c>
      <c r="J689" s="163">
        <f t="shared" si="102"/>
        <v>0</v>
      </c>
      <c r="K689" s="155">
        <f t="shared" si="10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104"/>
        <v>0</v>
      </c>
      <c r="O689" s="155">
        <f t="shared" si="10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645</v>
      </c>
      <c r="D690" s="213" t="s">
        <v>49</v>
      </c>
      <c r="E690" s="214" t="s">
        <v>14</v>
      </c>
      <c r="F690" s="215">
        <v>53200</v>
      </c>
      <c r="G690" s="215">
        <v>53200</v>
      </c>
      <c r="H690" s="171"/>
      <c r="I690" s="88">
        <f t="shared" si="97"/>
        <v>53200</v>
      </c>
      <c r="J690" s="163">
        <f t="shared" si="102"/>
        <v>0</v>
      </c>
      <c r="K690" s="155">
        <f t="shared" si="10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104"/>
        <v>0</v>
      </c>
      <c r="O690" s="155">
        <f t="shared" si="10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646</v>
      </c>
      <c r="D691" s="213" t="s">
        <v>49</v>
      </c>
      <c r="E691" s="214" t="s">
        <v>14</v>
      </c>
      <c r="F691" s="215">
        <v>57800</v>
      </c>
      <c r="G691" s="215">
        <v>61300</v>
      </c>
      <c r="H691" s="171"/>
      <c r="I691" s="88">
        <f t="shared" si="97"/>
        <v>61300</v>
      </c>
      <c r="J691" s="163">
        <f t="shared" si="102"/>
        <v>0</v>
      </c>
      <c r="K691" s="155">
        <f t="shared" si="10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104"/>
        <v>0</v>
      </c>
      <c r="O691" s="155">
        <f t="shared" si="10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647</v>
      </c>
      <c r="D692" s="213" t="s">
        <v>49</v>
      </c>
      <c r="E692" s="214" t="s">
        <v>14</v>
      </c>
      <c r="F692" s="215">
        <v>57800</v>
      </c>
      <c r="G692" s="215">
        <v>61300</v>
      </c>
      <c r="H692" s="171"/>
      <c r="I692" s="88">
        <f t="shared" ref="I692:I755" si="106">IF($I$5=$G$4,G692,(IF($I$5=$F$4,F692,0)))</f>
        <v>61300</v>
      </c>
      <c r="J692" s="163">
        <f t="shared" si="102"/>
        <v>0</v>
      </c>
      <c r="K692" s="155">
        <f t="shared" si="10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104"/>
        <v>0</v>
      </c>
      <c r="O692" s="155">
        <f t="shared" si="10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648</v>
      </c>
      <c r="D693" s="213" t="s">
        <v>49</v>
      </c>
      <c r="E693" s="214" t="s">
        <v>14</v>
      </c>
      <c r="F693" s="215">
        <v>80100</v>
      </c>
      <c r="G693" s="215">
        <v>80100</v>
      </c>
      <c r="H693" s="171"/>
      <c r="I693" s="88">
        <f t="shared" si="106"/>
        <v>80100</v>
      </c>
      <c r="J693" s="163">
        <f t="shared" si="102"/>
        <v>0</v>
      </c>
      <c r="K693" s="155">
        <f t="shared" si="10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104"/>
        <v>0</v>
      </c>
      <c r="O693" s="155">
        <f t="shared" si="10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649</v>
      </c>
      <c r="D694" s="213" t="s">
        <v>49</v>
      </c>
      <c r="E694" s="214" t="s">
        <v>14</v>
      </c>
      <c r="F694" s="215">
        <v>30000</v>
      </c>
      <c r="G694" s="215">
        <v>35700</v>
      </c>
      <c r="H694" s="171"/>
      <c r="I694" s="88">
        <f t="shared" si="106"/>
        <v>35700</v>
      </c>
      <c r="J694" s="163">
        <f t="shared" si="102"/>
        <v>0</v>
      </c>
      <c r="K694" s="155">
        <f t="shared" si="10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104"/>
        <v>0</v>
      </c>
      <c r="O694" s="155">
        <f t="shared" si="10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650</v>
      </c>
      <c r="D695" s="213" t="s">
        <v>49</v>
      </c>
      <c r="E695" s="214" t="s">
        <v>14</v>
      </c>
      <c r="F695" s="215">
        <v>80100</v>
      </c>
      <c r="G695" s="215">
        <v>80100</v>
      </c>
      <c r="H695" s="171"/>
      <c r="I695" s="88">
        <f t="shared" si="106"/>
        <v>80100</v>
      </c>
      <c r="J695" s="163">
        <f t="shared" si="102"/>
        <v>0</v>
      </c>
      <c r="K695" s="155">
        <f t="shared" si="10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104"/>
        <v>0</v>
      </c>
      <c r="O695" s="155">
        <f t="shared" si="10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651</v>
      </c>
      <c r="D696" s="213" t="s">
        <v>49</v>
      </c>
      <c r="E696" s="214" t="s">
        <v>14</v>
      </c>
      <c r="F696" s="215">
        <v>84000</v>
      </c>
      <c r="G696" s="215">
        <v>84000</v>
      </c>
      <c r="H696" s="171"/>
      <c r="I696" s="88">
        <f t="shared" si="106"/>
        <v>84000</v>
      </c>
      <c r="J696" s="163">
        <f t="shared" si="102"/>
        <v>0</v>
      </c>
      <c r="K696" s="155">
        <f t="shared" si="10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104"/>
        <v>0</v>
      </c>
      <c r="O696" s="155">
        <f t="shared" si="10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652</v>
      </c>
      <c r="D697" s="213" t="s">
        <v>49</v>
      </c>
      <c r="E697" s="214" t="s">
        <v>14</v>
      </c>
      <c r="F697" s="215">
        <v>44000</v>
      </c>
      <c r="G697" s="215">
        <v>44000</v>
      </c>
      <c r="H697" s="171"/>
      <c r="I697" s="88">
        <f t="shared" si="106"/>
        <v>44000</v>
      </c>
      <c r="J697" s="163">
        <f t="shared" si="102"/>
        <v>0</v>
      </c>
      <c r="K697" s="155">
        <f t="shared" si="10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104"/>
        <v>0</v>
      </c>
      <c r="O697" s="155">
        <f t="shared" si="10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653</v>
      </c>
      <c r="D698" s="213" t="s">
        <v>49</v>
      </c>
      <c r="E698" s="214" t="s">
        <v>14</v>
      </c>
      <c r="F698" s="215">
        <v>70300</v>
      </c>
      <c r="G698" s="215">
        <v>70300</v>
      </c>
      <c r="H698" s="171"/>
      <c r="I698" s="88">
        <f t="shared" si="106"/>
        <v>70300</v>
      </c>
      <c r="J698" s="163">
        <f t="shared" si="102"/>
        <v>0</v>
      </c>
      <c r="K698" s="155">
        <f t="shared" si="10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104"/>
        <v>0</v>
      </c>
      <c r="O698" s="155">
        <f t="shared" si="10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654</v>
      </c>
      <c r="D699" s="213" t="s">
        <v>49</v>
      </c>
      <c r="E699" s="214" t="s">
        <v>14</v>
      </c>
      <c r="F699" s="215">
        <v>70300</v>
      </c>
      <c r="G699" s="215">
        <v>70300</v>
      </c>
      <c r="H699" s="171"/>
      <c r="I699" s="88">
        <f t="shared" si="106"/>
        <v>70300</v>
      </c>
      <c r="J699" s="163">
        <f t="shared" si="102"/>
        <v>0</v>
      </c>
      <c r="K699" s="155">
        <f t="shared" si="10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104"/>
        <v>0</v>
      </c>
      <c r="O699" s="155">
        <f t="shared" si="10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655</v>
      </c>
      <c r="D700" s="213" t="s">
        <v>49</v>
      </c>
      <c r="E700" s="214" t="s">
        <v>14</v>
      </c>
      <c r="F700" s="215">
        <v>45200</v>
      </c>
      <c r="G700" s="215">
        <v>45200</v>
      </c>
      <c r="H700" s="171"/>
      <c r="I700" s="88">
        <f t="shared" si="106"/>
        <v>45200</v>
      </c>
      <c r="J700" s="163">
        <f t="shared" si="102"/>
        <v>0</v>
      </c>
      <c r="K700" s="155">
        <f t="shared" si="10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104"/>
        <v>0</v>
      </c>
      <c r="O700" s="155">
        <f t="shared" si="10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656</v>
      </c>
      <c r="D701" s="213" t="s">
        <v>49</v>
      </c>
      <c r="E701" s="214" t="s">
        <v>14</v>
      </c>
      <c r="F701" s="215">
        <v>80900</v>
      </c>
      <c r="G701" s="215">
        <v>85800</v>
      </c>
      <c r="H701" s="171"/>
      <c r="I701" s="88">
        <f t="shared" si="106"/>
        <v>85800</v>
      </c>
      <c r="J701" s="163">
        <f t="shared" si="102"/>
        <v>0</v>
      </c>
      <c r="K701" s="155">
        <f t="shared" si="10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104"/>
        <v>0</v>
      </c>
      <c r="O701" s="155">
        <f t="shared" si="10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657</v>
      </c>
      <c r="D702" s="213" t="s">
        <v>49</v>
      </c>
      <c r="E702" s="214" t="s">
        <v>14</v>
      </c>
      <c r="F702" s="215">
        <v>80900</v>
      </c>
      <c r="G702" s="215">
        <v>85800</v>
      </c>
      <c r="H702" s="171"/>
      <c r="I702" s="88">
        <f t="shared" si="106"/>
        <v>85800</v>
      </c>
      <c r="J702" s="163">
        <f t="shared" si="102"/>
        <v>0</v>
      </c>
      <c r="K702" s="155">
        <f t="shared" si="10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104"/>
        <v>0</v>
      </c>
      <c r="O702" s="155">
        <f t="shared" si="10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658</v>
      </c>
      <c r="D703" s="213" t="s">
        <v>49</v>
      </c>
      <c r="E703" s="214" t="s">
        <v>14</v>
      </c>
      <c r="F703" s="215">
        <v>82500</v>
      </c>
      <c r="G703" s="215">
        <v>87700</v>
      </c>
      <c r="H703" s="171"/>
      <c r="I703" s="88">
        <f t="shared" si="106"/>
        <v>87700</v>
      </c>
      <c r="J703" s="163">
        <f t="shared" si="102"/>
        <v>0</v>
      </c>
      <c r="K703" s="155">
        <f t="shared" si="10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104"/>
        <v>0</v>
      </c>
      <c r="O703" s="155">
        <f t="shared" si="10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659</v>
      </c>
      <c r="D704" s="213" t="s">
        <v>49</v>
      </c>
      <c r="E704" s="214" t="s">
        <v>14</v>
      </c>
      <c r="F704" s="215">
        <v>42100</v>
      </c>
      <c r="G704" s="215">
        <v>50100</v>
      </c>
      <c r="H704" s="171"/>
      <c r="I704" s="88">
        <f t="shared" si="106"/>
        <v>50100</v>
      </c>
      <c r="J704" s="163">
        <f t="shared" si="102"/>
        <v>0</v>
      </c>
      <c r="K704" s="155">
        <f t="shared" si="10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104"/>
        <v>0</v>
      </c>
      <c r="O704" s="155">
        <f t="shared" si="10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660</v>
      </c>
      <c r="D705" s="213" t="s">
        <v>49</v>
      </c>
      <c r="E705" s="214" t="s">
        <v>14</v>
      </c>
      <c r="F705" s="215">
        <v>42100</v>
      </c>
      <c r="G705" s="215">
        <v>50100</v>
      </c>
      <c r="H705" s="171"/>
      <c r="I705" s="88">
        <f t="shared" si="106"/>
        <v>50100</v>
      </c>
      <c r="J705" s="163">
        <f t="shared" si="102"/>
        <v>0</v>
      </c>
      <c r="K705" s="155">
        <f t="shared" si="10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104"/>
        <v>0</v>
      </c>
      <c r="O705" s="155">
        <f t="shared" si="10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661</v>
      </c>
      <c r="D706" s="213" t="s">
        <v>49</v>
      </c>
      <c r="E706" s="214" t="s">
        <v>14</v>
      </c>
      <c r="F706" s="215">
        <v>45200</v>
      </c>
      <c r="G706" s="215">
        <v>53800</v>
      </c>
      <c r="H706" s="171"/>
      <c r="I706" s="88">
        <f t="shared" si="106"/>
        <v>53800</v>
      </c>
      <c r="J706" s="163">
        <f t="shared" si="102"/>
        <v>0</v>
      </c>
      <c r="K706" s="155">
        <f t="shared" si="10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104"/>
        <v>0</v>
      </c>
      <c r="O706" s="155">
        <f t="shared" si="10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662</v>
      </c>
      <c r="D707" s="213" t="s">
        <v>49</v>
      </c>
      <c r="E707" s="214" t="s">
        <v>14</v>
      </c>
      <c r="F707" s="215">
        <v>45200</v>
      </c>
      <c r="G707" s="215">
        <v>53800</v>
      </c>
      <c r="H707" s="171"/>
      <c r="I707" s="88">
        <f t="shared" si="106"/>
        <v>53800</v>
      </c>
      <c r="J707" s="163">
        <f t="shared" si="102"/>
        <v>0</v>
      </c>
      <c r="K707" s="155">
        <f t="shared" si="10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104"/>
        <v>0</v>
      </c>
      <c r="O707" s="155">
        <f t="shared" si="10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663</v>
      </c>
      <c r="D708" s="213" t="s">
        <v>49</v>
      </c>
      <c r="E708" s="214" t="s">
        <v>14</v>
      </c>
      <c r="F708" s="215">
        <v>45200</v>
      </c>
      <c r="G708" s="215">
        <v>53800</v>
      </c>
      <c r="H708" s="171"/>
      <c r="I708" s="88">
        <f t="shared" si="106"/>
        <v>53800</v>
      </c>
      <c r="J708" s="163">
        <f t="shared" si="102"/>
        <v>0</v>
      </c>
      <c r="K708" s="155">
        <f t="shared" si="10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104"/>
        <v>0</v>
      </c>
      <c r="O708" s="155">
        <f t="shared" si="10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664</v>
      </c>
      <c r="D709" s="213" t="s">
        <v>49</v>
      </c>
      <c r="E709" s="214" t="s">
        <v>14</v>
      </c>
      <c r="F709" s="215">
        <v>45200</v>
      </c>
      <c r="G709" s="215">
        <v>53800</v>
      </c>
      <c r="H709" s="171"/>
      <c r="I709" s="88">
        <f t="shared" si="106"/>
        <v>53800</v>
      </c>
      <c r="J709" s="163">
        <f t="shared" si="102"/>
        <v>0</v>
      </c>
      <c r="K709" s="155">
        <f t="shared" si="10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104"/>
        <v>0</v>
      </c>
      <c r="O709" s="155">
        <f t="shared" si="10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665</v>
      </c>
      <c r="D710" s="213" t="s">
        <v>49</v>
      </c>
      <c r="E710" s="214" t="s">
        <v>14</v>
      </c>
      <c r="F710" s="215">
        <v>40200</v>
      </c>
      <c r="G710" s="215">
        <v>45100</v>
      </c>
      <c r="H710" s="171"/>
      <c r="I710" s="88">
        <f t="shared" si="106"/>
        <v>45100</v>
      </c>
      <c r="J710" s="163">
        <f t="shared" si="102"/>
        <v>0</v>
      </c>
      <c r="K710" s="155">
        <f t="shared" si="10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104"/>
        <v>0</v>
      </c>
      <c r="O710" s="155">
        <f t="shared" si="10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666</v>
      </c>
      <c r="D711" s="213" t="s">
        <v>49</v>
      </c>
      <c r="E711" s="214" t="s">
        <v>14</v>
      </c>
      <c r="F711" s="215">
        <v>37200</v>
      </c>
      <c r="G711" s="215">
        <v>44300</v>
      </c>
      <c r="H711" s="171"/>
      <c r="I711" s="88">
        <f t="shared" si="106"/>
        <v>44300</v>
      </c>
      <c r="J711" s="163">
        <f t="shared" si="102"/>
        <v>0</v>
      </c>
      <c r="K711" s="155">
        <f t="shared" si="10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104"/>
        <v>0</v>
      </c>
      <c r="O711" s="155">
        <f t="shared" si="10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667</v>
      </c>
      <c r="D712" s="213" t="s">
        <v>49</v>
      </c>
      <c r="E712" s="214" t="s">
        <v>14</v>
      </c>
      <c r="F712" s="215">
        <v>37200</v>
      </c>
      <c r="G712" s="215">
        <v>44300</v>
      </c>
      <c r="H712" s="171"/>
      <c r="I712" s="88">
        <f t="shared" si="106"/>
        <v>44300</v>
      </c>
      <c r="J712" s="163">
        <f t="shared" si="102"/>
        <v>0</v>
      </c>
      <c r="K712" s="155">
        <f t="shared" si="10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104"/>
        <v>0</v>
      </c>
      <c r="O712" s="155">
        <f t="shared" si="10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668</v>
      </c>
      <c r="D713" s="213" t="s">
        <v>49</v>
      </c>
      <c r="E713" s="214" t="s">
        <v>14</v>
      </c>
      <c r="F713" s="215">
        <v>37200</v>
      </c>
      <c r="G713" s="215">
        <v>44300</v>
      </c>
      <c r="H713" s="171"/>
      <c r="I713" s="88">
        <f t="shared" si="106"/>
        <v>44300</v>
      </c>
      <c r="J713" s="163">
        <f t="shared" si="102"/>
        <v>0</v>
      </c>
      <c r="K713" s="155">
        <f t="shared" si="10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104"/>
        <v>0</v>
      </c>
      <c r="O713" s="155">
        <f t="shared" si="10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669</v>
      </c>
      <c r="D714" s="213" t="s">
        <v>49</v>
      </c>
      <c r="E714" s="214" t="s">
        <v>14</v>
      </c>
      <c r="F714" s="215">
        <v>326300</v>
      </c>
      <c r="G714" s="215">
        <v>44300</v>
      </c>
      <c r="H714" s="171"/>
      <c r="I714" s="88">
        <f t="shared" si="106"/>
        <v>44300</v>
      </c>
      <c r="J714" s="163">
        <f t="shared" si="102"/>
        <v>0</v>
      </c>
      <c r="K714" s="155">
        <f t="shared" si="10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104"/>
        <v>0</v>
      </c>
      <c r="O714" s="155">
        <f t="shared" si="10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670</v>
      </c>
      <c r="D715" s="213" t="s">
        <v>49</v>
      </c>
      <c r="E715" s="214" t="s">
        <v>14</v>
      </c>
      <c r="F715" s="215">
        <v>78300</v>
      </c>
      <c r="G715" s="215">
        <v>93100</v>
      </c>
      <c r="H715" s="171"/>
      <c r="I715" s="88">
        <f t="shared" si="106"/>
        <v>93100</v>
      </c>
      <c r="J715" s="163">
        <f t="shared" si="102"/>
        <v>0</v>
      </c>
      <c r="K715" s="155">
        <f t="shared" si="10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104"/>
        <v>0</v>
      </c>
      <c r="O715" s="155">
        <f t="shared" si="10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671</v>
      </c>
      <c r="D716" s="213" t="s">
        <v>49</v>
      </c>
      <c r="E716" s="214" t="s">
        <v>14</v>
      </c>
      <c r="F716" s="215">
        <v>78300</v>
      </c>
      <c r="G716" s="215">
        <v>93100</v>
      </c>
      <c r="H716" s="171"/>
      <c r="I716" s="88">
        <f t="shared" si="106"/>
        <v>93100</v>
      </c>
      <c r="J716" s="163">
        <f t="shared" si="102"/>
        <v>0</v>
      </c>
      <c r="K716" s="155">
        <f t="shared" si="10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104"/>
        <v>0</v>
      </c>
      <c r="O716" s="155">
        <f t="shared" si="10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672</v>
      </c>
      <c r="D717" s="213" t="s">
        <v>49</v>
      </c>
      <c r="E717" s="214" t="s">
        <v>14</v>
      </c>
      <c r="F717" s="215">
        <v>74600</v>
      </c>
      <c r="G717" s="215">
        <v>88700</v>
      </c>
      <c r="H717" s="171"/>
      <c r="I717" s="88">
        <f t="shared" si="106"/>
        <v>88700</v>
      </c>
      <c r="J717" s="163">
        <f t="shared" si="102"/>
        <v>0</v>
      </c>
      <c r="K717" s="155">
        <f t="shared" si="10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104"/>
        <v>0</v>
      </c>
      <c r="O717" s="155">
        <f t="shared" si="10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673</v>
      </c>
      <c r="D718" s="213" t="s">
        <v>49</v>
      </c>
      <c r="E718" s="214" t="s">
        <v>14</v>
      </c>
      <c r="F718" s="215">
        <v>51900</v>
      </c>
      <c r="G718" s="215">
        <v>61700</v>
      </c>
      <c r="H718" s="171"/>
      <c r="I718" s="88">
        <f t="shared" si="106"/>
        <v>61700</v>
      </c>
      <c r="J718" s="163">
        <f t="shared" si="102"/>
        <v>0</v>
      </c>
      <c r="K718" s="155">
        <f t="shared" si="10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104"/>
        <v>0</v>
      </c>
      <c r="O718" s="155">
        <f t="shared" si="10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674</v>
      </c>
      <c r="D719" s="213" t="s">
        <v>49</v>
      </c>
      <c r="E719" s="214" t="s">
        <v>14</v>
      </c>
      <c r="F719" s="215">
        <v>51900</v>
      </c>
      <c r="G719" s="215">
        <v>61700</v>
      </c>
      <c r="H719" s="171"/>
      <c r="I719" s="88">
        <f t="shared" si="106"/>
        <v>61700</v>
      </c>
      <c r="J719" s="163">
        <f t="shared" si="102"/>
        <v>0</v>
      </c>
      <c r="K719" s="155">
        <f t="shared" si="10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104"/>
        <v>0</v>
      </c>
      <c r="O719" s="155">
        <f t="shared" si="10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675</v>
      </c>
      <c r="D720" s="213" t="s">
        <v>49</v>
      </c>
      <c r="E720" s="214" t="s">
        <v>14</v>
      </c>
      <c r="F720" s="215">
        <v>75600</v>
      </c>
      <c r="G720" s="215">
        <v>99900</v>
      </c>
      <c r="H720" s="171"/>
      <c r="I720" s="88">
        <f t="shared" si="106"/>
        <v>99900</v>
      </c>
      <c r="J720" s="163">
        <f t="shared" si="102"/>
        <v>0</v>
      </c>
      <c r="K720" s="155">
        <f t="shared" si="10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104"/>
        <v>0</v>
      </c>
      <c r="O720" s="155">
        <f t="shared" si="10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676</v>
      </c>
      <c r="D721" s="213" t="s">
        <v>49</v>
      </c>
      <c r="E721" s="214" t="s">
        <v>14</v>
      </c>
      <c r="F721" s="215">
        <v>75600</v>
      </c>
      <c r="G721" s="215">
        <v>99900</v>
      </c>
      <c r="H721" s="171"/>
      <c r="I721" s="88">
        <f t="shared" si="106"/>
        <v>99900</v>
      </c>
      <c r="J721" s="163">
        <f t="shared" si="102"/>
        <v>0</v>
      </c>
      <c r="K721" s="155">
        <f t="shared" si="10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104"/>
        <v>0</v>
      </c>
      <c r="O721" s="155">
        <f t="shared" si="10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677</v>
      </c>
      <c r="D722" s="213" t="s">
        <v>49</v>
      </c>
      <c r="E722" s="214" t="s">
        <v>14</v>
      </c>
      <c r="F722" s="215">
        <v>66800</v>
      </c>
      <c r="G722" s="215">
        <v>79500</v>
      </c>
      <c r="H722" s="171"/>
      <c r="I722" s="88">
        <f t="shared" si="106"/>
        <v>79500</v>
      </c>
      <c r="J722" s="163">
        <f t="shared" si="102"/>
        <v>0</v>
      </c>
      <c r="K722" s="155">
        <f t="shared" si="10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104"/>
        <v>0</v>
      </c>
      <c r="O722" s="155">
        <f t="shared" si="10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678</v>
      </c>
      <c r="D723" s="213" t="s">
        <v>49</v>
      </c>
      <c r="E723" s="214" t="s">
        <v>14</v>
      </c>
      <c r="F723" s="215">
        <v>62400</v>
      </c>
      <c r="G723" s="215">
        <v>74200</v>
      </c>
      <c r="H723" s="171"/>
      <c r="I723" s="88">
        <f t="shared" si="106"/>
        <v>74200</v>
      </c>
      <c r="J723" s="163">
        <f t="shared" ref="J723:J786" si="107">IF(D723="MDU-KD",1,0)</f>
        <v>0</v>
      </c>
      <c r="K723" s="155">
        <f t="shared" ref="K723:K786" si="10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109">IF(L723=0,M723,L723)</f>
        <v>0</v>
      </c>
      <c r="O723" s="155">
        <f t="shared" ref="O723:O786" si="11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1499</v>
      </c>
      <c r="D724" s="213" t="s">
        <v>49</v>
      </c>
      <c r="E724" s="214" t="s">
        <v>14</v>
      </c>
      <c r="F724" s="215">
        <v>81300</v>
      </c>
      <c r="G724" s="215">
        <v>87700</v>
      </c>
      <c r="H724" s="171"/>
      <c r="I724" s="88">
        <f t="shared" si="106"/>
        <v>87700</v>
      </c>
      <c r="J724" s="163">
        <f t="shared" si="107"/>
        <v>0</v>
      </c>
      <c r="K724" s="155">
        <f t="shared" si="10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109"/>
        <v>0</v>
      </c>
      <c r="O724" s="155">
        <f t="shared" si="11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1500</v>
      </c>
      <c r="D725" s="213" t="s">
        <v>49</v>
      </c>
      <c r="E725" s="214" t="s">
        <v>14</v>
      </c>
      <c r="F725" s="215">
        <v>94400</v>
      </c>
      <c r="G725" s="215">
        <v>112300</v>
      </c>
      <c r="H725" s="171"/>
      <c r="I725" s="88">
        <f t="shared" si="106"/>
        <v>112300</v>
      </c>
      <c r="J725" s="163">
        <f t="shared" si="107"/>
        <v>0</v>
      </c>
      <c r="K725" s="155">
        <f t="shared" si="10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109"/>
        <v>0</v>
      </c>
      <c r="O725" s="155">
        <f t="shared" si="11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1501</v>
      </c>
      <c r="D726" s="213" t="s">
        <v>49</v>
      </c>
      <c r="E726" s="214" t="s">
        <v>14</v>
      </c>
      <c r="F726" s="215">
        <v>82500</v>
      </c>
      <c r="G726" s="215">
        <v>87700</v>
      </c>
      <c r="H726" s="171"/>
      <c r="I726" s="88">
        <f t="shared" si="106"/>
        <v>87700</v>
      </c>
      <c r="J726" s="163">
        <f t="shared" si="107"/>
        <v>0</v>
      </c>
      <c r="K726" s="155">
        <f t="shared" si="10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109"/>
        <v>0</v>
      </c>
      <c r="O726" s="155">
        <f t="shared" si="11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1502</v>
      </c>
      <c r="D727" s="213" t="s">
        <v>49</v>
      </c>
      <c r="E727" s="214" t="s">
        <v>14</v>
      </c>
      <c r="F727" s="215">
        <v>109200</v>
      </c>
      <c r="G727" s="215">
        <v>129900</v>
      </c>
      <c r="H727" s="171"/>
      <c r="I727" s="88">
        <f t="shared" si="106"/>
        <v>129900</v>
      </c>
      <c r="J727" s="163">
        <f t="shared" si="107"/>
        <v>0</v>
      </c>
      <c r="K727" s="155">
        <f t="shared" si="10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109"/>
        <v>0</v>
      </c>
      <c r="O727" s="155">
        <f t="shared" si="11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1503</v>
      </c>
      <c r="D728" s="213" t="s">
        <v>49</v>
      </c>
      <c r="E728" s="214" t="s">
        <v>14</v>
      </c>
      <c r="F728" s="215">
        <v>106900</v>
      </c>
      <c r="G728" s="215">
        <v>127200</v>
      </c>
      <c r="H728" s="171"/>
      <c r="I728" s="88">
        <f t="shared" si="106"/>
        <v>127200</v>
      </c>
      <c r="J728" s="163">
        <f t="shared" si="107"/>
        <v>0</v>
      </c>
      <c r="K728" s="155">
        <f t="shared" si="10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109"/>
        <v>0</v>
      </c>
      <c r="O728" s="155">
        <f t="shared" si="11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1504</v>
      </c>
      <c r="D729" s="213" t="s">
        <v>49</v>
      </c>
      <c r="E729" s="214" t="s">
        <v>14</v>
      </c>
      <c r="F729" s="215">
        <v>104400</v>
      </c>
      <c r="G729" s="215">
        <v>116900</v>
      </c>
      <c r="H729" s="171"/>
      <c r="I729" s="88">
        <f t="shared" si="106"/>
        <v>116900</v>
      </c>
      <c r="J729" s="163">
        <f t="shared" si="107"/>
        <v>0</v>
      </c>
      <c r="K729" s="155">
        <f t="shared" si="10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109"/>
        <v>0</v>
      </c>
      <c r="O729" s="155">
        <f t="shared" si="11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1505</v>
      </c>
      <c r="D730" s="213" t="s">
        <v>49</v>
      </c>
      <c r="E730" s="214" t="s">
        <v>14</v>
      </c>
      <c r="F730" s="215">
        <v>103500</v>
      </c>
      <c r="G730" s="215">
        <v>123100</v>
      </c>
      <c r="H730" s="171"/>
      <c r="I730" s="88">
        <f t="shared" si="106"/>
        <v>123100</v>
      </c>
      <c r="J730" s="163">
        <f t="shared" si="107"/>
        <v>0</v>
      </c>
      <c r="K730" s="155">
        <f t="shared" si="10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109"/>
        <v>0</v>
      </c>
      <c r="O730" s="155">
        <f t="shared" si="11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1506</v>
      </c>
      <c r="D731" s="213" t="s">
        <v>49</v>
      </c>
      <c r="E731" s="214" t="s">
        <v>14</v>
      </c>
      <c r="F731" s="215">
        <v>111100</v>
      </c>
      <c r="G731" s="215">
        <v>111100</v>
      </c>
      <c r="H731" s="171"/>
      <c r="I731" s="88">
        <f t="shared" si="106"/>
        <v>111100</v>
      </c>
      <c r="J731" s="163">
        <f t="shared" si="107"/>
        <v>0</v>
      </c>
      <c r="K731" s="155">
        <f t="shared" si="10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109"/>
        <v>0</v>
      </c>
      <c r="O731" s="155">
        <f t="shared" si="11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1507</v>
      </c>
      <c r="D732" s="213" t="s">
        <v>49</v>
      </c>
      <c r="E732" s="214" t="s">
        <v>14</v>
      </c>
      <c r="F732" s="215">
        <v>108700</v>
      </c>
      <c r="G732" s="215">
        <v>129300</v>
      </c>
      <c r="H732" s="171"/>
      <c r="I732" s="88">
        <f t="shared" si="106"/>
        <v>129300</v>
      </c>
      <c r="J732" s="163">
        <f t="shared" si="107"/>
        <v>0</v>
      </c>
      <c r="K732" s="155">
        <f t="shared" si="10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109"/>
        <v>0</v>
      </c>
      <c r="O732" s="155">
        <f t="shared" si="11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1508</v>
      </c>
      <c r="D733" s="213" t="s">
        <v>49</v>
      </c>
      <c r="E733" s="214" t="s">
        <v>14</v>
      </c>
      <c r="F733" s="215">
        <v>218400</v>
      </c>
      <c r="G733" s="215">
        <v>259800</v>
      </c>
      <c r="H733" s="171"/>
      <c r="I733" s="88">
        <f t="shared" si="106"/>
        <v>259800</v>
      </c>
      <c r="J733" s="163">
        <f t="shared" si="107"/>
        <v>0</v>
      </c>
      <c r="K733" s="155">
        <f t="shared" si="10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109"/>
        <v>0</v>
      </c>
      <c r="O733" s="155">
        <f t="shared" si="11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1509</v>
      </c>
      <c r="D734" s="213" t="s">
        <v>49</v>
      </c>
      <c r="E734" s="214" t="s">
        <v>14</v>
      </c>
      <c r="F734" s="215">
        <v>222500</v>
      </c>
      <c r="G734" s="215">
        <v>264700</v>
      </c>
      <c r="H734" s="171"/>
      <c r="I734" s="88">
        <f t="shared" si="106"/>
        <v>264700</v>
      </c>
      <c r="J734" s="163">
        <f t="shared" si="107"/>
        <v>0</v>
      </c>
      <c r="K734" s="155">
        <f t="shared" si="10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109"/>
        <v>0</v>
      </c>
      <c r="O734" s="155">
        <f t="shared" si="11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1510</v>
      </c>
      <c r="D735" s="213" t="s">
        <v>49</v>
      </c>
      <c r="E735" s="214" t="s">
        <v>14</v>
      </c>
      <c r="F735" s="215">
        <v>173300</v>
      </c>
      <c r="G735" s="215">
        <v>173300</v>
      </c>
      <c r="H735" s="171"/>
      <c r="I735" s="88">
        <f t="shared" si="106"/>
        <v>173300</v>
      </c>
      <c r="J735" s="163">
        <f t="shared" si="107"/>
        <v>0</v>
      </c>
      <c r="K735" s="155">
        <f t="shared" si="10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109"/>
        <v>0</v>
      </c>
      <c r="O735" s="155">
        <f t="shared" si="11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1511</v>
      </c>
      <c r="D736" s="213" t="s">
        <v>49</v>
      </c>
      <c r="E736" s="214" t="s">
        <v>14</v>
      </c>
      <c r="F736" s="215">
        <v>279500</v>
      </c>
      <c r="G736" s="215">
        <v>279500</v>
      </c>
      <c r="H736" s="171"/>
      <c r="I736" s="88">
        <f t="shared" si="106"/>
        <v>279500</v>
      </c>
      <c r="J736" s="163">
        <f t="shared" si="107"/>
        <v>0</v>
      </c>
      <c r="K736" s="155">
        <f t="shared" si="10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109"/>
        <v>0</v>
      </c>
      <c r="O736" s="155">
        <f t="shared" si="11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1512</v>
      </c>
      <c r="D737" s="213" t="s">
        <v>49</v>
      </c>
      <c r="E737" s="214" t="s">
        <v>14</v>
      </c>
      <c r="F737" s="215">
        <v>89800</v>
      </c>
      <c r="G737" s="215">
        <v>106800</v>
      </c>
      <c r="H737" s="171"/>
      <c r="I737" s="88">
        <f t="shared" si="106"/>
        <v>106800</v>
      </c>
      <c r="J737" s="163">
        <f t="shared" si="107"/>
        <v>0</v>
      </c>
      <c r="K737" s="155">
        <f t="shared" si="10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109"/>
        <v>0</v>
      </c>
      <c r="O737" s="155">
        <f t="shared" si="11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1513</v>
      </c>
      <c r="D738" s="213" t="s">
        <v>49</v>
      </c>
      <c r="E738" s="214" t="s">
        <v>14</v>
      </c>
      <c r="F738" s="215">
        <v>102600</v>
      </c>
      <c r="G738" s="215">
        <v>122100</v>
      </c>
      <c r="H738" s="171"/>
      <c r="I738" s="88">
        <f t="shared" si="106"/>
        <v>122100</v>
      </c>
      <c r="J738" s="163">
        <f t="shared" si="107"/>
        <v>0</v>
      </c>
      <c r="K738" s="155">
        <f t="shared" si="10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109"/>
        <v>0</v>
      </c>
      <c r="O738" s="155">
        <f t="shared" si="11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1514</v>
      </c>
      <c r="D739" s="213" t="s">
        <v>49</v>
      </c>
      <c r="E739" s="214" t="s">
        <v>14</v>
      </c>
      <c r="F739" s="215">
        <v>109700</v>
      </c>
      <c r="G739" s="215">
        <v>130500</v>
      </c>
      <c r="H739" s="171"/>
      <c r="I739" s="88">
        <f t="shared" si="106"/>
        <v>130500</v>
      </c>
      <c r="J739" s="163">
        <f t="shared" si="107"/>
        <v>0</v>
      </c>
      <c r="K739" s="155">
        <f t="shared" si="10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109"/>
        <v>0</v>
      </c>
      <c r="O739" s="155">
        <f t="shared" si="110"/>
        <v>0</v>
      </c>
      <c r="P739" s="155">
        <f>IF(O739=1,SUM($O$6:O739),0)</f>
        <v>0</v>
      </c>
    </row>
    <row r="740" spans="1:16" ht="15" customHeight="1">
      <c r="A740" s="15"/>
      <c r="B740" s="194"/>
      <c r="C740" s="109" t="s">
        <v>50</v>
      </c>
      <c r="D740" s="213" t="s">
        <v>50</v>
      </c>
      <c r="E740" s="214"/>
      <c r="F740" s="215"/>
      <c r="G740" s="215"/>
      <c r="H740" s="171"/>
      <c r="I740" s="88">
        <f t="shared" si="106"/>
        <v>0</v>
      </c>
      <c r="J740" s="163">
        <f t="shared" si="107"/>
        <v>0</v>
      </c>
      <c r="K740" s="155">
        <f t="shared" si="10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109"/>
        <v>0</v>
      </c>
      <c r="O740" s="155">
        <f t="shared" si="110"/>
        <v>0</v>
      </c>
      <c r="P740" s="155">
        <f>IF(O740=1,SUM($O$6:O740),0)</f>
        <v>0</v>
      </c>
    </row>
    <row r="741" spans="1:16" ht="15" customHeight="1">
      <c r="A741" s="15"/>
      <c r="B741" s="194" t="s">
        <v>1035</v>
      </c>
      <c r="C741" s="109" t="s">
        <v>679</v>
      </c>
      <c r="D741" s="213" t="s">
        <v>50</v>
      </c>
      <c r="E741" s="214"/>
      <c r="F741" s="215"/>
      <c r="G741" s="215"/>
      <c r="H741" s="171"/>
      <c r="I741" s="88">
        <f t="shared" si="106"/>
        <v>0</v>
      </c>
      <c r="J741" s="163">
        <f t="shared" si="107"/>
        <v>0</v>
      </c>
      <c r="K741" s="155">
        <f t="shared" si="10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109"/>
        <v>0</v>
      </c>
      <c r="O741" s="155">
        <f t="shared" si="11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680</v>
      </c>
      <c r="D742" s="213" t="s">
        <v>49</v>
      </c>
      <c r="E742" s="214" t="s">
        <v>14</v>
      </c>
      <c r="F742" s="215">
        <v>71900</v>
      </c>
      <c r="G742" s="215">
        <v>85500</v>
      </c>
      <c r="H742" s="171"/>
      <c r="I742" s="88">
        <f t="shared" si="106"/>
        <v>85500</v>
      </c>
      <c r="J742" s="163">
        <f t="shared" si="107"/>
        <v>0</v>
      </c>
      <c r="K742" s="155">
        <f t="shared" si="10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109"/>
        <v>0</v>
      </c>
      <c r="O742" s="155">
        <f t="shared" si="11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681</v>
      </c>
      <c r="D743" s="213" t="s">
        <v>49</v>
      </c>
      <c r="E743" s="214" t="s">
        <v>14</v>
      </c>
      <c r="F743" s="215">
        <v>64700</v>
      </c>
      <c r="G743" s="215">
        <v>64700</v>
      </c>
      <c r="H743" s="171"/>
      <c r="I743" s="88">
        <f t="shared" si="106"/>
        <v>64700</v>
      </c>
      <c r="J743" s="163">
        <f t="shared" si="107"/>
        <v>0</v>
      </c>
      <c r="K743" s="155">
        <f t="shared" si="10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109"/>
        <v>0</v>
      </c>
      <c r="O743" s="155">
        <f t="shared" si="11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682</v>
      </c>
      <c r="D744" s="213" t="s">
        <v>49</v>
      </c>
      <c r="E744" s="214" t="s">
        <v>14</v>
      </c>
      <c r="F744" s="215">
        <v>88700</v>
      </c>
      <c r="G744" s="215">
        <v>105500</v>
      </c>
      <c r="H744" s="171"/>
      <c r="I744" s="88">
        <f t="shared" si="106"/>
        <v>105500</v>
      </c>
      <c r="J744" s="163">
        <f t="shared" si="107"/>
        <v>0</v>
      </c>
      <c r="K744" s="155">
        <f t="shared" si="10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109"/>
        <v>0</v>
      </c>
      <c r="O744" s="155">
        <f t="shared" si="11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683</v>
      </c>
      <c r="D745" s="213" t="s">
        <v>49</v>
      </c>
      <c r="E745" s="214" t="s">
        <v>14</v>
      </c>
      <c r="F745" s="215">
        <v>92500</v>
      </c>
      <c r="G745" s="215">
        <v>110000</v>
      </c>
      <c r="H745" s="171"/>
      <c r="I745" s="88">
        <f t="shared" si="106"/>
        <v>110000</v>
      </c>
      <c r="J745" s="163">
        <f t="shared" si="107"/>
        <v>0</v>
      </c>
      <c r="K745" s="155">
        <f t="shared" si="10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109"/>
        <v>0</v>
      </c>
      <c r="O745" s="155">
        <f t="shared" si="11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684</v>
      </c>
      <c r="D746" s="213" t="s">
        <v>49</v>
      </c>
      <c r="E746" s="214" t="s">
        <v>14</v>
      </c>
      <c r="F746" s="215">
        <v>119100</v>
      </c>
      <c r="G746" s="215">
        <v>141700</v>
      </c>
      <c r="H746" s="171"/>
      <c r="I746" s="88">
        <f t="shared" si="106"/>
        <v>141700</v>
      </c>
      <c r="J746" s="163">
        <f t="shared" si="107"/>
        <v>0</v>
      </c>
      <c r="K746" s="155">
        <f t="shared" si="10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109"/>
        <v>0</v>
      </c>
      <c r="O746" s="155">
        <f t="shared" si="11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685</v>
      </c>
      <c r="D747" s="213" t="s">
        <v>49</v>
      </c>
      <c r="E747" s="214" t="s">
        <v>14</v>
      </c>
      <c r="F747" s="215">
        <v>202200</v>
      </c>
      <c r="G747" s="215">
        <v>214400</v>
      </c>
      <c r="H747" s="171"/>
      <c r="I747" s="88">
        <f t="shared" si="106"/>
        <v>214400</v>
      </c>
      <c r="J747" s="163">
        <f t="shared" si="107"/>
        <v>0</v>
      </c>
      <c r="K747" s="155">
        <f t="shared" si="10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109"/>
        <v>0</v>
      </c>
      <c r="O747" s="155">
        <f t="shared" si="110"/>
        <v>0</v>
      </c>
      <c r="P747" s="155">
        <f>IF(O747=1,SUM($O$6:O747),0)</f>
        <v>0</v>
      </c>
    </row>
    <row r="748" spans="1:16" ht="15" customHeight="1">
      <c r="A748" s="15"/>
      <c r="B748" s="194"/>
      <c r="C748" s="109" t="s">
        <v>50</v>
      </c>
      <c r="D748" s="213" t="s">
        <v>50</v>
      </c>
      <c r="E748" s="214"/>
      <c r="F748" s="215"/>
      <c r="G748" s="215"/>
      <c r="H748" s="171"/>
      <c r="I748" s="88">
        <f t="shared" si="106"/>
        <v>0</v>
      </c>
      <c r="J748" s="163">
        <f t="shared" si="107"/>
        <v>0</v>
      </c>
      <c r="K748" s="155">
        <f t="shared" si="10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109"/>
        <v>0</v>
      </c>
      <c r="O748" s="155">
        <f t="shared" si="110"/>
        <v>0</v>
      </c>
      <c r="P748" s="155">
        <f>IF(O748=1,SUM($O$6:O748),0)</f>
        <v>0</v>
      </c>
    </row>
    <row r="749" spans="1:16" ht="15" customHeight="1">
      <c r="A749" s="15"/>
      <c r="B749" s="194" t="s">
        <v>1035</v>
      </c>
      <c r="C749" s="109" t="s">
        <v>686</v>
      </c>
      <c r="D749" s="213" t="s">
        <v>50</v>
      </c>
      <c r="E749" s="214"/>
      <c r="F749" s="215"/>
      <c r="G749" s="215"/>
      <c r="H749" s="171"/>
      <c r="I749" s="88">
        <f t="shared" si="106"/>
        <v>0</v>
      </c>
      <c r="J749" s="163">
        <f t="shared" si="107"/>
        <v>0</v>
      </c>
      <c r="K749" s="155">
        <f t="shared" si="10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109"/>
        <v>0</v>
      </c>
      <c r="O749" s="155">
        <f t="shared" si="11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687</v>
      </c>
      <c r="D750" s="213" t="s">
        <v>49</v>
      </c>
      <c r="E750" s="214" t="s">
        <v>14</v>
      </c>
      <c r="F750" s="215">
        <v>83600</v>
      </c>
      <c r="G750" s="215">
        <v>99400</v>
      </c>
      <c r="H750" s="171"/>
      <c r="I750" s="88">
        <f t="shared" si="106"/>
        <v>99400</v>
      </c>
      <c r="J750" s="163">
        <f t="shared" si="107"/>
        <v>0</v>
      </c>
      <c r="K750" s="155">
        <f t="shared" si="10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109"/>
        <v>0</v>
      </c>
      <c r="O750" s="155">
        <f t="shared" si="11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688</v>
      </c>
      <c r="D751" s="213" t="s">
        <v>49</v>
      </c>
      <c r="E751" s="214" t="s">
        <v>14</v>
      </c>
      <c r="F751" s="215">
        <v>83300</v>
      </c>
      <c r="G751" s="215">
        <v>99400</v>
      </c>
      <c r="H751" s="171"/>
      <c r="I751" s="88">
        <f t="shared" si="106"/>
        <v>99400</v>
      </c>
      <c r="J751" s="163">
        <f t="shared" si="107"/>
        <v>0</v>
      </c>
      <c r="K751" s="155">
        <f t="shared" si="10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109"/>
        <v>0</v>
      </c>
      <c r="O751" s="155">
        <f t="shared" si="11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689</v>
      </c>
      <c r="D752" s="213" t="s">
        <v>49</v>
      </c>
      <c r="E752" s="214" t="s">
        <v>14</v>
      </c>
      <c r="F752" s="215">
        <v>83300</v>
      </c>
      <c r="G752" s="215">
        <v>99100</v>
      </c>
      <c r="H752" s="171"/>
      <c r="I752" s="88">
        <f t="shared" si="106"/>
        <v>99100</v>
      </c>
      <c r="J752" s="163">
        <f t="shared" si="107"/>
        <v>0</v>
      </c>
      <c r="K752" s="155">
        <f t="shared" si="10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109"/>
        <v>0</v>
      </c>
      <c r="O752" s="155">
        <f t="shared" si="11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690</v>
      </c>
      <c r="D753" s="213" t="s">
        <v>49</v>
      </c>
      <c r="E753" s="214" t="s">
        <v>14</v>
      </c>
      <c r="F753" s="215">
        <v>88300</v>
      </c>
      <c r="G753" s="215">
        <v>105000</v>
      </c>
      <c r="H753" s="171"/>
      <c r="I753" s="88">
        <f t="shared" si="106"/>
        <v>105000</v>
      </c>
      <c r="J753" s="163">
        <f t="shared" si="107"/>
        <v>0</v>
      </c>
      <c r="K753" s="155">
        <f t="shared" si="10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109"/>
        <v>0</v>
      </c>
      <c r="O753" s="155">
        <f t="shared" si="11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691</v>
      </c>
      <c r="D754" s="213" t="s">
        <v>49</v>
      </c>
      <c r="E754" s="214" t="s">
        <v>14</v>
      </c>
      <c r="F754" s="215">
        <v>93300</v>
      </c>
      <c r="G754" s="215">
        <v>111000</v>
      </c>
      <c r="H754" s="171"/>
      <c r="I754" s="88">
        <f t="shared" si="106"/>
        <v>111000</v>
      </c>
      <c r="J754" s="163">
        <f t="shared" si="107"/>
        <v>0</v>
      </c>
      <c r="K754" s="155">
        <f t="shared" si="10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109"/>
        <v>0</v>
      </c>
      <c r="O754" s="155">
        <f t="shared" si="11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692</v>
      </c>
      <c r="D755" s="213" t="s">
        <v>49</v>
      </c>
      <c r="E755" s="214" t="s">
        <v>14</v>
      </c>
      <c r="F755" s="215">
        <v>81300</v>
      </c>
      <c r="G755" s="215">
        <v>81300</v>
      </c>
      <c r="H755" s="171"/>
      <c r="I755" s="88">
        <f t="shared" si="106"/>
        <v>81300</v>
      </c>
      <c r="J755" s="163">
        <f t="shared" si="107"/>
        <v>0</v>
      </c>
      <c r="K755" s="155">
        <f t="shared" si="10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109"/>
        <v>0</v>
      </c>
      <c r="O755" s="155">
        <f t="shared" si="11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693</v>
      </c>
      <c r="D756" s="213" t="s">
        <v>49</v>
      </c>
      <c r="E756" s="214" t="s">
        <v>14</v>
      </c>
      <c r="F756" s="215">
        <v>84900</v>
      </c>
      <c r="G756" s="215">
        <v>84900</v>
      </c>
      <c r="H756" s="171"/>
      <c r="I756" s="88">
        <f t="shared" ref="I756:I833" si="111">IF($I$5=$G$4,G756,(IF($I$5=$F$4,F756,0)))</f>
        <v>84900</v>
      </c>
      <c r="J756" s="163">
        <f t="shared" si="107"/>
        <v>0</v>
      </c>
      <c r="K756" s="155">
        <f t="shared" si="10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109"/>
        <v>0</v>
      </c>
      <c r="O756" s="155">
        <f t="shared" si="11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694</v>
      </c>
      <c r="D757" s="213" t="s">
        <v>49</v>
      </c>
      <c r="E757" s="214" t="s">
        <v>14</v>
      </c>
      <c r="F757" s="215">
        <v>94400</v>
      </c>
      <c r="G757" s="215">
        <v>94400</v>
      </c>
      <c r="H757" s="171"/>
      <c r="I757" s="88">
        <f t="shared" si="111"/>
        <v>94400</v>
      </c>
      <c r="J757" s="163">
        <f t="shared" si="107"/>
        <v>0</v>
      </c>
      <c r="K757" s="155">
        <f t="shared" si="10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109"/>
        <v>0</v>
      </c>
      <c r="O757" s="155">
        <f t="shared" si="11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695</v>
      </c>
      <c r="D758" s="213" t="s">
        <v>49</v>
      </c>
      <c r="E758" s="214" t="s">
        <v>14</v>
      </c>
      <c r="F758" s="215">
        <v>89400</v>
      </c>
      <c r="G758" s="215">
        <v>106300</v>
      </c>
      <c r="H758" s="171"/>
      <c r="I758" s="88">
        <f t="shared" si="111"/>
        <v>106300</v>
      </c>
      <c r="J758" s="163">
        <f t="shared" si="107"/>
        <v>0</v>
      </c>
      <c r="K758" s="155">
        <f t="shared" si="10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109"/>
        <v>0</v>
      </c>
      <c r="O758" s="155">
        <f t="shared" si="11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696</v>
      </c>
      <c r="D759" s="213" t="s">
        <v>49</v>
      </c>
      <c r="E759" s="214" t="s">
        <v>14</v>
      </c>
      <c r="F759" s="215">
        <v>87600</v>
      </c>
      <c r="G759" s="215">
        <v>104200</v>
      </c>
      <c r="H759" s="171"/>
      <c r="I759" s="88">
        <f t="shared" si="111"/>
        <v>104200</v>
      </c>
      <c r="J759" s="163">
        <f t="shared" si="107"/>
        <v>0</v>
      </c>
      <c r="K759" s="155">
        <f t="shared" si="10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109"/>
        <v>0</v>
      </c>
      <c r="O759" s="155">
        <f t="shared" si="11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18" t="s">
        <v>1515</v>
      </c>
      <c r="D760" s="213" t="s">
        <v>49</v>
      </c>
      <c r="E760" s="214" t="s">
        <v>14</v>
      </c>
      <c r="F760" s="215">
        <v>87600</v>
      </c>
      <c r="G760" s="215">
        <v>104200</v>
      </c>
      <c r="H760" s="171"/>
      <c r="I760" s="88">
        <f t="shared" si="111"/>
        <v>104200</v>
      </c>
      <c r="J760" s="163">
        <f t="shared" si="107"/>
        <v>0</v>
      </c>
      <c r="K760" s="155">
        <f t="shared" si="10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109"/>
        <v>0</v>
      </c>
      <c r="O760" s="155">
        <f t="shared" si="11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697</v>
      </c>
      <c r="D761" s="213" t="s">
        <v>49</v>
      </c>
      <c r="E761" s="214" t="s">
        <v>14</v>
      </c>
      <c r="F761" s="215">
        <v>111100</v>
      </c>
      <c r="G761" s="215">
        <v>132200</v>
      </c>
      <c r="H761" s="171"/>
      <c r="I761" s="88">
        <f t="shared" si="111"/>
        <v>132200</v>
      </c>
      <c r="J761" s="163">
        <f t="shared" si="107"/>
        <v>0</v>
      </c>
      <c r="K761" s="155">
        <f t="shared" si="10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109"/>
        <v>0</v>
      </c>
      <c r="O761" s="155">
        <f t="shared" si="11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698</v>
      </c>
      <c r="D762" s="213" t="s">
        <v>49</v>
      </c>
      <c r="E762" s="214" t="s">
        <v>14</v>
      </c>
      <c r="F762" s="215">
        <v>102000</v>
      </c>
      <c r="G762" s="215">
        <v>121300</v>
      </c>
      <c r="H762" s="171"/>
      <c r="I762" s="88">
        <f t="shared" si="111"/>
        <v>121300</v>
      </c>
      <c r="J762" s="163">
        <f t="shared" si="107"/>
        <v>0</v>
      </c>
      <c r="K762" s="155">
        <f t="shared" si="10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109"/>
        <v>0</v>
      </c>
      <c r="O762" s="155">
        <f t="shared" si="11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699</v>
      </c>
      <c r="D763" s="213" t="s">
        <v>49</v>
      </c>
      <c r="E763" s="214" t="s">
        <v>14</v>
      </c>
      <c r="F763" s="215">
        <v>82500</v>
      </c>
      <c r="G763" s="215">
        <v>82500</v>
      </c>
      <c r="H763" s="171"/>
      <c r="I763" s="88">
        <f t="shared" si="111"/>
        <v>82500</v>
      </c>
      <c r="J763" s="163">
        <f t="shared" si="107"/>
        <v>0</v>
      </c>
      <c r="K763" s="155">
        <f t="shared" si="10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109"/>
        <v>0</v>
      </c>
      <c r="O763" s="155">
        <f t="shared" si="11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700</v>
      </c>
      <c r="D764" s="213" t="s">
        <v>49</v>
      </c>
      <c r="E764" s="214" t="s">
        <v>14</v>
      </c>
      <c r="F764" s="215">
        <v>106900</v>
      </c>
      <c r="G764" s="215">
        <v>106900</v>
      </c>
      <c r="H764" s="175"/>
      <c r="I764" s="88">
        <f t="shared" si="111"/>
        <v>106900</v>
      </c>
      <c r="J764" s="163">
        <f t="shared" si="107"/>
        <v>0</v>
      </c>
      <c r="K764" s="155">
        <f t="shared" si="10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109"/>
        <v>0</v>
      </c>
      <c r="O764" s="155">
        <f t="shared" si="11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701</v>
      </c>
      <c r="D765" s="213" t="s">
        <v>49</v>
      </c>
      <c r="E765" s="214" t="s">
        <v>14</v>
      </c>
      <c r="F765" s="215">
        <v>109200</v>
      </c>
      <c r="G765" s="215">
        <v>109200</v>
      </c>
      <c r="H765" s="175"/>
      <c r="I765" s="88">
        <f t="shared" si="111"/>
        <v>109200</v>
      </c>
      <c r="J765" s="163">
        <f t="shared" si="107"/>
        <v>0</v>
      </c>
      <c r="K765" s="155">
        <f t="shared" si="10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109"/>
        <v>0</v>
      </c>
      <c r="O765" s="155">
        <f t="shared" si="11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702</v>
      </c>
      <c r="D766" s="213" t="s">
        <v>49</v>
      </c>
      <c r="E766" s="214" t="s">
        <v>14</v>
      </c>
      <c r="F766" s="215">
        <v>96900</v>
      </c>
      <c r="G766" s="215">
        <v>96900</v>
      </c>
      <c r="H766" s="175"/>
      <c r="I766" s="88">
        <f t="shared" si="111"/>
        <v>96900</v>
      </c>
      <c r="J766" s="163">
        <f t="shared" si="107"/>
        <v>0</v>
      </c>
      <c r="K766" s="155">
        <f t="shared" si="10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109"/>
        <v>0</v>
      </c>
      <c r="O766" s="155">
        <f t="shared" si="11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703</v>
      </c>
      <c r="D767" s="213" t="s">
        <v>49</v>
      </c>
      <c r="E767" s="214" t="s">
        <v>14</v>
      </c>
      <c r="F767" s="215">
        <v>107700</v>
      </c>
      <c r="G767" s="215">
        <v>128100</v>
      </c>
      <c r="H767" s="175"/>
      <c r="I767" s="88">
        <f t="shared" si="111"/>
        <v>128100</v>
      </c>
      <c r="J767" s="163">
        <f t="shared" si="107"/>
        <v>0</v>
      </c>
      <c r="K767" s="155">
        <f t="shared" si="10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109"/>
        <v>0</v>
      </c>
      <c r="O767" s="155">
        <f t="shared" si="11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704</v>
      </c>
      <c r="D768" s="213" t="s">
        <v>49</v>
      </c>
      <c r="E768" s="214" t="s">
        <v>14</v>
      </c>
      <c r="F768" s="215">
        <v>104400</v>
      </c>
      <c r="G768" s="215">
        <v>104400</v>
      </c>
      <c r="H768" s="175"/>
      <c r="I768" s="88">
        <f t="shared" si="111"/>
        <v>104400</v>
      </c>
      <c r="J768" s="163">
        <f t="shared" si="107"/>
        <v>0</v>
      </c>
      <c r="K768" s="155">
        <f t="shared" si="10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109"/>
        <v>0</v>
      </c>
      <c r="O768" s="155">
        <f t="shared" si="11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705</v>
      </c>
      <c r="D769" s="213" t="s">
        <v>49</v>
      </c>
      <c r="E769" s="214" t="s">
        <v>14</v>
      </c>
      <c r="F769" s="215">
        <v>194600</v>
      </c>
      <c r="G769" s="215">
        <v>214400</v>
      </c>
      <c r="H769" s="175"/>
      <c r="I769" s="88">
        <f t="shared" si="111"/>
        <v>214400</v>
      </c>
      <c r="J769" s="163">
        <f t="shared" si="107"/>
        <v>0</v>
      </c>
      <c r="K769" s="155">
        <f t="shared" si="10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109"/>
        <v>0</v>
      </c>
      <c r="O769" s="155">
        <f t="shared" si="11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706</v>
      </c>
      <c r="D770" s="213" t="s">
        <v>49</v>
      </c>
      <c r="E770" s="214" t="s">
        <v>14</v>
      </c>
      <c r="F770" s="215">
        <v>106600</v>
      </c>
      <c r="G770" s="215">
        <v>122500</v>
      </c>
      <c r="H770" s="175"/>
      <c r="I770" s="88">
        <f t="shared" si="111"/>
        <v>122500</v>
      </c>
      <c r="J770" s="163">
        <f t="shared" si="107"/>
        <v>0</v>
      </c>
      <c r="K770" s="155">
        <f t="shared" si="10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109"/>
        <v>0</v>
      </c>
      <c r="O770" s="155">
        <f t="shared" si="11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707</v>
      </c>
      <c r="D771" s="213" t="s">
        <v>49</v>
      </c>
      <c r="E771" s="214" t="s">
        <v>14</v>
      </c>
      <c r="F771" s="215">
        <v>113200</v>
      </c>
      <c r="G771" s="215">
        <v>134700</v>
      </c>
      <c r="H771" s="175"/>
      <c r="I771" s="88">
        <f t="shared" si="111"/>
        <v>134700</v>
      </c>
      <c r="J771" s="163">
        <f t="shared" si="107"/>
        <v>0</v>
      </c>
      <c r="K771" s="155">
        <f t="shared" si="10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109"/>
        <v>0</v>
      </c>
      <c r="O771" s="155">
        <f t="shared" si="11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708</v>
      </c>
      <c r="D772" s="213" t="s">
        <v>49</v>
      </c>
      <c r="E772" s="214" t="s">
        <v>14</v>
      </c>
      <c r="F772" s="215">
        <v>133200</v>
      </c>
      <c r="G772" s="215">
        <v>158500</v>
      </c>
      <c r="H772" s="175"/>
      <c r="I772" s="88">
        <f t="shared" si="111"/>
        <v>158500</v>
      </c>
      <c r="J772" s="163">
        <f t="shared" si="107"/>
        <v>0</v>
      </c>
      <c r="K772" s="155">
        <f t="shared" si="10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109"/>
        <v>0</v>
      </c>
      <c r="O772" s="155">
        <f t="shared" si="11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709</v>
      </c>
      <c r="D773" s="213" t="s">
        <v>49</v>
      </c>
      <c r="E773" s="214" t="s">
        <v>14</v>
      </c>
      <c r="F773" s="215">
        <v>113200</v>
      </c>
      <c r="G773" s="215">
        <v>134700</v>
      </c>
      <c r="H773" s="171"/>
      <c r="I773" s="88">
        <f>IF($I$5=$G$4,G773,(IF($I$5=$F$4,F773,0)))</f>
        <v>134700</v>
      </c>
      <c r="J773" s="163">
        <f t="shared" si="107"/>
        <v>0</v>
      </c>
      <c r="K773" s="155">
        <f t="shared" si="10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109"/>
        <v>0</v>
      </c>
      <c r="O773" s="155">
        <f t="shared" si="11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710</v>
      </c>
      <c r="D774" s="213" t="s">
        <v>49</v>
      </c>
      <c r="E774" s="214" t="s">
        <v>14</v>
      </c>
      <c r="F774" s="215">
        <v>103500</v>
      </c>
      <c r="G774" s="215">
        <v>103500</v>
      </c>
      <c r="H774" s="171"/>
      <c r="I774" s="88">
        <f t="shared" si="111"/>
        <v>103500</v>
      </c>
      <c r="J774" s="163">
        <f t="shared" si="107"/>
        <v>0</v>
      </c>
      <c r="K774" s="155">
        <f t="shared" si="10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109"/>
        <v>0</v>
      </c>
      <c r="O774" s="155">
        <f t="shared" si="11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711</v>
      </c>
      <c r="D775" s="213" t="s">
        <v>49</v>
      </c>
      <c r="E775" s="214" t="s">
        <v>14</v>
      </c>
      <c r="F775" s="215">
        <v>108700</v>
      </c>
      <c r="G775" s="215">
        <v>108700</v>
      </c>
      <c r="H775" s="171"/>
      <c r="I775" s="88">
        <f t="shared" si="111"/>
        <v>108700</v>
      </c>
      <c r="J775" s="163">
        <f t="shared" si="107"/>
        <v>0</v>
      </c>
      <c r="K775" s="155">
        <f t="shared" si="10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109"/>
        <v>0</v>
      </c>
      <c r="O775" s="155">
        <f t="shared" si="11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18" t="s">
        <v>1516</v>
      </c>
      <c r="D776" s="213" t="s">
        <v>49</v>
      </c>
      <c r="E776" s="214" t="s">
        <v>14</v>
      </c>
      <c r="F776" s="215">
        <v>111100</v>
      </c>
      <c r="G776" s="215">
        <v>111100</v>
      </c>
      <c r="H776" s="171"/>
      <c r="I776" s="88">
        <f t="shared" si="111"/>
        <v>111100</v>
      </c>
      <c r="J776" s="163">
        <f t="shared" si="107"/>
        <v>0</v>
      </c>
      <c r="K776" s="155">
        <f t="shared" si="10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109"/>
        <v>0</v>
      </c>
      <c r="O776" s="155">
        <f t="shared" si="11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712</v>
      </c>
      <c r="D777" s="213" t="s">
        <v>49</v>
      </c>
      <c r="E777" s="214" t="s">
        <v>14</v>
      </c>
      <c r="F777" s="215">
        <v>214300</v>
      </c>
      <c r="G777" s="215">
        <v>254900</v>
      </c>
      <c r="H777" s="171"/>
      <c r="I777" s="88">
        <f t="shared" si="111"/>
        <v>254900</v>
      </c>
      <c r="J777" s="163">
        <f t="shared" si="107"/>
        <v>0</v>
      </c>
      <c r="K777" s="155">
        <f t="shared" si="10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109"/>
        <v>0</v>
      </c>
      <c r="O777" s="155">
        <f t="shared" si="11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713</v>
      </c>
      <c r="D778" s="213" t="s">
        <v>49</v>
      </c>
      <c r="E778" s="214" t="s">
        <v>14</v>
      </c>
      <c r="F778" s="215">
        <v>197500</v>
      </c>
      <c r="G778" s="215">
        <v>197500</v>
      </c>
      <c r="H778" s="171"/>
      <c r="I778" s="88">
        <f t="shared" si="111"/>
        <v>197500</v>
      </c>
      <c r="J778" s="163">
        <f t="shared" si="107"/>
        <v>0</v>
      </c>
      <c r="K778" s="155">
        <f t="shared" si="10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109"/>
        <v>0</v>
      </c>
      <c r="O778" s="155">
        <f t="shared" si="11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714</v>
      </c>
      <c r="D779" s="213" t="s">
        <v>49</v>
      </c>
      <c r="E779" s="214" t="s">
        <v>14</v>
      </c>
      <c r="F779" s="215">
        <v>219500</v>
      </c>
      <c r="G779" s="215">
        <v>261100</v>
      </c>
      <c r="H779" s="171"/>
      <c r="I779" s="88">
        <f t="shared" si="111"/>
        <v>261100</v>
      </c>
      <c r="J779" s="163">
        <f t="shared" si="107"/>
        <v>0</v>
      </c>
      <c r="K779" s="155">
        <f t="shared" si="10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109"/>
        <v>0</v>
      </c>
      <c r="O779" s="155">
        <f t="shared" si="11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18" t="s">
        <v>1517</v>
      </c>
      <c r="D780" s="213" t="s">
        <v>49</v>
      </c>
      <c r="E780" s="214" t="s">
        <v>14</v>
      </c>
      <c r="F780" s="215">
        <v>197500</v>
      </c>
      <c r="G780" s="215">
        <v>197500</v>
      </c>
      <c r="H780" s="171"/>
      <c r="I780" s="88">
        <f t="shared" si="111"/>
        <v>197500</v>
      </c>
      <c r="J780" s="163">
        <f t="shared" si="107"/>
        <v>0</v>
      </c>
      <c r="K780" s="155">
        <f t="shared" si="10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109"/>
        <v>0</v>
      </c>
      <c r="O780" s="155">
        <f t="shared" si="11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715</v>
      </c>
      <c r="D781" s="213" t="s">
        <v>49</v>
      </c>
      <c r="E781" s="214" t="s">
        <v>14</v>
      </c>
      <c r="F781" s="215">
        <v>218400</v>
      </c>
      <c r="G781" s="215">
        <v>218400</v>
      </c>
      <c r="H781" s="171"/>
      <c r="I781" s="88">
        <f t="shared" si="111"/>
        <v>218400</v>
      </c>
      <c r="J781" s="163">
        <f t="shared" si="107"/>
        <v>0</v>
      </c>
      <c r="K781" s="155">
        <f t="shared" si="10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109"/>
        <v>0</v>
      </c>
      <c r="O781" s="155">
        <f t="shared" si="11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716</v>
      </c>
      <c r="D782" s="213" t="s">
        <v>49</v>
      </c>
      <c r="E782" s="214" t="s">
        <v>14</v>
      </c>
      <c r="F782" s="215">
        <v>222500</v>
      </c>
      <c r="G782" s="215">
        <v>222500</v>
      </c>
      <c r="H782" s="171"/>
      <c r="I782" s="88">
        <f t="shared" si="111"/>
        <v>222500</v>
      </c>
      <c r="J782" s="163">
        <f t="shared" si="107"/>
        <v>0</v>
      </c>
      <c r="K782" s="155">
        <f t="shared" si="10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109"/>
        <v>0</v>
      </c>
      <c r="O782" s="155">
        <f t="shared" si="11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18" t="s">
        <v>1518</v>
      </c>
      <c r="D783" s="213" t="s">
        <v>49</v>
      </c>
      <c r="E783" s="214" t="s">
        <v>14</v>
      </c>
      <c r="F783" s="215">
        <v>173300</v>
      </c>
      <c r="G783" s="215">
        <v>173300</v>
      </c>
      <c r="H783" s="171"/>
      <c r="I783" s="88">
        <f t="shared" si="111"/>
        <v>173300</v>
      </c>
      <c r="J783" s="163">
        <f t="shared" si="107"/>
        <v>0</v>
      </c>
      <c r="K783" s="155">
        <f t="shared" si="10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109"/>
        <v>0</v>
      </c>
      <c r="O783" s="155">
        <f t="shared" si="11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18" t="s">
        <v>1519</v>
      </c>
      <c r="D784" s="213" t="s">
        <v>49</v>
      </c>
      <c r="E784" s="214" t="s">
        <v>14</v>
      </c>
      <c r="F784" s="215">
        <v>279500</v>
      </c>
      <c r="G784" s="215">
        <v>279500</v>
      </c>
      <c r="H784" s="171"/>
      <c r="I784" s="88">
        <f t="shared" si="111"/>
        <v>279500</v>
      </c>
      <c r="J784" s="163">
        <f t="shared" si="107"/>
        <v>0</v>
      </c>
      <c r="K784" s="155">
        <f t="shared" si="10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109"/>
        <v>0</v>
      </c>
      <c r="O784" s="155">
        <f t="shared" si="11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717</v>
      </c>
      <c r="D785" s="213" t="s">
        <v>49</v>
      </c>
      <c r="E785" s="214" t="s">
        <v>14</v>
      </c>
      <c r="F785" s="215">
        <v>93500</v>
      </c>
      <c r="G785" s="215">
        <v>111200</v>
      </c>
      <c r="H785" s="171"/>
      <c r="I785" s="88">
        <f t="shared" si="111"/>
        <v>111200</v>
      </c>
      <c r="J785" s="163">
        <f t="shared" si="107"/>
        <v>0</v>
      </c>
      <c r="K785" s="155">
        <f t="shared" si="10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109"/>
        <v>0</v>
      </c>
      <c r="O785" s="155">
        <f t="shared" si="11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718</v>
      </c>
      <c r="D786" s="213" t="s">
        <v>49</v>
      </c>
      <c r="E786" s="214" t="s">
        <v>14</v>
      </c>
      <c r="F786" s="215">
        <v>93500</v>
      </c>
      <c r="G786" s="215">
        <v>111200</v>
      </c>
      <c r="H786" s="171"/>
      <c r="I786" s="88">
        <f t="shared" si="111"/>
        <v>111200</v>
      </c>
      <c r="J786" s="163">
        <f t="shared" si="107"/>
        <v>0</v>
      </c>
      <c r="K786" s="155">
        <f t="shared" si="10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9"/>
        <v>0</v>
      </c>
      <c r="O786" s="155">
        <f t="shared" si="11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719</v>
      </c>
      <c r="D787" s="213" t="s">
        <v>49</v>
      </c>
      <c r="E787" s="214" t="s">
        <v>14</v>
      </c>
      <c r="F787" s="215">
        <v>89800</v>
      </c>
      <c r="G787" s="215">
        <v>89800</v>
      </c>
      <c r="H787" s="171"/>
      <c r="I787" s="88">
        <f t="shared" si="111"/>
        <v>89800</v>
      </c>
      <c r="J787" s="163">
        <f t="shared" ref="J787:J850" si="112">IF(D787="MDU-KD",1,0)</f>
        <v>0</v>
      </c>
      <c r="K787" s="155">
        <f t="shared" ref="K787:K850" si="11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114">IF(L787=0,M787,L787)</f>
        <v>0</v>
      </c>
      <c r="O787" s="155">
        <f t="shared" ref="O787:O850" si="11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720</v>
      </c>
      <c r="D788" s="213" t="s">
        <v>49</v>
      </c>
      <c r="E788" s="214" t="s">
        <v>14</v>
      </c>
      <c r="F788" s="215">
        <v>113300</v>
      </c>
      <c r="G788" s="215">
        <v>134800</v>
      </c>
      <c r="H788" s="171"/>
      <c r="I788" s="88">
        <f t="shared" si="111"/>
        <v>134800</v>
      </c>
      <c r="J788" s="163">
        <f t="shared" si="112"/>
        <v>0</v>
      </c>
      <c r="K788" s="155">
        <f t="shared" si="11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14"/>
        <v>0</v>
      </c>
      <c r="O788" s="155">
        <f t="shared" si="11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721</v>
      </c>
      <c r="D789" s="213" t="s">
        <v>49</v>
      </c>
      <c r="E789" s="214" t="s">
        <v>14</v>
      </c>
      <c r="F789" s="215">
        <v>113300</v>
      </c>
      <c r="G789" s="215">
        <v>134800</v>
      </c>
      <c r="H789" s="171"/>
      <c r="I789" s="88">
        <f t="shared" si="111"/>
        <v>134800</v>
      </c>
      <c r="J789" s="163">
        <f t="shared" si="112"/>
        <v>0</v>
      </c>
      <c r="K789" s="155">
        <f t="shared" si="11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14"/>
        <v>0</v>
      </c>
      <c r="O789" s="155">
        <f t="shared" si="11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722</v>
      </c>
      <c r="D790" s="213" t="s">
        <v>49</v>
      </c>
      <c r="E790" s="214" t="s">
        <v>14</v>
      </c>
      <c r="F790" s="215">
        <v>102600</v>
      </c>
      <c r="G790" s="215">
        <v>102600</v>
      </c>
      <c r="H790" s="171"/>
      <c r="I790" s="88">
        <f t="shared" si="111"/>
        <v>102600</v>
      </c>
      <c r="J790" s="163">
        <f t="shared" si="112"/>
        <v>0</v>
      </c>
      <c r="K790" s="155">
        <f t="shared" si="11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14"/>
        <v>0</v>
      </c>
      <c r="O790" s="155">
        <f t="shared" si="11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723</v>
      </c>
      <c r="D791" s="213" t="s">
        <v>49</v>
      </c>
      <c r="E791" s="214" t="s">
        <v>14</v>
      </c>
      <c r="F791" s="215">
        <v>114600</v>
      </c>
      <c r="G791" s="215">
        <v>136300</v>
      </c>
      <c r="H791" s="171"/>
      <c r="I791" s="88">
        <f t="shared" si="111"/>
        <v>136300</v>
      </c>
      <c r="J791" s="163">
        <f t="shared" si="112"/>
        <v>0</v>
      </c>
      <c r="K791" s="155">
        <f t="shared" si="11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14"/>
        <v>0</v>
      </c>
      <c r="O791" s="155">
        <f t="shared" si="11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724</v>
      </c>
      <c r="D792" s="213" t="s">
        <v>49</v>
      </c>
      <c r="E792" s="214" t="s">
        <v>14</v>
      </c>
      <c r="F792" s="215">
        <v>118400</v>
      </c>
      <c r="G792" s="215">
        <v>140800</v>
      </c>
      <c r="H792" s="171"/>
      <c r="I792" s="88">
        <f t="shared" si="111"/>
        <v>140800</v>
      </c>
      <c r="J792" s="163">
        <f t="shared" si="112"/>
        <v>0</v>
      </c>
      <c r="K792" s="155">
        <f t="shared" si="11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14"/>
        <v>0</v>
      </c>
      <c r="O792" s="155">
        <f t="shared" si="11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725</v>
      </c>
      <c r="D793" s="213" t="s">
        <v>49</v>
      </c>
      <c r="E793" s="214" t="s">
        <v>14</v>
      </c>
      <c r="F793" s="215">
        <v>109700</v>
      </c>
      <c r="G793" s="215">
        <v>109700</v>
      </c>
      <c r="H793" s="171"/>
      <c r="I793" s="88">
        <f t="shared" si="111"/>
        <v>109700</v>
      </c>
      <c r="J793" s="163">
        <f t="shared" si="112"/>
        <v>0</v>
      </c>
      <c r="K793" s="155">
        <f t="shared" si="11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14"/>
        <v>0</v>
      </c>
      <c r="O793" s="155">
        <f t="shared" si="115"/>
        <v>0</v>
      </c>
      <c r="P793" s="155">
        <f>IF(O793=1,SUM($O$6:O793),0)</f>
        <v>0</v>
      </c>
    </row>
    <row r="794" spans="1:16" ht="15" customHeight="1">
      <c r="A794" s="15"/>
      <c r="B794" s="194"/>
      <c r="C794" s="109" t="s">
        <v>50</v>
      </c>
      <c r="D794" s="213" t="s">
        <v>50</v>
      </c>
      <c r="E794" s="214"/>
      <c r="F794" s="215"/>
      <c r="G794" s="215"/>
      <c r="H794" s="171"/>
      <c r="I794" s="88">
        <f t="shared" si="111"/>
        <v>0</v>
      </c>
      <c r="J794" s="163">
        <f t="shared" si="112"/>
        <v>0</v>
      </c>
      <c r="K794" s="155">
        <f t="shared" si="11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14"/>
        <v>0</v>
      </c>
      <c r="O794" s="155">
        <f t="shared" si="115"/>
        <v>0</v>
      </c>
      <c r="P794" s="155">
        <f>IF(O794=1,SUM($O$6:O794),0)</f>
        <v>0</v>
      </c>
    </row>
    <row r="795" spans="1:16" ht="15" customHeight="1">
      <c r="A795" s="15"/>
      <c r="B795" s="194" t="s">
        <v>1035</v>
      </c>
      <c r="C795" s="109" t="s">
        <v>726</v>
      </c>
      <c r="D795" s="213" t="s">
        <v>50</v>
      </c>
      <c r="E795" s="214"/>
      <c r="F795" s="215"/>
      <c r="G795" s="215"/>
      <c r="H795" s="171"/>
      <c r="I795" s="88">
        <f t="shared" si="111"/>
        <v>0</v>
      </c>
      <c r="J795" s="163">
        <f t="shared" si="112"/>
        <v>0</v>
      </c>
      <c r="K795" s="155">
        <f t="shared" si="11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14"/>
        <v>0</v>
      </c>
      <c r="O795" s="155">
        <f t="shared" si="11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727</v>
      </c>
      <c r="D796" s="213" t="s">
        <v>49</v>
      </c>
      <c r="E796" s="214" t="s">
        <v>14</v>
      </c>
      <c r="F796" s="215">
        <v>166200</v>
      </c>
      <c r="G796" s="215">
        <v>197700</v>
      </c>
      <c r="H796" s="171"/>
      <c r="I796" s="88">
        <f t="shared" si="111"/>
        <v>197700</v>
      </c>
      <c r="J796" s="163">
        <f t="shared" si="112"/>
        <v>0</v>
      </c>
      <c r="K796" s="155">
        <f t="shared" si="11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14"/>
        <v>0</v>
      </c>
      <c r="O796" s="155">
        <f t="shared" si="11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728</v>
      </c>
      <c r="D797" s="213" t="s">
        <v>49</v>
      </c>
      <c r="E797" s="214" t="s">
        <v>14</v>
      </c>
      <c r="F797" s="215">
        <v>169000</v>
      </c>
      <c r="G797" s="215">
        <v>201000</v>
      </c>
      <c r="H797" s="171"/>
      <c r="I797" s="88">
        <f t="shared" si="111"/>
        <v>201000</v>
      </c>
      <c r="J797" s="163">
        <f t="shared" si="112"/>
        <v>0</v>
      </c>
      <c r="K797" s="155">
        <f t="shared" si="11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14"/>
        <v>0</v>
      </c>
      <c r="O797" s="155">
        <f t="shared" si="11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1520</v>
      </c>
      <c r="D798" s="213" t="s">
        <v>49</v>
      </c>
      <c r="E798" s="214" t="s">
        <v>14</v>
      </c>
      <c r="F798" s="215">
        <v>169000</v>
      </c>
      <c r="G798" s="215">
        <v>201000</v>
      </c>
      <c r="H798" s="171"/>
      <c r="I798" s="88">
        <f t="shared" si="111"/>
        <v>201000</v>
      </c>
      <c r="J798" s="163">
        <f t="shared" si="112"/>
        <v>0</v>
      </c>
      <c r="K798" s="155">
        <f t="shared" si="11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14"/>
        <v>0</v>
      </c>
      <c r="O798" s="155">
        <f t="shared" si="11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729</v>
      </c>
      <c r="D799" s="213" t="s">
        <v>49</v>
      </c>
      <c r="E799" s="214" t="s">
        <v>14</v>
      </c>
      <c r="F799" s="215">
        <v>177200</v>
      </c>
      <c r="G799" s="215">
        <v>210800</v>
      </c>
      <c r="H799" s="171"/>
      <c r="I799" s="88">
        <f t="shared" si="111"/>
        <v>210800</v>
      </c>
      <c r="J799" s="163">
        <f t="shared" si="112"/>
        <v>0</v>
      </c>
      <c r="K799" s="155">
        <f t="shared" si="11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14"/>
        <v>0</v>
      </c>
      <c r="O799" s="155">
        <f t="shared" si="11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730</v>
      </c>
      <c r="D800" s="213" t="s">
        <v>49</v>
      </c>
      <c r="E800" s="214" t="s">
        <v>14</v>
      </c>
      <c r="F800" s="215">
        <v>177200</v>
      </c>
      <c r="G800" s="215">
        <v>210800</v>
      </c>
      <c r="H800" s="171"/>
      <c r="I800" s="88">
        <f t="shared" si="111"/>
        <v>210800</v>
      </c>
      <c r="J800" s="163">
        <f t="shared" si="112"/>
        <v>0</v>
      </c>
      <c r="K800" s="155">
        <f t="shared" si="11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14"/>
        <v>0</v>
      </c>
      <c r="O800" s="155">
        <f t="shared" si="11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731</v>
      </c>
      <c r="D801" s="213" t="s">
        <v>49</v>
      </c>
      <c r="E801" s="214" t="s">
        <v>14</v>
      </c>
      <c r="F801" s="215">
        <v>215500</v>
      </c>
      <c r="G801" s="215">
        <v>256400</v>
      </c>
      <c r="H801" s="171"/>
      <c r="I801" s="88">
        <f t="shared" si="111"/>
        <v>256400</v>
      </c>
      <c r="J801" s="163">
        <f t="shared" si="112"/>
        <v>0</v>
      </c>
      <c r="K801" s="155">
        <f t="shared" si="11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14"/>
        <v>0</v>
      </c>
      <c r="O801" s="155">
        <f t="shared" si="11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732</v>
      </c>
      <c r="D802" s="213" t="s">
        <v>49</v>
      </c>
      <c r="E802" s="214" t="s">
        <v>14</v>
      </c>
      <c r="F802" s="215">
        <v>213100</v>
      </c>
      <c r="G802" s="215">
        <v>253500</v>
      </c>
      <c r="H802" s="171"/>
      <c r="I802" s="88">
        <f t="shared" si="111"/>
        <v>253500</v>
      </c>
      <c r="J802" s="163">
        <f t="shared" si="112"/>
        <v>0</v>
      </c>
      <c r="K802" s="155">
        <f t="shared" si="11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14"/>
        <v>0</v>
      </c>
      <c r="O802" s="155">
        <f t="shared" si="11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733</v>
      </c>
      <c r="D803" s="213" t="s">
        <v>49</v>
      </c>
      <c r="E803" s="214" t="s">
        <v>14</v>
      </c>
      <c r="F803" s="215">
        <v>213100</v>
      </c>
      <c r="G803" s="215">
        <v>253500</v>
      </c>
      <c r="H803" s="171"/>
      <c r="I803" s="88">
        <f t="shared" si="111"/>
        <v>253500</v>
      </c>
      <c r="J803" s="163">
        <f t="shared" si="112"/>
        <v>0</v>
      </c>
      <c r="K803" s="155">
        <f t="shared" si="11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14"/>
        <v>0</v>
      </c>
      <c r="O803" s="155">
        <f t="shared" si="11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1522</v>
      </c>
      <c r="D804" s="213" t="s">
        <v>49</v>
      </c>
      <c r="E804" s="214" t="s">
        <v>14</v>
      </c>
      <c r="F804" s="215">
        <v>213100</v>
      </c>
      <c r="G804" s="215">
        <v>253500</v>
      </c>
      <c r="H804" s="171"/>
      <c r="I804" s="88">
        <f t="shared" si="111"/>
        <v>253500</v>
      </c>
      <c r="J804" s="163">
        <f t="shared" si="112"/>
        <v>0</v>
      </c>
      <c r="K804" s="155">
        <f t="shared" si="11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14"/>
        <v>0</v>
      </c>
      <c r="O804" s="155">
        <f t="shared" si="11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18" t="s">
        <v>1521</v>
      </c>
      <c r="D805" s="213" t="s">
        <v>49</v>
      </c>
      <c r="E805" s="214" t="s">
        <v>14</v>
      </c>
      <c r="F805" s="215">
        <v>213100</v>
      </c>
      <c r="G805" s="215">
        <v>253500</v>
      </c>
      <c r="H805" s="171"/>
      <c r="I805" s="88">
        <f t="shared" si="111"/>
        <v>253500</v>
      </c>
      <c r="J805" s="163">
        <f t="shared" si="112"/>
        <v>0</v>
      </c>
      <c r="K805" s="155">
        <f t="shared" si="11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14"/>
        <v>0</v>
      </c>
      <c r="O805" s="155">
        <f t="shared" si="11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734</v>
      </c>
      <c r="D806" s="213" t="s">
        <v>49</v>
      </c>
      <c r="E806" s="214" t="s">
        <v>14</v>
      </c>
      <c r="F806" s="215">
        <v>218400</v>
      </c>
      <c r="G806" s="215">
        <v>259800</v>
      </c>
      <c r="H806" s="171"/>
      <c r="I806" s="88">
        <f t="shared" si="111"/>
        <v>259800</v>
      </c>
      <c r="J806" s="163">
        <f t="shared" si="112"/>
        <v>0</v>
      </c>
      <c r="K806" s="155">
        <f t="shared" si="11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14"/>
        <v>0</v>
      </c>
      <c r="O806" s="155">
        <f t="shared" si="11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735</v>
      </c>
      <c r="D807" s="213" t="s">
        <v>49</v>
      </c>
      <c r="E807" s="214" t="s">
        <v>14</v>
      </c>
      <c r="F807" s="215">
        <v>253600</v>
      </c>
      <c r="G807" s="215">
        <v>285900</v>
      </c>
      <c r="H807" s="171"/>
      <c r="I807" s="88">
        <f t="shared" si="111"/>
        <v>285900</v>
      </c>
      <c r="J807" s="163">
        <f t="shared" si="112"/>
        <v>0</v>
      </c>
      <c r="K807" s="155">
        <f t="shared" si="11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14"/>
        <v>0</v>
      </c>
      <c r="O807" s="155">
        <f t="shared" si="11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736</v>
      </c>
      <c r="D808" s="213" t="s">
        <v>49</v>
      </c>
      <c r="E808" s="214" t="s">
        <v>14</v>
      </c>
      <c r="F808" s="215">
        <v>404400</v>
      </c>
      <c r="G808" s="215">
        <v>428800</v>
      </c>
      <c r="H808" s="171"/>
      <c r="I808" s="88">
        <f t="shared" si="111"/>
        <v>428800</v>
      </c>
      <c r="J808" s="163">
        <f t="shared" si="112"/>
        <v>0</v>
      </c>
      <c r="K808" s="155">
        <f t="shared" si="11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14"/>
        <v>0</v>
      </c>
      <c r="O808" s="155">
        <f t="shared" si="11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737</v>
      </c>
      <c r="D809" s="213" t="s">
        <v>49</v>
      </c>
      <c r="E809" s="214" t="s">
        <v>14</v>
      </c>
      <c r="F809" s="215">
        <v>404400</v>
      </c>
      <c r="G809" s="215">
        <v>428800</v>
      </c>
      <c r="H809" s="171"/>
      <c r="I809" s="88">
        <f t="shared" si="111"/>
        <v>428800</v>
      </c>
      <c r="J809" s="163">
        <f t="shared" si="112"/>
        <v>0</v>
      </c>
      <c r="K809" s="155">
        <f t="shared" si="11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14"/>
        <v>0</v>
      </c>
      <c r="O809" s="155">
        <f t="shared" si="11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13" t="s">
        <v>50</v>
      </c>
      <c r="E810" s="214"/>
      <c r="F810" s="215"/>
      <c r="G810" s="215"/>
      <c r="H810" s="171"/>
      <c r="I810" s="88">
        <f t="shared" si="111"/>
        <v>0</v>
      </c>
      <c r="J810" s="163">
        <f t="shared" si="112"/>
        <v>0</v>
      </c>
      <c r="K810" s="155">
        <f t="shared" si="11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14"/>
        <v>0</v>
      </c>
      <c r="O810" s="155">
        <f t="shared" si="115"/>
        <v>0</v>
      </c>
      <c r="P810" s="155">
        <f>IF(O810=1,SUM($O$6:O810),0)</f>
        <v>0</v>
      </c>
    </row>
    <row r="811" spans="1:16" ht="15" customHeight="1">
      <c r="A811" s="15"/>
      <c r="B811" s="194" t="s">
        <v>1035</v>
      </c>
      <c r="C811" s="109" t="s">
        <v>1063</v>
      </c>
      <c r="D811" s="213" t="s">
        <v>50</v>
      </c>
      <c r="E811" s="214"/>
      <c r="F811" s="215"/>
      <c r="G811" s="215"/>
      <c r="H811" s="171"/>
      <c r="I811" s="88">
        <f>IF($I$5=$G$4,G811,(IF($I$5=$F$4,F811,0)))</f>
        <v>0</v>
      </c>
      <c r="J811" s="163">
        <f t="shared" si="112"/>
        <v>0</v>
      </c>
      <c r="K811" s="155">
        <f t="shared" si="11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14"/>
        <v>0</v>
      </c>
      <c r="O811" s="155">
        <f t="shared" si="11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1064</v>
      </c>
      <c r="D812" s="213" t="s">
        <v>49</v>
      </c>
      <c r="E812" s="214" t="s">
        <v>14</v>
      </c>
      <c r="F812" s="215">
        <v>36000</v>
      </c>
      <c r="G812" s="215">
        <v>42800</v>
      </c>
      <c r="H812" s="171"/>
      <c r="I812" s="88">
        <f t="shared" si="111"/>
        <v>42800</v>
      </c>
      <c r="J812" s="163">
        <f t="shared" si="112"/>
        <v>0</v>
      </c>
      <c r="K812" s="155">
        <f t="shared" si="11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14"/>
        <v>0</v>
      </c>
      <c r="O812" s="155">
        <f t="shared" si="11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1065</v>
      </c>
      <c r="D813" s="213" t="s">
        <v>49</v>
      </c>
      <c r="E813" s="214" t="s">
        <v>14</v>
      </c>
      <c r="F813" s="215">
        <v>48100</v>
      </c>
      <c r="G813" s="215">
        <v>48100</v>
      </c>
      <c r="H813" s="171"/>
      <c r="I813" s="88">
        <f t="shared" si="111"/>
        <v>48100</v>
      </c>
      <c r="J813" s="163">
        <f t="shared" si="112"/>
        <v>0</v>
      </c>
      <c r="K813" s="155">
        <f t="shared" si="11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14"/>
        <v>0</v>
      </c>
      <c r="O813" s="155">
        <f t="shared" si="11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1066</v>
      </c>
      <c r="D814" s="213" t="s">
        <v>49</v>
      </c>
      <c r="E814" s="214" t="s">
        <v>14</v>
      </c>
      <c r="F814" s="215">
        <v>55300</v>
      </c>
      <c r="G814" s="215">
        <v>55300</v>
      </c>
      <c r="H814" s="171"/>
      <c r="I814" s="88">
        <f t="shared" si="111"/>
        <v>55300</v>
      </c>
      <c r="J814" s="163">
        <f t="shared" si="112"/>
        <v>0</v>
      </c>
      <c r="K814" s="155">
        <f t="shared" si="11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14"/>
        <v>0</v>
      </c>
      <c r="O814" s="155">
        <f t="shared" si="11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1067</v>
      </c>
      <c r="D815" s="213" t="s">
        <v>49</v>
      </c>
      <c r="E815" s="214" t="s">
        <v>14</v>
      </c>
      <c r="F815" s="215">
        <v>51500</v>
      </c>
      <c r="G815" s="215">
        <v>51500</v>
      </c>
      <c r="H815" s="171"/>
      <c r="I815" s="88">
        <f t="shared" si="111"/>
        <v>51500</v>
      </c>
      <c r="J815" s="163">
        <f t="shared" si="112"/>
        <v>0</v>
      </c>
      <c r="K815" s="155">
        <f t="shared" si="11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14"/>
        <v>0</v>
      </c>
      <c r="O815" s="155">
        <f t="shared" si="11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1068</v>
      </c>
      <c r="D816" s="213" t="s">
        <v>49</v>
      </c>
      <c r="E816" s="214" t="s">
        <v>14</v>
      </c>
      <c r="F816" s="215">
        <v>67900</v>
      </c>
      <c r="G816" s="215">
        <v>67900</v>
      </c>
      <c r="H816" s="171"/>
      <c r="I816" s="88">
        <f t="shared" ref="I816:I821" si="116">IF($I$5=$G$4,G816,(IF($I$5=$F$4,F816,0)))</f>
        <v>67900</v>
      </c>
      <c r="J816" s="163">
        <f t="shared" si="112"/>
        <v>0</v>
      </c>
      <c r="K816" s="155">
        <f t="shared" si="11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14"/>
        <v>0</v>
      </c>
      <c r="O816" s="155">
        <f t="shared" si="11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1069</v>
      </c>
      <c r="D817" s="213" t="s">
        <v>49</v>
      </c>
      <c r="E817" s="214" t="s">
        <v>14</v>
      </c>
      <c r="F817" s="215">
        <v>56700</v>
      </c>
      <c r="G817" s="215">
        <v>56700</v>
      </c>
      <c r="H817" s="171"/>
      <c r="I817" s="88">
        <f t="shared" si="116"/>
        <v>56700</v>
      </c>
      <c r="J817" s="163">
        <f t="shared" si="112"/>
        <v>0</v>
      </c>
      <c r="K817" s="155">
        <f t="shared" si="11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14"/>
        <v>0</v>
      </c>
      <c r="O817" s="155">
        <f t="shared" si="11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1166</v>
      </c>
      <c r="D818" s="213" t="s">
        <v>49</v>
      </c>
      <c r="E818" s="214" t="s">
        <v>14</v>
      </c>
      <c r="F818" s="215">
        <v>596900</v>
      </c>
      <c r="G818" s="215">
        <v>596900</v>
      </c>
      <c r="H818" s="171"/>
      <c r="I818" s="88">
        <f t="shared" si="116"/>
        <v>596900</v>
      </c>
      <c r="J818" s="163">
        <f t="shared" si="112"/>
        <v>0</v>
      </c>
      <c r="K818" s="155">
        <f t="shared" si="11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14"/>
        <v>0</v>
      </c>
      <c r="O818" s="155">
        <f t="shared" si="11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1167</v>
      </c>
      <c r="D819" s="213" t="s">
        <v>49</v>
      </c>
      <c r="E819" s="214" t="s">
        <v>14</v>
      </c>
      <c r="F819" s="215">
        <v>401500</v>
      </c>
      <c r="G819" s="215">
        <v>401500</v>
      </c>
      <c r="H819" s="171"/>
      <c r="I819" s="88">
        <f t="shared" si="116"/>
        <v>401500</v>
      </c>
      <c r="J819" s="163">
        <f t="shared" si="112"/>
        <v>0</v>
      </c>
      <c r="K819" s="155">
        <f t="shared" si="11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14"/>
        <v>0</v>
      </c>
      <c r="O819" s="155">
        <f t="shared" si="115"/>
        <v>0</v>
      </c>
      <c r="P819" s="155">
        <f>IF(O819=1,SUM($O$6:O819),0)</f>
        <v>0</v>
      </c>
    </row>
    <row r="820" spans="1:16" ht="15" customHeight="1">
      <c r="A820" s="15"/>
      <c r="B820" s="194"/>
      <c r="C820" s="109"/>
      <c r="D820" s="213" t="s">
        <v>50</v>
      </c>
      <c r="E820" s="214"/>
      <c r="F820" s="215"/>
      <c r="G820" s="215"/>
      <c r="H820" s="171"/>
      <c r="I820" s="88">
        <f t="shared" si="116"/>
        <v>0</v>
      </c>
      <c r="J820" s="163">
        <f t="shared" si="112"/>
        <v>0</v>
      </c>
      <c r="K820" s="155">
        <f t="shared" si="11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14"/>
        <v>0</v>
      </c>
      <c r="O820" s="155">
        <f t="shared" si="115"/>
        <v>0</v>
      </c>
      <c r="P820" s="155">
        <f>IF(O820=1,SUM($O$6:O820),0)</f>
        <v>0</v>
      </c>
    </row>
    <row r="821" spans="1:16" ht="15" customHeight="1">
      <c r="A821" s="15"/>
      <c r="B821" s="194" t="s">
        <v>1035</v>
      </c>
      <c r="C821" s="109" t="s">
        <v>738</v>
      </c>
      <c r="D821" s="213" t="s">
        <v>50</v>
      </c>
      <c r="E821" s="214"/>
      <c r="F821" s="215"/>
      <c r="G821" s="215"/>
      <c r="H821" s="171"/>
      <c r="I821" s="88">
        <f t="shared" si="116"/>
        <v>0</v>
      </c>
      <c r="J821" s="163">
        <f t="shared" si="112"/>
        <v>0</v>
      </c>
      <c r="K821" s="155">
        <f t="shared" si="11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14"/>
        <v>0</v>
      </c>
      <c r="O821" s="155">
        <f t="shared" si="115"/>
        <v>0</v>
      </c>
      <c r="P821" s="155">
        <f>IF(O821=1,SUM($O$6:O821),0)</f>
        <v>0</v>
      </c>
    </row>
    <row r="822" spans="1:16" ht="15" customHeight="1">
      <c r="A822" s="15"/>
      <c r="B822" s="194">
        <v>1</v>
      </c>
      <c r="C822" s="109" t="s">
        <v>739</v>
      </c>
      <c r="D822" s="213" t="s">
        <v>49</v>
      </c>
      <c r="E822" s="214" t="s">
        <v>14</v>
      </c>
      <c r="F822" s="215">
        <v>56400</v>
      </c>
      <c r="G822" s="215">
        <v>56400</v>
      </c>
      <c r="H822" s="171"/>
      <c r="I822" s="88">
        <f t="shared" si="111"/>
        <v>56400</v>
      </c>
      <c r="J822" s="163">
        <f t="shared" si="112"/>
        <v>0</v>
      </c>
      <c r="K822" s="155">
        <f t="shared" si="11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14"/>
        <v>0</v>
      </c>
      <c r="O822" s="155">
        <f t="shared" si="115"/>
        <v>0</v>
      </c>
      <c r="P822" s="155">
        <f>IF(O822=1,SUM($O$6:O822),0)</f>
        <v>0</v>
      </c>
    </row>
    <row r="823" spans="1:16" ht="15" customHeight="1">
      <c r="A823" s="15"/>
      <c r="B823" s="194">
        <v>2</v>
      </c>
      <c r="C823" s="109" t="s">
        <v>740</v>
      </c>
      <c r="D823" s="213" t="s">
        <v>49</v>
      </c>
      <c r="E823" s="214" t="s">
        <v>14</v>
      </c>
      <c r="F823" s="215">
        <v>65400</v>
      </c>
      <c r="G823" s="215">
        <v>65400</v>
      </c>
      <c r="H823" s="171"/>
      <c r="I823" s="88">
        <f t="shared" si="111"/>
        <v>65400</v>
      </c>
      <c r="J823" s="163">
        <f t="shared" si="112"/>
        <v>0</v>
      </c>
      <c r="K823" s="155">
        <f t="shared" si="11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14"/>
        <v>0</v>
      </c>
      <c r="O823" s="155">
        <f t="shared" si="115"/>
        <v>0</v>
      </c>
      <c r="P823" s="155">
        <f>IF(O823=1,SUM($O$6:O823),0)</f>
        <v>0</v>
      </c>
    </row>
    <row r="824" spans="1:16" ht="15" customHeight="1">
      <c r="A824" s="15"/>
      <c r="B824" s="194">
        <v>3</v>
      </c>
      <c r="C824" s="109" t="s">
        <v>741</v>
      </c>
      <c r="D824" s="213" t="s">
        <v>49</v>
      </c>
      <c r="E824" s="214" t="s">
        <v>14</v>
      </c>
      <c r="F824" s="215">
        <v>13600</v>
      </c>
      <c r="G824" s="215">
        <v>16200</v>
      </c>
      <c r="H824" s="171"/>
      <c r="I824" s="88">
        <f t="shared" si="111"/>
        <v>16200</v>
      </c>
      <c r="J824" s="163">
        <f t="shared" si="112"/>
        <v>0</v>
      </c>
      <c r="K824" s="155">
        <f t="shared" si="11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14"/>
        <v>0</v>
      </c>
      <c r="O824" s="155">
        <f t="shared" si="115"/>
        <v>0</v>
      </c>
      <c r="P824" s="155">
        <f>IF(O824=1,SUM($O$6:O824),0)</f>
        <v>0</v>
      </c>
    </row>
    <row r="825" spans="1:16" ht="15" customHeight="1">
      <c r="A825" s="15"/>
      <c r="B825" s="194">
        <v>4</v>
      </c>
      <c r="C825" s="109" t="s">
        <v>742</v>
      </c>
      <c r="D825" s="213" t="s">
        <v>49</v>
      </c>
      <c r="E825" s="214" t="s">
        <v>14</v>
      </c>
      <c r="F825" s="215">
        <v>17800</v>
      </c>
      <c r="G825" s="215">
        <v>21200</v>
      </c>
      <c r="H825" s="171"/>
      <c r="I825" s="88">
        <f t="shared" si="111"/>
        <v>21200</v>
      </c>
      <c r="J825" s="163">
        <f t="shared" si="112"/>
        <v>0</v>
      </c>
      <c r="K825" s="155">
        <f t="shared" si="11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14"/>
        <v>0</v>
      </c>
      <c r="O825" s="155">
        <f t="shared" si="115"/>
        <v>0</v>
      </c>
      <c r="P825" s="155">
        <f>IF(O825=1,SUM($O$6:O825),0)</f>
        <v>0</v>
      </c>
    </row>
    <row r="826" spans="1:16" ht="15" customHeight="1">
      <c r="A826" s="15"/>
      <c r="B826" s="194">
        <v>5</v>
      </c>
      <c r="C826" s="109" t="s">
        <v>743</v>
      </c>
      <c r="D826" s="213" t="s">
        <v>49</v>
      </c>
      <c r="E826" s="214" t="s">
        <v>14</v>
      </c>
      <c r="F826" s="215">
        <v>173100</v>
      </c>
      <c r="G826" s="215">
        <v>173100</v>
      </c>
      <c r="H826" s="171"/>
      <c r="I826" s="88">
        <f t="shared" si="111"/>
        <v>173100</v>
      </c>
      <c r="J826" s="163">
        <f t="shared" si="112"/>
        <v>0</v>
      </c>
      <c r="K826" s="155">
        <f t="shared" si="11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14"/>
        <v>0</v>
      </c>
      <c r="O826" s="155">
        <f t="shared" si="115"/>
        <v>0</v>
      </c>
      <c r="P826" s="155">
        <f>IF(O826=1,SUM($O$6:O826),0)</f>
        <v>0</v>
      </c>
    </row>
    <row r="827" spans="1:16" ht="15" customHeight="1">
      <c r="A827" s="15"/>
      <c r="B827" s="194">
        <v>6</v>
      </c>
      <c r="C827" s="109" t="s">
        <v>744</v>
      </c>
      <c r="D827" s="213" t="s">
        <v>49</v>
      </c>
      <c r="E827" s="214" t="s">
        <v>14</v>
      </c>
      <c r="F827" s="215">
        <v>1539900</v>
      </c>
      <c r="G827" s="215">
        <v>1539900</v>
      </c>
      <c r="H827" s="171"/>
      <c r="I827" s="88">
        <f t="shared" si="111"/>
        <v>1539900</v>
      </c>
      <c r="J827" s="163">
        <f t="shared" si="112"/>
        <v>0</v>
      </c>
      <c r="K827" s="155">
        <f t="shared" si="11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14"/>
        <v>0</v>
      </c>
      <c r="O827" s="155">
        <f t="shared" si="115"/>
        <v>0</v>
      </c>
      <c r="P827" s="155">
        <f>IF(O827=1,SUM($O$6:O827),0)</f>
        <v>0</v>
      </c>
    </row>
    <row r="828" spans="1:16" ht="15" customHeight="1">
      <c r="A828" s="15"/>
      <c r="B828" s="194">
        <v>7</v>
      </c>
      <c r="C828" s="109" t="s">
        <v>745</v>
      </c>
      <c r="D828" s="213" t="s">
        <v>49</v>
      </c>
      <c r="E828" s="214" t="s">
        <v>14</v>
      </c>
      <c r="F828" s="215">
        <v>26200</v>
      </c>
      <c r="G828" s="215">
        <v>31200</v>
      </c>
      <c r="H828" s="171"/>
      <c r="I828" s="88">
        <f t="shared" si="111"/>
        <v>31200</v>
      </c>
      <c r="J828" s="163">
        <f t="shared" si="112"/>
        <v>0</v>
      </c>
      <c r="K828" s="155">
        <f t="shared" si="11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14"/>
        <v>0</v>
      </c>
      <c r="O828" s="155">
        <f t="shared" si="115"/>
        <v>0</v>
      </c>
      <c r="P828" s="155">
        <f>IF(O828=1,SUM($O$6:O828),0)</f>
        <v>0</v>
      </c>
    </row>
    <row r="829" spans="1:16" ht="15" customHeight="1">
      <c r="A829" s="15"/>
      <c r="B829" s="194">
        <v>8</v>
      </c>
      <c r="C829" s="109" t="s">
        <v>746</v>
      </c>
      <c r="D829" s="213" t="s">
        <v>49</v>
      </c>
      <c r="E829" s="214" t="s">
        <v>14</v>
      </c>
      <c r="F829" s="215">
        <v>22300</v>
      </c>
      <c r="G829" s="215">
        <v>26500</v>
      </c>
      <c r="H829" s="171"/>
      <c r="I829" s="88">
        <f t="shared" si="111"/>
        <v>26500</v>
      </c>
      <c r="J829" s="163">
        <f t="shared" si="112"/>
        <v>0</v>
      </c>
      <c r="K829" s="155">
        <f t="shared" si="11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14"/>
        <v>0</v>
      </c>
      <c r="O829" s="155">
        <f t="shared" si="115"/>
        <v>0</v>
      </c>
      <c r="P829" s="155">
        <f>IF(O829=1,SUM($O$6:O829),0)</f>
        <v>0</v>
      </c>
    </row>
    <row r="830" spans="1:16" ht="15" customHeight="1">
      <c r="A830" s="15"/>
      <c r="B830" s="194">
        <v>9</v>
      </c>
      <c r="C830" s="109" t="s">
        <v>747</v>
      </c>
      <c r="D830" s="213" t="s">
        <v>49</v>
      </c>
      <c r="E830" s="214" t="s">
        <v>14</v>
      </c>
      <c r="F830" s="215">
        <v>26200</v>
      </c>
      <c r="G830" s="215">
        <v>31200</v>
      </c>
      <c r="H830" s="171"/>
      <c r="I830" s="88">
        <f t="shared" si="111"/>
        <v>31200</v>
      </c>
      <c r="J830" s="163">
        <f t="shared" si="112"/>
        <v>0</v>
      </c>
      <c r="K830" s="155">
        <f t="shared" si="11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14"/>
        <v>0</v>
      </c>
      <c r="O830" s="155">
        <f t="shared" si="115"/>
        <v>0</v>
      </c>
      <c r="P830" s="155">
        <f>IF(O830=1,SUM($O$6:O830),0)</f>
        <v>0</v>
      </c>
    </row>
    <row r="831" spans="1:16" ht="15" customHeight="1">
      <c r="A831" s="15"/>
      <c r="B831" s="194">
        <v>10</v>
      </c>
      <c r="C831" s="109" t="s">
        <v>748</v>
      </c>
      <c r="D831" s="213" t="s">
        <v>49</v>
      </c>
      <c r="E831" s="214" t="s">
        <v>14</v>
      </c>
      <c r="F831" s="215">
        <v>26200</v>
      </c>
      <c r="G831" s="215">
        <v>31200</v>
      </c>
      <c r="H831" s="171"/>
      <c r="I831" s="88">
        <f t="shared" si="111"/>
        <v>31200</v>
      </c>
      <c r="J831" s="163">
        <f t="shared" si="112"/>
        <v>0</v>
      </c>
      <c r="K831" s="155">
        <f t="shared" si="11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14"/>
        <v>0</v>
      </c>
      <c r="O831" s="155">
        <f t="shared" si="115"/>
        <v>0</v>
      </c>
      <c r="P831" s="155">
        <f>IF(O831=1,SUM($O$6:O831),0)</f>
        <v>0</v>
      </c>
    </row>
    <row r="832" spans="1:16" ht="15" customHeight="1">
      <c r="A832" s="15"/>
      <c r="B832" s="194">
        <v>11</v>
      </c>
      <c r="C832" s="109" t="s">
        <v>749</v>
      </c>
      <c r="D832" s="213" t="s">
        <v>49</v>
      </c>
      <c r="E832" s="214" t="s">
        <v>14</v>
      </c>
      <c r="F832" s="215">
        <v>58400</v>
      </c>
      <c r="G832" s="215">
        <v>58400</v>
      </c>
      <c r="H832" s="171"/>
      <c r="I832" s="88">
        <f t="shared" si="111"/>
        <v>58400</v>
      </c>
      <c r="J832" s="163">
        <f t="shared" si="112"/>
        <v>0</v>
      </c>
      <c r="K832" s="155">
        <f t="shared" si="11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14"/>
        <v>0</v>
      </c>
      <c r="O832" s="155">
        <f t="shared" si="115"/>
        <v>0</v>
      </c>
      <c r="P832" s="155">
        <f>IF(O832=1,SUM($O$6:O832),0)</f>
        <v>0</v>
      </c>
    </row>
    <row r="833" spans="1:16" ht="15" customHeight="1">
      <c r="A833" s="15"/>
      <c r="B833" s="194">
        <v>12</v>
      </c>
      <c r="C833" s="109" t="s">
        <v>750</v>
      </c>
      <c r="D833" s="213" t="s">
        <v>49</v>
      </c>
      <c r="E833" s="214" t="s">
        <v>14</v>
      </c>
      <c r="F833" s="215">
        <v>45900</v>
      </c>
      <c r="G833" s="215">
        <v>48800</v>
      </c>
      <c r="H833" s="171"/>
      <c r="I833" s="88">
        <f t="shared" si="111"/>
        <v>48800</v>
      </c>
      <c r="J833" s="163">
        <f t="shared" si="112"/>
        <v>0</v>
      </c>
      <c r="K833" s="155">
        <f t="shared" si="11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14"/>
        <v>0</v>
      </c>
      <c r="O833" s="155">
        <f t="shared" si="115"/>
        <v>0</v>
      </c>
      <c r="P833" s="155">
        <f>IF(O833=1,SUM($O$6:O833),0)</f>
        <v>0</v>
      </c>
    </row>
    <row r="834" spans="1:16" ht="15" customHeight="1">
      <c r="A834" s="15"/>
      <c r="B834" s="194">
        <v>13</v>
      </c>
      <c r="C834" s="109" t="s">
        <v>751</v>
      </c>
      <c r="D834" s="213" t="s">
        <v>49</v>
      </c>
      <c r="E834" s="214" t="s">
        <v>14</v>
      </c>
      <c r="F834" s="215">
        <v>58400</v>
      </c>
      <c r="G834" s="215">
        <v>58400</v>
      </c>
      <c r="H834" s="171"/>
      <c r="I834" s="88">
        <f t="shared" ref="I834:I886" si="117">IF($I$5=$G$4,G834,(IF($I$5=$F$4,F834,0)))</f>
        <v>58400</v>
      </c>
      <c r="J834" s="163">
        <f t="shared" si="112"/>
        <v>0</v>
      </c>
      <c r="K834" s="155">
        <f t="shared" si="11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14"/>
        <v>0</v>
      </c>
      <c r="O834" s="155">
        <f t="shared" si="115"/>
        <v>0</v>
      </c>
      <c r="P834" s="155">
        <f>IF(O834=1,SUM($O$6:O834),0)</f>
        <v>0</v>
      </c>
    </row>
    <row r="835" spans="1:16" ht="15" customHeight="1">
      <c r="A835" s="15"/>
      <c r="B835" s="194">
        <v>14</v>
      </c>
      <c r="C835" s="109" t="s">
        <v>752</v>
      </c>
      <c r="D835" s="213" t="s">
        <v>49</v>
      </c>
      <c r="E835" s="214" t="s">
        <v>14</v>
      </c>
      <c r="F835" s="215">
        <v>58400</v>
      </c>
      <c r="G835" s="215">
        <v>58400</v>
      </c>
      <c r="H835" s="171"/>
      <c r="I835" s="88">
        <f t="shared" si="117"/>
        <v>58400</v>
      </c>
      <c r="J835" s="163">
        <f t="shared" si="112"/>
        <v>0</v>
      </c>
      <c r="K835" s="155">
        <f t="shared" si="11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14"/>
        <v>0</v>
      </c>
      <c r="O835" s="155">
        <f t="shared" si="115"/>
        <v>0</v>
      </c>
      <c r="P835" s="155">
        <f>IF(O835=1,SUM($O$6:O835),0)</f>
        <v>0</v>
      </c>
    </row>
    <row r="836" spans="1:16" ht="15" customHeight="1">
      <c r="A836" s="15"/>
      <c r="B836" s="194">
        <v>15</v>
      </c>
      <c r="C836" s="109" t="s">
        <v>753</v>
      </c>
      <c r="D836" s="213" t="s">
        <v>49</v>
      </c>
      <c r="E836" s="214" t="s">
        <v>14</v>
      </c>
      <c r="F836" s="215">
        <v>45900</v>
      </c>
      <c r="G836" s="215">
        <v>45900</v>
      </c>
      <c r="H836" s="171"/>
      <c r="I836" s="88">
        <f t="shared" si="117"/>
        <v>45900</v>
      </c>
      <c r="J836" s="163">
        <f t="shared" si="112"/>
        <v>0</v>
      </c>
      <c r="K836" s="155">
        <f t="shared" si="11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14"/>
        <v>0</v>
      </c>
      <c r="O836" s="155">
        <f t="shared" si="115"/>
        <v>0</v>
      </c>
      <c r="P836" s="155">
        <f>IF(O836=1,SUM($O$6:O836),0)</f>
        <v>0</v>
      </c>
    </row>
    <row r="837" spans="1:16" ht="15" customHeight="1">
      <c r="A837" s="15"/>
      <c r="B837" s="194">
        <v>16</v>
      </c>
      <c r="C837" s="109" t="s">
        <v>754</v>
      </c>
      <c r="D837" s="213" t="s">
        <v>49</v>
      </c>
      <c r="E837" s="214" t="s">
        <v>14</v>
      </c>
      <c r="F837" s="215">
        <v>43100</v>
      </c>
      <c r="G837" s="215">
        <v>43100</v>
      </c>
      <c r="H837" s="171"/>
      <c r="I837" s="88">
        <f t="shared" si="117"/>
        <v>43100</v>
      </c>
      <c r="J837" s="163">
        <f t="shared" si="112"/>
        <v>0</v>
      </c>
      <c r="K837" s="155">
        <f t="shared" si="11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14"/>
        <v>0</v>
      </c>
      <c r="O837" s="155">
        <f t="shared" si="115"/>
        <v>0</v>
      </c>
      <c r="P837" s="155">
        <f>IF(O837=1,SUM($O$6:O837),0)</f>
        <v>0</v>
      </c>
    </row>
    <row r="838" spans="1:16" ht="15" customHeight="1">
      <c r="A838" s="15"/>
      <c r="B838" s="194">
        <v>17</v>
      </c>
      <c r="C838" s="109" t="s">
        <v>755</v>
      </c>
      <c r="D838" s="213" t="s">
        <v>49</v>
      </c>
      <c r="E838" s="214" t="s">
        <v>14</v>
      </c>
      <c r="F838" s="215">
        <v>57400</v>
      </c>
      <c r="G838" s="215">
        <v>68300</v>
      </c>
      <c r="H838" s="171"/>
      <c r="I838" s="88">
        <f t="shared" si="117"/>
        <v>68300</v>
      </c>
      <c r="J838" s="163">
        <f t="shared" si="112"/>
        <v>0</v>
      </c>
      <c r="K838" s="155">
        <f t="shared" si="11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14"/>
        <v>0</v>
      </c>
      <c r="O838" s="155">
        <f t="shared" si="115"/>
        <v>0</v>
      </c>
      <c r="P838" s="155">
        <f>IF(O838=1,SUM($O$6:O838),0)</f>
        <v>0</v>
      </c>
    </row>
    <row r="839" spans="1:16" ht="15" customHeight="1">
      <c r="A839" s="15"/>
      <c r="B839" s="194">
        <v>18</v>
      </c>
      <c r="C839" s="109" t="s">
        <v>756</v>
      </c>
      <c r="D839" s="213" t="s">
        <v>49</v>
      </c>
      <c r="E839" s="214" t="s">
        <v>14</v>
      </c>
      <c r="F839" s="215">
        <v>45900</v>
      </c>
      <c r="G839" s="215">
        <v>48800</v>
      </c>
      <c r="H839" s="171"/>
      <c r="I839" s="88">
        <f t="shared" si="117"/>
        <v>48800</v>
      </c>
      <c r="J839" s="163">
        <f t="shared" si="112"/>
        <v>0</v>
      </c>
      <c r="K839" s="155">
        <f t="shared" si="11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14"/>
        <v>0</v>
      </c>
      <c r="O839" s="155">
        <f t="shared" si="115"/>
        <v>0</v>
      </c>
      <c r="P839" s="155">
        <f>IF(O839=1,SUM($O$6:O839),0)</f>
        <v>0</v>
      </c>
    </row>
    <row r="840" spans="1:16" ht="15" customHeight="1">
      <c r="A840" s="15"/>
      <c r="B840" s="194">
        <v>19</v>
      </c>
      <c r="C840" s="109" t="s">
        <v>757</v>
      </c>
      <c r="D840" s="213" t="s">
        <v>49</v>
      </c>
      <c r="E840" s="214" t="s">
        <v>14</v>
      </c>
      <c r="F840" s="215">
        <v>3843100</v>
      </c>
      <c r="G840" s="215">
        <v>3843100</v>
      </c>
      <c r="H840" s="171"/>
      <c r="I840" s="88">
        <f t="shared" si="117"/>
        <v>3843100</v>
      </c>
      <c r="J840" s="163">
        <f t="shared" si="112"/>
        <v>0</v>
      </c>
      <c r="K840" s="155">
        <f t="shared" si="11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14"/>
        <v>0</v>
      </c>
      <c r="O840" s="155">
        <f t="shared" si="115"/>
        <v>0</v>
      </c>
      <c r="P840" s="155">
        <f>IF(O840=1,SUM($O$6:O840),0)</f>
        <v>0</v>
      </c>
    </row>
    <row r="841" spans="1:16" ht="15" customHeight="1">
      <c r="A841" s="15"/>
      <c r="B841" s="194">
        <v>20</v>
      </c>
      <c r="C841" s="109" t="s">
        <v>758</v>
      </c>
      <c r="D841" s="213" t="s">
        <v>49</v>
      </c>
      <c r="E841" s="214" t="s">
        <v>14</v>
      </c>
      <c r="F841" s="215">
        <v>39700</v>
      </c>
      <c r="G841" s="215">
        <v>47200</v>
      </c>
      <c r="H841" s="171"/>
      <c r="I841" s="88">
        <f t="shared" si="117"/>
        <v>47200</v>
      </c>
      <c r="J841" s="163">
        <f t="shared" si="112"/>
        <v>0</v>
      </c>
      <c r="K841" s="155">
        <f t="shared" si="11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14"/>
        <v>0</v>
      </c>
      <c r="O841" s="155">
        <f t="shared" si="115"/>
        <v>0</v>
      </c>
      <c r="P841" s="155">
        <f>IF(O841=1,SUM($O$6:O841),0)</f>
        <v>0</v>
      </c>
    </row>
    <row r="842" spans="1:16" ht="15" customHeight="1">
      <c r="A842" s="15"/>
      <c r="B842" s="194">
        <v>21</v>
      </c>
      <c r="C842" s="109" t="s">
        <v>759</v>
      </c>
      <c r="D842" s="213" t="s">
        <v>49</v>
      </c>
      <c r="E842" s="214" t="s">
        <v>14</v>
      </c>
      <c r="F842" s="215">
        <v>58000</v>
      </c>
      <c r="G842" s="215">
        <v>69000</v>
      </c>
      <c r="H842" s="171"/>
      <c r="I842" s="88">
        <f t="shared" si="117"/>
        <v>69000</v>
      </c>
      <c r="J842" s="163">
        <f t="shared" si="112"/>
        <v>0</v>
      </c>
      <c r="K842" s="155">
        <f t="shared" si="11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14"/>
        <v>0</v>
      </c>
      <c r="O842" s="155">
        <f t="shared" si="115"/>
        <v>0</v>
      </c>
      <c r="P842" s="155">
        <f>IF(O842=1,SUM($O$6:O842),0)</f>
        <v>0</v>
      </c>
    </row>
    <row r="843" spans="1:16" ht="15" customHeight="1">
      <c r="A843" s="15"/>
      <c r="B843" s="194">
        <v>22</v>
      </c>
      <c r="C843" s="109" t="s">
        <v>760</v>
      </c>
      <c r="D843" s="213" t="s">
        <v>49</v>
      </c>
      <c r="E843" s="214" t="s">
        <v>14</v>
      </c>
      <c r="F843" s="215">
        <v>31300</v>
      </c>
      <c r="G843" s="215">
        <v>31300</v>
      </c>
      <c r="H843" s="171"/>
      <c r="I843" s="88">
        <f t="shared" si="117"/>
        <v>31300</v>
      </c>
      <c r="J843" s="163">
        <f t="shared" si="112"/>
        <v>0</v>
      </c>
      <c r="K843" s="155">
        <f t="shared" si="11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14"/>
        <v>0</v>
      </c>
      <c r="O843" s="155">
        <f t="shared" si="115"/>
        <v>0</v>
      </c>
      <c r="P843" s="155">
        <f>IF(O843=1,SUM($O$6:O843),0)</f>
        <v>0</v>
      </c>
    </row>
    <row r="844" spans="1:16" ht="15" customHeight="1">
      <c r="A844" s="15"/>
      <c r="B844" s="194">
        <v>23</v>
      </c>
      <c r="C844" s="109" t="s">
        <v>761</v>
      </c>
      <c r="D844" s="213" t="s">
        <v>49</v>
      </c>
      <c r="E844" s="214" t="s">
        <v>14</v>
      </c>
      <c r="F844" s="215">
        <v>45600</v>
      </c>
      <c r="G844" s="215">
        <v>45600</v>
      </c>
      <c r="H844" s="171"/>
      <c r="I844" s="88">
        <f t="shared" si="117"/>
        <v>45600</v>
      </c>
      <c r="J844" s="163">
        <f t="shared" si="112"/>
        <v>0</v>
      </c>
      <c r="K844" s="155">
        <f t="shared" si="11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14"/>
        <v>0</v>
      </c>
      <c r="O844" s="155">
        <f t="shared" si="115"/>
        <v>0</v>
      </c>
      <c r="P844" s="155">
        <f>IF(O844=1,SUM($O$6:O844),0)</f>
        <v>0</v>
      </c>
    </row>
    <row r="845" spans="1:16" ht="15" customHeight="1">
      <c r="A845" s="15"/>
      <c r="B845" s="194">
        <v>24</v>
      </c>
      <c r="C845" s="109" t="s">
        <v>762</v>
      </c>
      <c r="D845" s="213" t="s">
        <v>49</v>
      </c>
      <c r="E845" s="214" t="s">
        <v>14</v>
      </c>
      <c r="F845" s="215">
        <v>36600</v>
      </c>
      <c r="G845" s="215">
        <v>43500</v>
      </c>
      <c r="H845" s="171"/>
      <c r="I845" s="88">
        <f t="shared" si="117"/>
        <v>43500</v>
      </c>
      <c r="J845" s="163">
        <f t="shared" si="112"/>
        <v>0</v>
      </c>
      <c r="K845" s="155">
        <f t="shared" si="11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14"/>
        <v>0</v>
      </c>
      <c r="O845" s="155">
        <f t="shared" si="115"/>
        <v>0</v>
      </c>
      <c r="P845" s="155">
        <f>IF(O845=1,SUM($O$6:O845),0)</f>
        <v>0</v>
      </c>
    </row>
    <row r="846" spans="1:16" ht="15" customHeight="1">
      <c r="A846" s="15"/>
      <c r="B846" s="194">
        <v>25</v>
      </c>
      <c r="C846" s="109" t="s">
        <v>763</v>
      </c>
      <c r="D846" s="213" t="s">
        <v>49</v>
      </c>
      <c r="E846" s="214" t="s">
        <v>14</v>
      </c>
      <c r="F846" s="215">
        <v>36600</v>
      </c>
      <c r="G846" s="215">
        <v>43500</v>
      </c>
      <c r="H846" s="171"/>
      <c r="I846" s="88">
        <f t="shared" si="117"/>
        <v>43500</v>
      </c>
      <c r="J846" s="163">
        <f t="shared" si="112"/>
        <v>0</v>
      </c>
      <c r="K846" s="155">
        <f t="shared" si="11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14"/>
        <v>0</v>
      </c>
      <c r="O846" s="155">
        <f t="shared" si="115"/>
        <v>0</v>
      </c>
      <c r="P846" s="155">
        <f>IF(O846=1,SUM($O$6:O846),0)</f>
        <v>0</v>
      </c>
    </row>
    <row r="847" spans="1:16" ht="15" customHeight="1">
      <c r="A847" s="15"/>
      <c r="B847" s="194">
        <v>26</v>
      </c>
      <c r="C847" s="109" t="s">
        <v>764</v>
      </c>
      <c r="D847" s="213" t="s">
        <v>49</v>
      </c>
      <c r="E847" s="214" t="s">
        <v>14</v>
      </c>
      <c r="F847" s="215">
        <v>36600</v>
      </c>
      <c r="G847" s="215">
        <v>36600</v>
      </c>
      <c r="H847" s="171"/>
      <c r="I847" s="88">
        <f t="shared" si="117"/>
        <v>36600</v>
      </c>
      <c r="J847" s="163">
        <f t="shared" si="112"/>
        <v>0</v>
      </c>
      <c r="K847" s="155">
        <f t="shared" si="11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14"/>
        <v>0</v>
      </c>
      <c r="O847" s="155">
        <f t="shared" si="115"/>
        <v>0</v>
      </c>
      <c r="P847" s="155">
        <f>IF(O847=1,SUM($O$6:O847),0)</f>
        <v>0</v>
      </c>
    </row>
    <row r="848" spans="1:16" ht="15" customHeight="1">
      <c r="A848" s="15"/>
      <c r="B848" s="194">
        <v>27</v>
      </c>
      <c r="C848" s="109" t="s">
        <v>765</v>
      </c>
      <c r="D848" s="213" t="s">
        <v>49</v>
      </c>
      <c r="E848" s="214" t="s">
        <v>14</v>
      </c>
      <c r="F848" s="215">
        <v>50900</v>
      </c>
      <c r="G848" s="215">
        <v>60500</v>
      </c>
      <c r="H848" s="171"/>
      <c r="I848" s="88">
        <f t="shared" si="117"/>
        <v>60500</v>
      </c>
      <c r="J848" s="163">
        <f t="shared" si="112"/>
        <v>0</v>
      </c>
      <c r="K848" s="155">
        <f t="shared" si="11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14"/>
        <v>0</v>
      </c>
      <c r="O848" s="155">
        <f t="shared" si="115"/>
        <v>0</v>
      </c>
      <c r="P848" s="155">
        <f>IF(O848=1,SUM($O$6:O848),0)</f>
        <v>0</v>
      </c>
    </row>
    <row r="849" spans="1:16" ht="15" customHeight="1">
      <c r="A849" s="17"/>
      <c r="B849" s="194">
        <v>28</v>
      </c>
      <c r="C849" s="109" t="s">
        <v>766</v>
      </c>
      <c r="D849" s="213" t="s">
        <v>49</v>
      </c>
      <c r="E849" s="214" t="s">
        <v>14</v>
      </c>
      <c r="F849" s="215">
        <v>50900</v>
      </c>
      <c r="G849" s="215">
        <v>60500</v>
      </c>
      <c r="H849" s="171"/>
      <c r="I849" s="88">
        <f t="shared" si="117"/>
        <v>60500</v>
      </c>
      <c r="J849" s="163">
        <f t="shared" si="112"/>
        <v>0</v>
      </c>
      <c r="K849" s="155">
        <f t="shared" si="11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114"/>
        <v>0</v>
      </c>
      <c r="O849" s="155">
        <f t="shared" si="115"/>
        <v>0</v>
      </c>
      <c r="P849" s="155">
        <f>IF(O849=1,SUM($O$6:O849),0)</f>
        <v>0</v>
      </c>
    </row>
    <row r="850" spans="1:16" ht="15" customHeight="1">
      <c r="A850" s="15"/>
      <c r="B850" s="194">
        <v>29</v>
      </c>
      <c r="C850" s="109" t="s">
        <v>767</v>
      </c>
      <c r="D850" s="213" t="s">
        <v>49</v>
      </c>
      <c r="E850" s="214" t="s">
        <v>14</v>
      </c>
      <c r="F850" s="215">
        <v>50900</v>
      </c>
      <c r="G850" s="215">
        <v>60500</v>
      </c>
      <c r="H850" s="171"/>
      <c r="I850" s="88">
        <f t="shared" si="117"/>
        <v>60500</v>
      </c>
      <c r="J850" s="163">
        <f t="shared" si="112"/>
        <v>0</v>
      </c>
      <c r="K850" s="155">
        <f t="shared" si="11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4"/>
        <v>0</v>
      </c>
      <c r="O850" s="155">
        <f t="shared" si="115"/>
        <v>0</v>
      </c>
      <c r="P850" s="155">
        <f>IF(O850=1,SUM($O$6:O850),0)</f>
        <v>0</v>
      </c>
    </row>
    <row r="851" spans="1:16" ht="15" customHeight="1">
      <c r="A851" s="15"/>
      <c r="B851" s="194">
        <v>30</v>
      </c>
      <c r="C851" s="109" t="s">
        <v>768</v>
      </c>
      <c r="D851" s="213" t="s">
        <v>49</v>
      </c>
      <c r="E851" s="214" t="s">
        <v>14</v>
      </c>
      <c r="F851" s="215">
        <v>142600</v>
      </c>
      <c r="G851" s="215">
        <v>169600</v>
      </c>
      <c r="H851" s="171"/>
      <c r="I851" s="88">
        <f t="shared" si="117"/>
        <v>169600</v>
      </c>
      <c r="J851" s="163">
        <f t="shared" ref="J851:J914" si="118">IF(D851="MDU-KD",1,0)</f>
        <v>0</v>
      </c>
      <c r="K851" s="155">
        <f t="shared" ref="K851:K914" si="11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120">IF(L851=0,M851,L851)</f>
        <v>0</v>
      </c>
      <c r="O851" s="155">
        <f t="shared" ref="O851:O914" si="12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94">
        <v>31</v>
      </c>
      <c r="C852" s="109" t="s">
        <v>769</v>
      </c>
      <c r="D852" s="213" t="s">
        <v>49</v>
      </c>
      <c r="E852" s="214" t="s">
        <v>14</v>
      </c>
      <c r="F852" s="215">
        <v>142600</v>
      </c>
      <c r="G852" s="215">
        <v>169600</v>
      </c>
      <c r="H852" s="171"/>
      <c r="I852" s="88">
        <f t="shared" si="117"/>
        <v>169600</v>
      </c>
      <c r="J852" s="163">
        <f t="shared" si="118"/>
        <v>0</v>
      </c>
      <c r="K852" s="155">
        <f t="shared" si="11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20"/>
        <v>0</v>
      </c>
      <c r="O852" s="155">
        <f t="shared" si="121"/>
        <v>0</v>
      </c>
      <c r="P852" s="155">
        <f>IF(O852=1,SUM($O$6:O852),0)</f>
        <v>0</v>
      </c>
    </row>
    <row r="853" spans="1:16" ht="15" customHeight="1">
      <c r="A853" s="15"/>
      <c r="B853" s="194">
        <v>32</v>
      </c>
      <c r="C853" s="109" t="s">
        <v>770</v>
      </c>
      <c r="D853" s="213" t="s">
        <v>49</v>
      </c>
      <c r="E853" s="214" t="s">
        <v>14</v>
      </c>
      <c r="F853" s="215">
        <v>54400</v>
      </c>
      <c r="G853" s="215">
        <v>64700</v>
      </c>
      <c r="H853" s="171"/>
      <c r="I853" s="88">
        <f t="shared" si="117"/>
        <v>64700</v>
      </c>
      <c r="J853" s="163">
        <f t="shared" si="118"/>
        <v>0</v>
      </c>
      <c r="K853" s="155">
        <f t="shared" si="11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20"/>
        <v>0</v>
      </c>
      <c r="O853" s="155">
        <f t="shared" si="121"/>
        <v>0</v>
      </c>
      <c r="P853" s="155">
        <f>IF(O853=1,SUM($O$6:O853),0)</f>
        <v>0</v>
      </c>
    </row>
    <row r="854" spans="1:16" ht="15" customHeight="1">
      <c r="A854" s="15"/>
      <c r="B854" s="194">
        <v>33</v>
      </c>
      <c r="C854" s="109" t="s">
        <v>771</v>
      </c>
      <c r="D854" s="213" t="s">
        <v>49</v>
      </c>
      <c r="E854" s="214" t="s">
        <v>14</v>
      </c>
      <c r="F854" s="215">
        <v>50700</v>
      </c>
      <c r="G854" s="215">
        <v>55500</v>
      </c>
      <c r="H854" s="171"/>
      <c r="I854" s="88">
        <f t="shared" si="117"/>
        <v>55500</v>
      </c>
      <c r="J854" s="163">
        <f t="shared" si="118"/>
        <v>0</v>
      </c>
      <c r="K854" s="155">
        <f t="shared" si="11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20"/>
        <v>0</v>
      </c>
      <c r="O854" s="155">
        <f t="shared" si="121"/>
        <v>0</v>
      </c>
      <c r="P854" s="155">
        <f>IF(O854=1,SUM($O$6:O854),0)</f>
        <v>0</v>
      </c>
    </row>
    <row r="855" spans="1:16" ht="15" customHeight="1">
      <c r="A855" s="15"/>
      <c r="B855" s="194">
        <v>34</v>
      </c>
      <c r="C855" s="109" t="s">
        <v>772</v>
      </c>
      <c r="D855" s="213" t="s">
        <v>49</v>
      </c>
      <c r="E855" s="214" t="s">
        <v>14</v>
      </c>
      <c r="F855" s="215">
        <v>50700</v>
      </c>
      <c r="G855" s="215">
        <v>55500</v>
      </c>
      <c r="H855" s="171"/>
      <c r="I855" s="88">
        <f t="shared" si="117"/>
        <v>55500</v>
      </c>
      <c r="J855" s="163">
        <f t="shared" si="118"/>
        <v>0</v>
      </c>
      <c r="K855" s="155">
        <f t="shared" si="11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20"/>
        <v>0</v>
      </c>
      <c r="O855" s="155">
        <f t="shared" si="121"/>
        <v>0</v>
      </c>
      <c r="P855" s="155">
        <f>IF(O855=1,SUM($O$6:O855),0)</f>
        <v>0</v>
      </c>
    </row>
    <row r="856" spans="1:16" ht="15" customHeight="1">
      <c r="A856" s="15"/>
      <c r="B856" s="194">
        <v>35</v>
      </c>
      <c r="C856" s="109" t="s">
        <v>773</v>
      </c>
      <c r="D856" s="213" t="s">
        <v>49</v>
      </c>
      <c r="E856" s="214" t="s">
        <v>14</v>
      </c>
      <c r="F856" s="215">
        <v>762100</v>
      </c>
      <c r="G856" s="215">
        <v>762100</v>
      </c>
      <c r="H856" s="171"/>
      <c r="I856" s="88">
        <f t="shared" si="117"/>
        <v>762100</v>
      </c>
      <c r="J856" s="163">
        <f t="shared" si="118"/>
        <v>0</v>
      </c>
      <c r="K856" s="155">
        <f t="shared" si="11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20"/>
        <v>0</v>
      </c>
      <c r="O856" s="155">
        <f t="shared" si="121"/>
        <v>0</v>
      </c>
      <c r="P856" s="155">
        <f>IF(O856=1,SUM($O$6:O856),0)</f>
        <v>0</v>
      </c>
    </row>
    <row r="857" spans="1:16" ht="15" customHeight="1">
      <c r="A857" s="15"/>
      <c r="B857" s="194">
        <v>36</v>
      </c>
      <c r="C857" s="109" t="s">
        <v>299</v>
      </c>
      <c r="D857" s="213" t="s">
        <v>49</v>
      </c>
      <c r="E857" s="214" t="s">
        <v>14</v>
      </c>
      <c r="F857" s="215">
        <v>13000</v>
      </c>
      <c r="G857" s="215">
        <v>14900</v>
      </c>
      <c r="H857" s="171"/>
      <c r="I857" s="88">
        <f t="shared" si="117"/>
        <v>14900</v>
      </c>
      <c r="J857" s="163">
        <f t="shared" si="118"/>
        <v>0</v>
      </c>
      <c r="K857" s="155">
        <f t="shared" si="11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20"/>
        <v>0</v>
      </c>
      <c r="O857" s="155">
        <f t="shared" si="121"/>
        <v>0</v>
      </c>
      <c r="P857" s="155">
        <f>IF(O857=1,SUM($O$6:O857),0)</f>
        <v>0</v>
      </c>
    </row>
    <row r="858" spans="1:16" ht="15" customHeight="1">
      <c r="A858" s="15"/>
      <c r="B858" s="194">
        <v>38</v>
      </c>
      <c r="C858" s="109" t="s">
        <v>1169</v>
      </c>
      <c r="D858" s="213" t="s">
        <v>49</v>
      </c>
      <c r="E858" s="214" t="s">
        <v>14</v>
      </c>
      <c r="F858" s="215">
        <v>614700</v>
      </c>
      <c r="G858" s="215">
        <v>614700</v>
      </c>
      <c r="H858" s="171"/>
      <c r="I858" s="88">
        <f t="shared" si="117"/>
        <v>614700</v>
      </c>
      <c r="J858" s="163">
        <f t="shared" si="118"/>
        <v>0</v>
      </c>
      <c r="K858" s="155">
        <f t="shared" si="11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20"/>
        <v>0</v>
      </c>
      <c r="O858" s="155">
        <f t="shared" si="121"/>
        <v>0</v>
      </c>
      <c r="P858" s="155">
        <f>IF(O858=1,SUM($O$6:O858),0)</f>
        <v>0</v>
      </c>
    </row>
    <row r="859" spans="1:16" ht="15" customHeight="1">
      <c r="A859" s="15"/>
      <c r="B859" s="194">
        <v>39</v>
      </c>
      <c r="C859" s="109" t="s">
        <v>1170</v>
      </c>
      <c r="D859" s="213" t="s">
        <v>49</v>
      </c>
      <c r="E859" s="214" t="s">
        <v>14</v>
      </c>
      <c r="F859" s="215">
        <v>829000</v>
      </c>
      <c r="G859" s="215">
        <v>829000</v>
      </c>
      <c r="H859" s="171"/>
      <c r="I859" s="88">
        <f t="shared" si="117"/>
        <v>829000</v>
      </c>
      <c r="J859" s="163">
        <f t="shared" si="118"/>
        <v>0</v>
      </c>
      <c r="K859" s="155">
        <f t="shared" si="11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20"/>
        <v>0</v>
      </c>
      <c r="O859" s="155">
        <f t="shared" si="121"/>
        <v>0</v>
      </c>
      <c r="P859" s="155">
        <f>IF(O859=1,SUM($O$6:O859),0)</f>
        <v>0</v>
      </c>
    </row>
    <row r="860" spans="1:16" ht="15" customHeight="1">
      <c r="A860" s="15"/>
      <c r="B860" s="194">
        <v>41</v>
      </c>
      <c r="C860" s="109" t="s">
        <v>1024</v>
      </c>
      <c r="D860" s="213" t="s">
        <v>49</v>
      </c>
      <c r="E860" s="214" t="s">
        <v>14</v>
      </c>
      <c r="F860" s="215">
        <v>179200</v>
      </c>
      <c r="G860" s="215">
        <v>179200</v>
      </c>
      <c r="H860" s="171"/>
      <c r="I860" s="88">
        <f t="shared" si="117"/>
        <v>179200</v>
      </c>
      <c r="J860" s="163">
        <f t="shared" si="118"/>
        <v>0</v>
      </c>
      <c r="K860" s="155">
        <f t="shared" si="11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20"/>
        <v>0</v>
      </c>
      <c r="O860" s="155">
        <f t="shared" si="121"/>
        <v>0</v>
      </c>
      <c r="P860" s="155">
        <f>IF(O860=1,SUM($O$6:O860),0)</f>
        <v>0</v>
      </c>
    </row>
    <row r="861" spans="1:16" ht="15" customHeight="1">
      <c r="A861" s="15"/>
      <c r="B861" s="194">
        <v>42</v>
      </c>
      <c r="C861" s="109" t="s">
        <v>1025</v>
      </c>
      <c r="D861" s="213" t="s">
        <v>49</v>
      </c>
      <c r="E861" s="214" t="s">
        <v>476</v>
      </c>
      <c r="F861" s="215">
        <v>14370.766666666666</v>
      </c>
      <c r="G861" s="215">
        <v>14370.766666666666</v>
      </c>
      <c r="H861" s="171"/>
      <c r="I861" s="88">
        <f t="shared" si="117"/>
        <v>14370.766666666666</v>
      </c>
      <c r="J861" s="163">
        <f t="shared" si="118"/>
        <v>0</v>
      </c>
      <c r="K861" s="155">
        <f t="shared" si="11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20"/>
        <v>0</v>
      </c>
      <c r="O861" s="155">
        <f t="shared" si="121"/>
        <v>0</v>
      </c>
      <c r="P861" s="155">
        <f>IF(O861=1,SUM($O$6:O861),0)</f>
        <v>0</v>
      </c>
    </row>
    <row r="862" spans="1:16" ht="15" customHeight="1">
      <c r="A862" s="15"/>
      <c r="B862" s="194"/>
      <c r="C862" s="109"/>
      <c r="D862" s="213" t="s">
        <v>50</v>
      </c>
      <c r="E862" s="214"/>
      <c r="F862" s="215"/>
      <c r="G862" s="215"/>
      <c r="H862" s="171"/>
      <c r="I862" s="88">
        <f t="shared" si="117"/>
        <v>0</v>
      </c>
      <c r="J862" s="163">
        <f t="shared" si="118"/>
        <v>0</v>
      </c>
      <c r="K862" s="155">
        <f t="shared" si="11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20"/>
        <v>0</v>
      </c>
      <c r="O862" s="155">
        <f t="shared" si="121"/>
        <v>0</v>
      </c>
      <c r="P862" s="155">
        <f>IF(O862=1,SUM($O$6:O862),0)</f>
        <v>0</v>
      </c>
    </row>
    <row r="863" spans="1:16" ht="15" customHeight="1">
      <c r="A863" s="15"/>
      <c r="B863" s="194" t="s">
        <v>1035</v>
      </c>
      <c r="C863" s="109" t="s">
        <v>1172</v>
      </c>
      <c r="D863" s="213" t="s">
        <v>50</v>
      </c>
      <c r="E863" s="214"/>
      <c r="F863" s="215"/>
      <c r="G863" s="215"/>
      <c r="H863" s="171"/>
      <c r="I863" s="88">
        <f t="shared" si="117"/>
        <v>0</v>
      </c>
      <c r="J863" s="163">
        <f t="shared" si="118"/>
        <v>0</v>
      </c>
      <c r="K863" s="155">
        <f t="shared" si="11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20"/>
        <v>0</v>
      </c>
      <c r="O863" s="155">
        <f t="shared" si="121"/>
        <v>0</v>
      </c>
      <c r="P863" s="155">
        <f>IF(O863=1,SUM($O$6:O863),0)</f>
        <v>0</v>
      </c>
    </row>
    <row r="864" spans="1:16" ht="15" customHeight="1">
      <c r="A864" s="15"/>
      <c r="B864" s="194">
        <v>1</v>
      </c>
      <c r="C864" s="109" t="s">
        <v>1173</v>
      </c>
      <c r="D864" s="213" t="s">
        <v>49</v>
      </c>
      <c r="E864" s="214" t="s">
        <v>14</v>
      </c>
      <c r="F864" s="215">
        <v>1568200</v>
      </c>
      <c r="G864" s="215">
        <v>1568200</v>
      </c>
      <c r="H864" s="171"/>
      <c r="I864" s="88">
        <f t="shared" si="117"/>
        <v>1568200</v>
      </c>
      <c r="J864" s="163">
        <f t="shared" si="118"/>
        <v>0</v>
      </c>
      <c r="K864" s="155">
        <f t="shared" si="11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20"/>
        <v>0</v>
      </c>
      <c r="O864" s="155">
        <f t="shared" si="121"/>
        <v>0</v>
      </c>
      <c r="P864" s="155">
        <f>IF(O864=1,SUM($O$6:O864),0)</f>
        <v>0</v>
      </c>
    </row>
    <row r="865" spans="1:16" ht="15" customHeight="1">
      <c r="A865" s="15"/>
      <c r="B865" s="194">
        <v>2</v>
      </c>
      <c r="C865" s="109" t="s">
        <v>1174</v>
      </c>
      <c r="D865" s="213" t="s">
        <v>49</v>
      </c>
      <c r="E865" s="214" t="s">
        <v>14</v>
      </c>
      <c r="F865" s="215">
        <v>3467100</v>
      </c>
      <c r="G865" s="215">
        <v>3467100</v>
      </c>
      <c r="H865" s="171"/>
      <c r="I865" s="88">
        <f t="shared" si="117"/>
        <v>3467100</v>
      </c>
      <c r="J865" s="163">
        <f t="shared" si="118"/>
        <v>0</v>
      </c>
      <c r="K865" s="155">
        <f t="shared" si="11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20"/>
        <v>0</v>
      </c>
      <c r="O865" s="155">
        <f t="shared" si="121"/>
        <v>0</v>
      </c>
      <c r="P865" s="155">
        <f>IF(O865=1,SUM($O$6:O865),0)</f>
        <v>0</v>
      </c>
    </row>
    <row r="866" spans="1:16" ht="15" customHeight="1">
      <c r="A866" s="15"/>
      <c r="B866" s="194">
        <v>3</v>
      </c>
      <c r="C866" s="109" t="s">
        <v>1175</v>
      </c>
      <c r="D866" s="213" t="s">
        <v>49</v>
      </c>
      <c r="E866" s="214" t="s">
        <v>14</v>
      </c>
      <c r="F866" s="215">
        <v>3467100</v>
      </c>
      <c r="G866" s="215">
        <v>3467100</v>
      </c>
      <c r="H866" s="171"/>
      <c r="I866" s="88">
        <f t="shared" si="117"/>
        <v>3467100</v>
      </c>
      <c r="J866" s="163">
        <f t="shared" si="118"/>
        <v>0</v>
      </c>
      <c r="K866" s="155">
        <f t="shared" si="11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20"/>
        <v>0</v>
      </c>
      <c r="O866" s="155">
        <f t="shared" si="121"/>
        <v>0</v>
      </c>
      <c r="P866" s="155">
        <f>IF(O866=1,SUM($O$6:O866),0)</f>
        <v>0</v>
      </c>
    </row>
    <row r="867" spans="1:16" ht="15" customHeight="1">
      <c r="A867" s="15"/>
      <c r="B867" s="194">
        <v>4</v>
      </c>
      <c r="C867" s="109" t="s">
        <v>1176</v>
      </c>
      <c r="D867" s="213" t="s">
        <v>49</v>
      </c>
      <c r="E867" s="214" t="s">
        <v>14</v>
      </c>
      <c r="F867" s="215">
        <v>1515700</v>
      </c>
      <c r="G867" s="215">
        <v>1515700</v>
      </c>
      <c r="H867" s="171"/>
      <c r="I867" s="88">
        <f t="shared" si="117"/>
        <v>1515700</v>
      </c>
      <c r="J867" s="163">
        <f t="shared" si="118"/>
        <v>0</v>
      </c>
      <c r="K867" s="155">
        <f t="shared" si="11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20"/>
        <v>0</v>
      </c>
      <c r="O867" s="155">
        <f t="shared" si="121"/>
        <v>0</v>
      </c>
      <c r="P867" s="155">
        <f>IF(O867=1,SUM($O$6:O867),0)</f>
        <v>0</v>
      </c>
    </row>
    <row r="868" spans="1:16" ht="15" customHeight="1">
      <c r="A868" s="15"/>
      <c r="B868" s="194"/>
      <c r="C868" s="109"/>
      <c r="D868" s="213"/>
      <c r="E868" s="214"/>
      <c r="F868" s="215"/>
      <c r="G868" s="215"/>
      <c r="H868" s="171"/>
      <c r="I868" s="88">
        <f t="shared" si="117"/>
        <v>0</v>
      </c>
      <c r="J868" s="163">
        <f t="shared" si="118"/>
        <v>0</v>
      </c>
      <c r="K868" s="155">
        <f t="shared" si="11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20"/>
        <v>0</v>
      </c>
      <c r="O868" s="155">
        <f t="shared" si="121"/>
        <v>0</v>
      </c>
      <c r="P868" s="155">
        <f>IF(O868=1,SUM($O$6:O868),0)</f>
        <v>0</v>
      </c>
    </row>
    <row r="869" spans="1:16" ht="15" customHeight="1">
      <c r="A869" s="15"/>
      <c r="B869" s="194" t="s">
        <v>1035</v>
      </c>
      <c r="C869" s="109" t="s">
        <v>774</v>
      </c>
      <c r="D869" s="213" t="s">
        <v>50</v>
      </c>
      <c r="E869" s="214"/>
      <c r="F869" s="215"/>
      <c r="G869" s="215"/>
      <c r="H869" s="171"/>
      <c r="I869" s="88">
        <f t="shared" si="117"/>
        <v>0</v>
      </c>
      <c r="J869" s="163">
        <f t="shared" si="118"/>
        <v>0</v>
      </c>
      <c r="K869" s="155">
        <f t="shared" si="11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20"/>
        <v>0</v>
      </c>
      <c r="O869" s="155">
        <f t="shared" si="121"/>
        <v>0</v>
      </c>
      <c r="P869" s="155">
        <f>IF(O869=1,SUM($O$6:O869),0)</f>
        <v>0</v>
      </c>
    </row>
    <row r="870" spans="1:16" ht="15" customHeight="1">
      <c r="A870" s="17"/>
      <c r="B870" s="194">
        <v>1</v>
      </c>
      <c r="C870" s="109" t="s">
        <v>775</v>
      </c>
      <c r="D870" s="213" t="s">
        <v>49</v>
      </c>
      <c r="E870" s="214" t="s">
        <v>300</v>
      </c>
      <c r="F870" s="215">
        <v>475700</v>
      </c>
      <c r="G870" s="215">
        <v>475700</v>
      </c>
      <c r="H870" s="171"/>
      <c r="I870" s="88">
        <f t="shared" si="117"/>
        <v>475700</v>
      </c>
      <c r="J870" s="163">
        <f t="shared" si="118"/>
        <v>0</v>
      </c>
      <c r="K870" s="155">
        <f t="shared" si="11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20"/>
        <v>0</v>
      </c>
      <c r="O870" s="155">
        <f t="shared" si="121"/>
        <v>0</v>
      </c>
      <c r="P870" s="155">
        <f>IF(O870=1,SUM($O$6:O870),0)</f>
        <v>0</v>
      </c>
    </row>
    <row r="871" spans="1:16" ht="15" customHeight="1">
      <c r="A871" s="15"/>
      <c r="B871" s="194">
        <v>2</v>
      </c>
      <c r="C871" s="109" t="s">
        <v>301</v>
      </c>
      <c r="D871" s="213" t="s">
        <v>49</v>
      </c>
      <c r="E871" s="214" t="s">
        <v>300</v>
      </c>
      <c r="F871" s="215">
        <v>475700</v>
      </c>
      <c r="G871" s="215">
        <v>475700</v>
      </c>
      <c r="H871" s="171"/>
      <c r="I871" s="88">
        <f t="shared" si="117"/>
        <v>475700</v>
      </c>
      <c r="J871" s="163">
        <f t="shared" si="118"/>
        <v>0</v>
      </c>
      <c r="K871" s="155">
        <f t="shared" si="11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20"/>
        <v>0</v>
      </c>
      <c r="O871" s="155">
        <f t="shared" si="121"/>
        <v>0</v>
      </c>
      <c r="P871" s="155">
        <f>IF(O871=1,SUM($O$6:O871),0)</f>
        <v>0</v>
      </c>
    </row>
    <row r="872" spans="1:16" ht="15" customHeight="1">
      <c r="A872" s="15"/>
      <c r="B872" s="194">
        <v>3</v>
      </c>
      <c r="C872" s="109" t="s">
        <v>302</v>
      </c>
      <c r="D872" s="213" t="s">
        <v>49</v>
      </c>
      <c r="E872" s="214" t="s">
        <v>300</v>
      </c>
      <c r="F872" s="215">
        <v>371300</v>
      </c>
      <c r="G872" s="215">
        <v>371300</v>
      </c>
      <c r="H872" s="171"/>
      <c r="I872" s="88">
        <f t="shared" si="117"/>
        <v>371300</v>
      </c>
      <c r="J872" s="163">
        <f t="shared" si="118"/>
        <v>0</v>
      </c>
      <c r="K872" s="155">
        <f t="shared" si="11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20"/>
        <v>0</v>
      </c>
      <c r="O872" s="155">
        <f t="shared" si="121"/>
        <v>0</v>
      </c>
      <c r="P872" s="155">
        <f>IF(O872=1,SUM($O$6:O872),0)</f>
        <v>0</v>
      </c>
    </row>
    <row r="873" spans="1:16" ht="15" customHeight="1">
      <c r="A873" s="15"/>
      <c r="B873" s="194">
        <v>4</v>
      </c>
      <c r="C873" s="109" t="s">
        <v>303</v>
      </c>
      <c r="D873" s="213" t="s">
        <v>49</v>
      </c>
      <c r="E873" s="214" t="s">
        <v>300</v>
      </c>
      <c r="F873" s="215">
        <v>351700</v>
      </c>
      <c r="G873" s="215">
        <v>351700</v>
      </c>
      <c r="H873" s="171"/>
      <c r="I873" s="88">
        <f t="shared" si="117"/>
        <v>351700</v>
      </c>
      <c r="J873" s="163">
        <f t="shared" si="118"/>
        <v>0</v>
      </c>
      <c r="K873" s="155">
        <f t="shared" si="11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20"/>
        <v>0</v>
      </c>
      <c r="O873" s="155">
        <f t="shared" si="121"/>
        <v>0</v>
      </c>
      <c r="P873" s="155">
        <f>IF(O873=1,SUM($O$6:O873),0)</f>
        <v>0</v>
      </c>
    </row>
    <row r="874" spans="1:16" ht="15" customHeight="1">
      <c r="A874" s="15"/>
      <c r="B874" s="194">
        <v>5</v>
      </c>
      <c r="C874" s="109" t="s">
        <v>304</v>
      </c>
      <c r="D874" s="213" t="s">
        <v>49</v>
      </c>
      <c r="E874" s="214" t="s">
        <v>300</v>
      </c>
      <c r="F874" s="215">
        <v>300100</v>
      </c>
      <c r="G874" s="215">
        <v>300100</v>
      </c>
      <c r="H874" s="171"/>
      <c r="I874" s="88">
        <f t="shared" si="117"/>
        <v>300100</v>
      </c>
      <c r="J874" s="163">
        <f t="shared" si="118"/>
        <v>0</v>
      </c>
      <c r="K874" s="155">
        <f t="shared" si="11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20"/>
        <v>0</v>
      </c>
      <c r="O874" s="155">
        <f t="shared" si="121"/>
        <v>0</v>
      </c>
      <c r="P874" s="155">
        <f>IF(O874=1,SUM($O$6:O874),0)</f>
        <v>0</v>
      </c>
    </row>
    <row r="875" spans="1:16" ht="15" customHeight="1">
      <c r="A875" s="15"/>
      <c r="B875" s="194">
        <v>6</v>
      </c>
      <c r="C875" s="109" t="s">
        <v>305</v>
      </c>
      <c r="D875" s="213" t="s">
        <v>49</v>
      </c>
      <c r="E875" s="214" t="s">
        <v>300</v>
      </c>
      <c r="F875" s="215">
        <v>290900</v>
      </c>
      <c r="G875" s="215">
        <v>290900</v>
      </c>
      <c r="H875" s="171"/>
      <c r="I875" s="88">
        <f t="shared" si="117"/>
        <v>290900</v>
      </c>
      <c r="J875" s="163">
        <f t="shared" si="118"/>
        <v>0</v>
      </c>
      <c r="K875" s="155">
        <f t="shared" si="11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20"/>
        <v>0</v>
      </c>
      <c r="O875" s="155">
        <f t="shared" si="121"/>
        <v>0</v>
      </c>
      <c r="P875" s="155">
        <f>IF(O875=1,SUM($O$6:O875),0)</f>
        <v>0</v>
      </c>
    </row>
    <row r="876" spans="1:16" ht="15" customHeight="1">
      <c r="A876" s="15"/>
      <c r="B876" s="194">
        <v>7</v>
      </c>
      <c r="C876" s="109" t="s">
        <v>306</v>
      </c>
      <c r="D876" s="213" t="s">
        <v>49</v>
      </c>
      <c r="E876" s="214" t="s">
        <v>300</v>
      </c>
      <c r="F876" s="215">
        <v>290600</v>
      </c>
      <c r="G876" s="215">
        <v>290600</v>
      </c>
      <c r="H876" s="171"/>
      <c r="I876" s="88">
        <f t="shared" si="117"/>
        <v>290600</v>
      </c>
      <c r="J876" s="163">
        <f t="shared" si="118"/>
        <v>0</v>
      </c>
      <c r="K876" s="155">
        <f t="shared" si="11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20"/>
        <v>0</v>
      </c>
      <c r="O876" s="155">
        <f t="shared" si="121"/>
        <v>0</v>
      </c>
      <c r="P876" s="155">
        <f>IF(O876=1,SUM($O$6:O876),0)</f>
        <v>0</v>
      </c>
    </row>
    <row r="877" spans="1:16" ht="15" customHeight="1">
      <c r="A877" s="15"/>
      <c r="B877" s="194">
        <v>8</v>
      </c>
      <c r="C877" s="109" t="s">
        <v>307</v>
      </c>
      <c r="D877" s="213" t="s">
        <v>49</v>
      </c>
      <c r="E877" s="214" t="s">
        <v>300</v>
      </c>
      <c r="F877" s="215">
        <v>247000</v>
      </c>
      <c r="G877" s="215">
        <v>247000</v>
      </c>
      <c r="H877" s="171"/>
      <c r="I877" s="88">
        <f>IF($I$5=$G$4,G877,(IF($I$5=$F$4,F877,0)))</f>
        <v>247000</v>
      </c>
      <c r="J877" s="163">
        <f t="shared" si="118"/>
        <v>0</v>
      </c>
      <c r="K877" s="155">
        <f t="shared" si="11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20"/>
        <v>0</v>
      </c>
      <c r="O877" s="155">
        <f t="shared" si="121"/>
        <v>0</v>
      </c>
      <c r="P877" s="155">
        <f>IF(O877=1,SUM($O$6:O877),0)</f>
        <v>0</v>
      </c>
    </row>
    <row r="878" spans="1:16" ht="15" customHeight="1">
      <c r="A878" s="15"/>
      <c r="B878" s="194">
        <v>9</v>
      </c>
      <c r="C878" s="109" t="s">
        <v>308</v>
      </c>
      <c r="D878" s="213" t="s">
        <v>49</v>
      </c>
      <c r="E878" s="214" t="s">
        <v>300</v>
      </c>
      <c r="F878" s="215">
        <v>276000</v>
      </c>
      <c r="G878" s="215">
        <v>276000</v>
      </c>
      <c r="H878" s="171"/>
      <c r="I878" s="88">
        <f t="shared" si="117"/>
        <v>276000</v>
      </c>
      <c r="J878" s="163">
        <f t="shared" si="118"/>
        <v>0</v>
      </c>
      <c r="K878" s="155">
        <f t="shared" si="11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20"/>
        <v>0</v>
      </c>
      <c r="O878" s="155">
        <f t="shared" si="121"/>
        <v>0</v>
      </c>
      <c r="P878" s="155">
        <f>IF(O878=1,SUM($O$6:O878),0)</f>
        <v>0</v>
      </c>
    </row>
    <row r="879" spans="1:16" ht="15" customHeight="1">
      <c r="A879" s="15"/>
      <c r="B879" s="194">
        <v>10</v>
      </c>
      <c r="C879" s="109" t="s">
        <v>309</v>
      </c>
      <c r="D879" s="213" t="s">
        <v>49</v>
      </c>
      <c r="E879" s="214" t="s">
        <v>300</v>
      </c>
      <c r="F879" s="215">
        <v>268100</v>
      </c>
      <c r="G879" s="215">
        <v>268100</v>
      </c>
      <c r="H879" s="171"/>
      <c r="I879" s="88">
        <f t="shared" si="117"/>
        <v>268100</v>
      </c>
      <c r="J879" s="163">
        <f t="shared" si="118"/>
        <v>0</v>
      </c>
      <c r="K879" s="155">
        <f t="shared" si="11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20"/>
        <v>0</v>
      </c>
      <c r="O879" s="155">
        <f t="shared" si="121"/>
        <v>0</v>
      </c>
      <c r="P879" s="155">
        <f>IF(O879=1,SUM($O$6:O879),0)</f>
        <v>0</v>
      </c>
    </row>
    <row r="880" spans="1:16" ht="15" customHeight="1">
      <c r="A880" s="15"/>
      <c r="B880" s="194">
        <v>11</v>
      </c>
      <c r="C880" s="109" t="s">
        <v>310</v>
      </c>
      <c r="D880" s="213" t="s">
        <v>49</v>
      </c>
      <c r="E880" s="214" t="s">
        <v>300</v>
      </c>
      <c r="F880" s="215">
        <v>222400</v>
      </c>
      <c r="G880" s="215">
        <v>222400</v>
      </c>
      <c r="H880" s="171"/>
      <c r="I880" s="88">
        <f t="shared" si="117"/>
        <v>222400</v>
      </c>
      <c r="J880" s="163">
        <f t="shared" si="118"/>
        <v>0</v>
      </c>
      <c r="K880" s="155">
        <f t="shared" si="11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20"/>
        <v>0</v>
      </c>
      <c r="O880" s="155">
        <f t="shared" si="121"/>
        <v>0</v>
      </c>
      <c r="P880" s="155">
        <f>IF(O880=1,SUM($O$6:O880),0)</f>
        <v>0</v>
      </c>
    </row>
    <row r="881" spans="1:16" ht="15" customHeight="1">
      <c r="A881" s="15"/>
      <c r="B881" s="194">
        <v>12</v>
      </c>
      <c r="C881" s="109" t="s">
        <v>311</v>
      </c>
      <c r="D881" s="213" t="s">
        <v>49</v>
      </c>
      <c r="E881" s="214" t="s">
        <v>300</v>
      </c>
      <c r="F881" s="215">
        <v>222400</v>
      </c>
      <c r="G881" s="215">
        <v>222400</v>
      </c>
      <c r="H881" s="171"/>
      <c r="I881" s="88">
        <f t="shared" si="117"/>
        <v>222400</v>
      </c>
      <c r="J881" s="163">
        <f t="shared" si="118"/>
        <v>0</v>
      </c>
      <c r="K881" s="155">
        <f t="shared" si="11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20"/>
        <v>0</v>
      </c>
      <c r="O881" s="155">
        <f t="shared" si="121"/>
        <v>0</v>
      </c>
      <c r="P881" s="155">
        <f>IF(O881=1,SUM($O$6:O881),0)</f>
        <v>0</v>
      </c>
    </row>
    <row r="882" spans="1:16" ht="15" customHeight="1">
      <c r="A882" s="17"/>
      <c r="B882" s="194">
        <v>13</v>
      </c>
      <c r="C882" s="109" t="s">
        <v>312</v>
      </c>
      <c r="D882" s="213" t="s">
        <v>49</v>
      </c>
      <c r="E882" s="214" t="s">
        <v>300</v>
      </c>
      <c r="F882" s="215">
        <v>197300</v>
      </c>
      <c r="G882" s="215">
        <v>197300</v>
      </c>
      <c r="H882" s="171"/>
      <c r="I882" s="88">
        <f t="shared" si="117"/>
        <v>197300</v>
      </c>
      <c r="J882" s="163">
        <f t="shared" si="118"/>
        <v>0</v>
      </c>
      <c r="K882" s="155">
        <f t="shared" si="11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20"/>
        <v>0</v>
      </c>
      <c r="O882" s="155">
        <f t="shared" si="121"/>
        <v>0</v>
      </c>
      <c r="P882" s="155">
        <f>IF(O882=1,SUM($O$6:O882),0)</f>
        <v>0</v>
      </c>
    </row>
    <row r="883" spans="1:16" ht="15" customHeight="1">
      <c r="A883" s="15"/>
      <c r="B883" s="194">
        <v>14</v>
      </c>
      <c r="C883" s="109" t="s">
        <v>313</v>
      </c>
      <c r="D883" s="213" t="s">
        <v>49</v>
      </c>
      <c r="E883" s="214" t="s">
        <v>300</v>
      </c>
      <c r="F883" s="215">
        <v>149200</v>
      </c>
      <c r="G883" s="215">
        <v>149200</v>
      </c>
      <c r="H883" s="171"/>
      <c r="I883" s="88">
        <f t="shared" si="117"/>
        <v>149200</v>
      </c>
      <c r="J883" s="163">
        <f t="shared" si="118"/>
        <v>0</v>
      </c>
      <c r="K883" s="155">
        <f t="shared" si="11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20"/>
        <v>0</v>
      </c>
      <c r="O883" s="155">
        <f t="shared" si="121"/>
        <v>0</v>
      </c>
      <c r="P883" s="155">
        <f>IF(O883=1,SUM($O$6:O883),0)</f>
        <v>0</v>
      </c>
    </row>
    <row r="884" spans="1:16" ht="15" customHeight="1">
      <c r="A884" s="15"/>
      <c r="B884" s="194">
        <v>15</v>
      </c>
      <c r="C884" s="109" t="s">
        <v>314</v>
      </c>
      <c r="D884" s="213" t="s">
        <v>49</v>
      </c>
      <c r="E884" s="214" t="s">
        <v>300</v>
      </c>
      <c r="F884" s="215">
        <v>390200</v>
      </c>
      <c r="G884" s="215">
        <v>390200</v>
      </c>
      <c r="H884" s="171"/>
      <c r="I884" s="88">
        <f t="shared" si="117"/>
        <v>390200</v>
      </c>
      <c r="J884" s="163">
        <f t="shared" si="118"/>
        <v>0</v>
      </c>
      <c r="K884" s="155">
        <f t="shared" si="11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20"/>
        <v>0</v>
      </c>
      <c r="O884" s="155">
        <f t="shared" si="121"/>
        <v>0</v>
      </c>
      <c r="P884" s="155">
        <f>IF(O884=1,SUM($O$6:O884),0)</f>
        <v>0</v>
      </c>
    </row>
    <row r="885" spans="1:16" ht="15" customHeight="1">
      <c r="A885" s="15"/>
      <c r="B885" s="194">
        <v>16</v>
      </c>
      <c r="C885" s="109" t="s">
        <v>316</v>
      </c>
      <c r="D885" s="213" t="s">
        <v>49</v>
      </c>
      <c r="E885" s="214" t="s">
        <v>300</v>
      </c>
      <c r="F885" s="215">
        <v>307600</v>
      </c>
      <c r="G885" s="215">
        <v>307600</v>
      </c>
      <c r="H885" s="171"/>
      <c r="I885" s="88">
        <f t="shared" si="117"/>
        <v>307600</v>
      </c>
      <c r="J885" s="163">
        <f t="shared" si="118"/>
        <v>0</v>
      </c>
      <c r="K885" s="155">
        <f t="shared" si="11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20"/>
        <v>0</v>
      </c>
      <c r="O885" s="155">
        <f t="shared" si="121"/>
        <v>0</v>
      </c>
      <c r="P885" s="155">
        <f>IF(O885=1,SUM($O$6:O885),0)</f>
        <v>0</v>
      </c>
    </row>
    <row r="886" spans="1:16" ht="15" customHeight="1">
      <c r="A886" s="15"/>
      <c r="B886" s="194">
        <v>17</v>
      </c>
      <c r="C886" s="109" t="s">
        <v>318</v>
      </c>
      <c r="D886" s="213" t="s">
        <v>49</v>
      </c>
      <c r="E886" s="214" t="s">
        <v>300</v>
      </c>
      <c r="F886" s="215">
        <v>261600</v>
      </c>
      <c r="G886" s="215">
        <v>261600</v>
      </c>
      <c r="H886" s="171"/>
      <c r="I886" s="88">
        <f t="shared" si="117"/>
        <v>261600</v>
      </c>
      <c r="J886" s="163">
        <f t="shared" si="118"/>
        <v>0</v>
      </c>
      <c r="K886" s="155">
        <f t="shared" si="11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20"/>
        <v>0</v>
      </c>
      <c r="O886" s="155">
        <f t="shared" si="121"/>
        <v>0</v>
      </c>
      <c r="P886" s="155">
        <f>IF(O886=1,SUM($O$6:O886),0)</f>
        <v>0</v>
      </c>
    </row>
    <row r="887" spans="1:16" ht="15" customHeight="1">
      <c r="A887" s="15"/>
      <c r="B887" s="194">
        <v>18</v>
      </c>
      <c r="C887" s="109" t="s">
        <v>320</v>
      </c>
      <c r="D887" s="213" t="s">
        <v>49</v>
      </c>
      <c r="E887" s="214" t="s">
        <v>300</v>
      </c>
      <c r="F887" s="215">
        <v>198700</v>
      </c>
      <c r="G887" s="215">
        <v>198700</v>
      </c>
      <c r="H887" s="171"/>
      <c r="I887" s="88">
        <f t="shared" ref="I887:I951" si="122">IF($I$5=$G$4,G887,(IF($I$5=$F$4,F887,0)))</f>
        <v>198700</v>
      </c>
      <c r="J887" s="163">
        <f t="shared" si="118"/>
        <v>0</v>
      </c>
      <c r="K887" s="155">
        <f t="shared" si="11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20"/>
        <v>0</v>
      </c>
      <c r="O887" s="155">
        <f t="shared" si="121"/>
        <v>0</v>
      </c>
      <c r="P887" s="155">
        <f>IF(O887=1,SUM($O$6:O887),0)</f>
        <v>0</v>
      </c>
    </row>
    <row r="888" spans="1:16" ht="15" customHeight="1">
      <c r="A888" s="15"/>
      <c r="B888" s="194">
        <v>19</v>
      </c>
      <c r="C888" s="109" t="s">
        <v>315</v>
      </c>
      <c r="D888" s="213" t="s">
        <v>49</v>
      </c>
      <c r="E888" s="214" t="s">
        <v>300</v>
      </c>
      <c r="F888" s="215">
        <v>272600</v>
      </c>
      <c r="G888" s="215">
        <v>272600</v>
      </c>
      <c r="H888" s="171"/>
      <c r="I888" s="88">
        <f t="shared" si="122"/>
        <v>272600</v>
      </c>
      <c r="J888" s="163">
        <f t="shared" si="118"/>
        <v>0</v>
      </c>
      <c r="K888" s="155">
        <f t="shared" si="11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20"/>
        <v>0</v>
      </c>
      <c r="O888" s="155">
        <f t="shared" si="121"/>
        <v>0</v>
      </c>
      <c r="P888" s="155">
        <f>IF(O888=1,SUM($O$6:O888),0)</f>
        <v>0</v>
      </c>
    </row>
    <row r="889" spans="1:16" ht="15" customHeight="1">
      <c r="A889" s="15"/>
      <c r="B889" s="194">
        <v>20</v>
      </c>
      <c r="C889" s="109" t="s">
        <v>317</v>
      </c>
      <c r="D889" s="213" t="s">
        <v>49</v>
      </c>
      <c r="E889" s="214" t="s">
        <v>300</v>
      </c>
      <c r="F889" s="215">
        <v>243400</v>
      </c>
      <c r="G889" s="215">
        <v>243400</v>
      </c>
      <c r="H889" s="171"/>
      <c r="I889" s="88">
        <f t="shared" si="122"/>
        <v>243400</v>
      </c>
      <c r="J889" s="163">
        <f t="shared" si="118"/>
        <v>0</v>
      </c>
      <c r="K889" s="155">
        <f t="shared" si="11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20"/>
        <v>0</v>
      </c>
      <c r="O889" s="155">
        <f t="shared" si="121"/>
        <v>0</v>
      </c>
      <c r="P889" s="155">
        <f>IF(O889=1,SUM($O$6:O889),0)</f>
        <v>0</v>
      </c>
    </row>
    <row r="890" spans="1:16" ht="15" customHeight="1">
      <c r="A890" s="15"/>
      <c r="B890" s="194">
        <v>21</v>
      </c>
      <c r="C890" s="109" t="s">
        <v>319</v>
      </c>
      <c r="D890" s="213" t="s">
        <v>49</v>
      </c>
      <c r="E890" s="214" t="s">
        <v>300</v>
      </c>
      <c r="F890" s="215">
        <v>179300</v>
      </c>
      <c r="G890" s="215">
        <v>179300</v>
      </c>
      <c r="H890" s="171"/>
      <c r="I890" s="88">
        <f t="shared" si="122"/>
        <v>179300</v>
      </c>
      <c r="J890" s="163">
        <f t="shared" si="118"/>
        <v>0</v>
      </c>
      <c r="K890" s="155">
        <f t="shared" si="11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20"/>
        <v>0</v>
      </c>
      <c r="O890" s="155">
        <f t="shared" si="121"/>
        <v>0</v>
      </c>
      <c r="P890" s="155">
        <f>IF(O890=1,SUM($O$6:O890),0)</f>
        <v>0</v>
      </c>
    </row>
    <row r="891" spans="1:16" ht="15" customHeight="1">
      <c r="A891" s="15"/>
      <c r="B891" s="194">
        <v>22</v>
      </c>
      <c r="C891" s="109" t="s">
        <v>321</v>
      </c>
      <c r="D891" s="213" t="s">
        <v>49</v>
      </c>
      <c r="E891" s="214" t="s">
        <v>300</v>
      </c>
      <c r="F891" s="215">
        <v>151900</v>
      </c>
      <c r="G891" s="215">
        <v>151900</v>
      </c>
      <c r="H891" s="171"/>
      <c r="I891" s="88">
        <f t="shared" si="122"/>
        <v>151900</v>
      </c>
      <c r="J891" s="163">
        <f t="shared" si="118"/>
        <v>0</v>
      </c>
      <c r="K891" s="155">
        <f t="shared" si="11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20"/>
        <v>0</v>
      </c>
      <c r="O891" s="155">
        <f t="shared" si="121"/>
        <v>0</v>
      </c>
      <c r="P891" s="155">
        <f>IF(O891=1,SUM($O$6:O891),0)</f>
        <v>0</v>
      </c>
    </row>
    <row r="892" spans="1:16" ht="15" customHeight="1">
      <c r="A892" s="15"/>
      <c r="B892" s="194">
        <v>23</v>
      </c>
      <c r="C892" s="109" t="s">
        <v>776</v>
      </c>
      <c r="D892" s="213" t="s">
        <v>49</v>
      </c>
      <c r="E892" s="214" t="s">
        <v>300</v>
      </c>
      <c r="F892" s="215">
        <v>136485.10978061482</v>
      </c>
      <c r="G892" s="215">
        <v>136485.10978061482</v>
      </c>
      <c r="H892" s="171"/>
      <c r="I892" s="88">
        <f t="shared" si="122"/>
        <v>136485.10978061482</v>
      </c>
      <c r="J892" s="163">
        <f t="shared" si="118"/>
        <v>0</v>
      </c>
      <c r="K892" s="155">
        <f t="shared" si="11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20"/>
        <v>0</v>
      </c>
      <c r="O892" s="155">
        <f t="shared" si="121"/>
        <v>0</v>
      </c>
      <c r="P892" s="155">
        <f>IF(O892=1,SUM($O$6:O892),0)</f>
        <v>0</v>
      </c>
    </row>
    <row r="893" spans="1:16" ht="15" customHeight="1">
      <c r="A893" s="15"/>
      <c r="B893" s="194">
        <v>24</v>
      </c>
      <c r="C893" s="109" t="s">
        <v>777</v>
      </c>
      <c r="D893" s="213" t="s">
        <v>49</v>
      </c>
      <c r="E893" s="214" t="s">
        <v>300</v>
      </c>
      <c r="F893" s="215">
        <v>125481.16630030893</v>
      </c>
      <c r="G893" s="215">
        <v>125481.16630030893</v>
      </c>
      <c r="H893" s="171"/>
      <c r="I893" s="88">
        <f t="shared" si="122"/>
        <v>125481.16630030893</v>
      </c>
      <c r="J893" s="163">
        <f t="shared" si="118"/>
        <v>0</v>
      </c>
      <c r="K893" s="155">
        <f t="shared" si="11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20"/>
        <v>0</v>
      </c>
      <c r="O893" s="155">
        <f t="shared" si="121"/>
        <v>0</v>
      </c>
      <c r="P893" s="155">
        <f>IF(O893=1,SUM($O$6:O893),0)</f>
        <v>0</v>
      </c>
    </row>
    <row r="894" spans="1:16" ht="15" customHeight="1">
      <c r="A894" s="15"/>
      <c r="B894" s="194">
        <v>25</v>
      </c>
      <c r="C894" s="109" t="s">
        <v>479</v>
      </c>
      <c r="D894" s="213" t="s">
        <v>49</v>
      </c>
      <c r="E894" s="214" t="s">
        <v>300</v>
      </c>
      <c r="F894" s="215">
        <v>115200</v>
      </c>
      <c r="G894" s="215">
        <v>115200</v>
      </c>
      <c r="H894" s="171"/>
      <c r="I894" s="88">
        <f t="shared" si="122"/>
        <v>115200</v>
      </c>
      <c r="J894" s="163">
        <f t="shared" si="118"/>
        <v>0</v>
      </c>
      <c r="K894" s="155">
        <f t="shared" si="11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20"/>
        <v>0</v>
      </c>
      <c r="O894" s="155">
        <f t="shared" si="121"/>
        <v>0</v>
      </c>
      <c r="P894" s="155">
        <f>IF(O894=1,SUM($O$6:O894),0)</f>
        <v>0</v>
      </c>
    </row>
    <row r="895" spans="1:16" ht="15" customHeight="1">
      <c r="A895" s="15"/>
      <c r="B895" s="194">
        <v>26</v>
      </c>
      <c r="C895" s="109" t="s">
        <v>480</v>
      </c>
      <c r="D895" s="213" t="s">
        <v>49</v>
      </c>
      <c r="E895" s="214" t="s">
        <v>300</v>
      </c>
      <c r="F895" s="215">
        <v>115000</v>
      </c>
      <c r="G895" s="215">
        <v>115000</v>
      </c>
      <c r="H895" s="171"/>
      <c r="I895" s="88">
        <f t="shared" si="122"/>
        <v>115000</v>
      </c>
      <c r="J895" s="163">
        <f t="shared" si="118"/>
        <v>0</v>
      </c>
      <c r="K895" s="155">
        <f t="shared" si="11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20"/>
        <v>0</v>
      </c>
      <c r="O895" s="155">
        <f t="shared" si="121"/>
        <v>0</v>
      </c>
      <c r="P895" s="155">
        <f>IF(O895=1,SUM($O$6:O895),0)</f>
        <v>0</v>
      </c>
    </row>
    <row r="896" spans="1:16" ht="15" customHeight="1">
      <c r="A896" s="17"/>
      <c r="B896" s="194">
        <v>27</v>
      </c>
      <c r="C896" s="109" t="s">
        <v>481</v>
      </c>
      <c r="D896" s="213" t="s">
        <v>49</v>
      </c>
      <c r="E896" s="214" t="s">
        <v>300</v>
      </c>
      <c r="F896" s="215">
        <v>101800</v>
      </c>
      <c r="G896" s="215">
        <v>101800</v>
      </c>
      <c r="H896" s="171"/>
      <c r="I896" s="88">
        <f t="shared" si="122"/>
        <v>101800</v>
      </c>
      <c r="J896" s="163">
        <f t="shared" si="118"/>
        <v>0</v>
      </c>
      <c r="K896" s="155">
        <f t="shared" si="11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20"/>
        <v>0</v>
      </c>
      <c r="O896" s="155">
        <f t="shared" si="121"/>
        <v>0</v>
      </c>
      <c r="P896" s="155">
        <f>IF(O896=1,SUM($O$6:O896),0)</f>
        <v>0</v>
      </c>
    </row>
    <row r="897" spans="1:16" ht="15" customHeight="1">
      <c r="A897" s="15"/>
      <c r="B897" s="194">
        <v>28</v>
      </c>
      <c r="C897" s="109" t="s">
        <v>322</v>
      </c>
      <c r="D897" s="213" t="s">
        <v>49</v>
      </c>
      <c r="E897" s="214" t="s">
        <v>300</v>
      </c>
      <c r="F897" s="215">
        <v>523270.00000000006</v>
      </c>
      <c r="G897" s="215">
        <v>523270.00000000006</v>
      </c>
      <c r="H897" s="171"/>
      <c r="I897" s="88">
        <f t="shared" si="122"/>
        <v>523270.00000000006</v>
      </c>
      <c r="J897" s="163">
        <f t="shared" si="118"/>
        <v>0</v>
      </c>
      <c r="K897" s="155">
        <f t="shared" si="11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20"/>
        <v>0</v>
      </c>
      <c r="O897" s="155">
        <f t="shared" si="121"/>
        <v>0</v>
      </c>
      <c r="P897" s="155">
        <f>IF(O897=1,SUM($O$6:O897),0)</f>
        <v>0</v>
      </c>
    </row>
    <row r="898" spans="1:16" ht="15" customHeight="1">
      <c r="A898" s="15"/>
      <c r="B898" s="194">
        <v>29</v>
      </c>
      <c r="C898" s="109" t="s">
        <v>323</v>
      </c>
      <c r="D898" s="213" t="s">
        <v>49</v>
      </c>
      <c r="E898" s="214" t="s">
        <v>300</v>
      </c>
      <c r="F898" s="215">
        <v>523270.00000000006</v>
      </c>
      <c r="G898" s="215">
        <v>523270.00000000006</v>
      </c>
      <c r="H898" s="171"/>
      <c r="I898" s="88">
        <f t="shared" si="122"/>
        <v>523270.00000000006</v>
      </c>
      <c r="J898" s="163">
        <f t="shared" si="118"/>
        <v>0</v>
      </c>
      <c r="K898" s="155">
        <f t="shared" si="11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20"/>
        <v>0</v>
      </c>
      <c r="O898" s="155">
        <f t="shared" si="121"/>
        <v>0</v>
      </c>
      <c r="P898" s="155">
        <f>IF(O898=1,SUM($O$6:O898),0)</f>
        <v>0</v>
      </c>
    </row>
    <row r="899" spans="1:16" ht="15" customHeight="1">
      <c r="A899" s="15"/>
      <c r="B899" s="194">
        <v>30</v>
      </c>
      <c r="C899" s="109" t="s">
        <v>324</v>
      </c>
      <c r="D899" s="213" t="s">
        <v>49</v>
      </c>
      <c r="E899" s="214" t="s">
        <v>300</v>
      </c>
      <c r="F899" s="215">
        <v>408430.00000000006</v>
      </c>
      <c r="G899" s="215">
        <v>408430.00000000006</v>
      </c>
      <c r="H899" s="171"/>
      <c r="I899" s="88">
        <f t="shared" si="122"/>
        <v>408430.00000000006</v>
      </c>
      <c r="J899" s="163">
        <f t="shared" si="118"/>
        <v>0</v>
      </c>
      <c r="K899" s="155">
        <f t="shared" si="11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20"/>
        <v>0</v>
      </c>
      <c r="O899" s="155">
        <f t="shared" si="121"/>
        <v>0</v>
      </c>
      <c r="P899" s="155">
        <f>IF(O899=1,SUM($O$6:O899),0)</f>
        <v>0</v>
      </c>
    </row>
    <row r="900" spans="1:16" ht="15" customHeight="1">
      <c r="A900" s="15"/>
      <c r="B900" s="194">
        <v>31</v>
      </c>
      <c r="C900" s="109" t="s">
        <v>325</v>
      </c>
      <c r="D900" s="213" t="s">
        <v>49</v>
      </c>
      <c r="E900" s="214" t="s">
        <v>300</v>
      </c>
      <c r="F900" s="215">
        <v>386870.00000000006</v>
      </c>
      <c r="G900" s="215">
        <v>386870.00000000006</v>
      </c>
      <c r="H900" s="171"/>
      <c r="I900" s="88">
        <f t="shared" si="122"/>
        <v>386870.00000000006</v>
      </c>
      <c r="J900" s="163">
        <f t="shared" si="118"/>
        <v>0</v>
      </c>
      <c r="K900" s="155">
        <f t="shared" si="11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20"/>
        <v>0</v>
      </c>
      <c r="O900" s="155">
        <f t="shared" si="121"/>
        <v>0</v>
      </c>
      <c r="P900" s="155">
        <f>IF(O900=1,SUM($O$6:O900),0)</f>
        <v>0</v>
      </c>
    </row>
    <row r="901" spans="1:16" ht="15" customHeight="1">
      <c r="A901" s="15"/>
      <c r="B901" s="194">
        <v>32</v>
      </c>
      <c r="C901" s="109" t="s">
        <v>326</v>
      </c>
      <c r="D901" s="213" t="s">
        <v>49</v>
      </c>
      <c r="E901" s="214" t="s">
        <v>300</v>
      </c>
      <c r="F901" s="215">
        <v>330110</v>
      </c>
      <c r="G901" s="215">
        <v>330110</v>
      </c>
      <c r="H901" s="171"/>
      <c r="I901" s="88">
        <f t="shared" si="122"/>
        <v>330110</v>
      </c>
      <c r="J901" s="163">
        <f t="shared" si="118"/>
        <v>0</v>
      </c>
      <c r="K901" s="155">
        <f t="shared" si="11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20"/>
        <v>0</v>
      </c>
      <c r="O901" s="155">
        <f t="shared" si="121"/>
        <v>0</v>
      </c>
      <c r="P901" s="155">
        <f>IF(O901=1,SUM($O$6:O901),0)</f>
        <v>0</v>
      </c>
    </row>
    <row r="902" spans="1:16" ht="15" customHeight="1">
      <c r="A902" s="15"/>
      <c r="B902" s="194">
        <v>33</v>
      </c>
      <c r="C902" s="109" t="s">
        <v>327</v>
      </c>
      <c r="D902" s="213" t="s">
        <v>49</v>
      </c>
      <c r="E902" s="214" t="s">
        <v>300</v>
      </c>
      <c r="F902" s="215">
        <v>319990</v>
      </c>
      <c r="G902" s="215">
        <v>319990</v>
      </c>
      <c r="H902" s="171"/>
      <c r="I902" s="88">
        <f t="shared" si="122"/>
        <v>319990</v>
      </c>
      <c r="J902" s="163">
        <f t="shared" si="118"/>
        <v>0</v>
      </c>
      <c r="K902" s="155">
        <f t="shared" si="11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20"/>
        <v>0</v>
      </c>
      <c r="O902" s="155">
        <f t="shared" si="121"/>
        <v>0</v>
      </c>
      <c r="P902" s="155">
        <f>IF(O902=1,SUM($O$6:O902),0)</f>
        <v>0</v>
      </c>
    </row>
    <row r="903" spans="1:16" ht="15" customHeight="1">
      <c r="A903" s="15"/>
      <c r="B903" s="194">
        <v>34</v>
      </c>
      <c r="C903" s="109" t="s">
        <v>328</v>
      </c>
      <c r="D903" s="213" t="s">
        <v>49</v>
      </c>
      <c r="E903" s="214" t="s">
        <v>300</v>
      </c>
      <c r="F903" s="215">
        <v>319660</v>
      </c>
      <c r="G903" s="215">
        <v>319660</v>
      </c>
      <c r="H903" s="171"/>
      <c r="I903" s="88">
        <f t="shared" si="122"/>
        <v>319660</v>
      </c>
      <c r="J903" s="163">
        <f t="shared" si="118"/>
        <v>0</v>
      </c>
      <c r="K903" s="155">
        <f t="shared" si="11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20"/>
        <v>0</v>
      </c>
      <c r="O903" s="155">
        <f t="shared" si="121"/>
        <v>0</v>
      </c>
      <c r="P903" s="155">
        <f>IF(O903=1,SUM($O$6:O903),0)</f>
        <v>0</v>
      </c>
    </row>
    <row r="904" spans="1:16" ht="15" customHeight="1">
      <c r="A904" s="15"/>
      <c r="B904" s="194">
        <v>35</v>
      </c>
      <c r="C904" s="109" t="s">
        <v>329</v>
      </c>
      <c r="D904" s="213" t="s">
        <v>49</v>
      </c>
      <c r="E904" s="214" t="s">
        <v>300</v>
      </c>
      <c r="F904" s="215">
        <v>271700</v>
      </c>
      <c r="G904" s="215">
        <v>271700</v>
      </c>
      <c r="H904" s="171"/>
      <c r="I904" s="88">
        <f t="shared" si="122"/>
        <v>271700</v>
      </c>
      <c r="J904" s="163">
        <f t="shared" si="118"/>
        <v>0</v>
      </c>
      <c r="K904" s="155">
        <f t="shared" si="11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20"/>
        <v>0</v>
      </c>
      <c r="O904" s="155">
        <f t="shared" si="121"/>
        <v>0</v>
      </c>
      <c r="P904" s="155">
        <f>IF(O904=1,SUM($O$6:O904),0)</f>
        <v>0</v>
      </c>
    </row>
    <row r="905" spans="1:16" ht="15" customHeight="1">
      <c r="A905" s="15"/>
      <c r="B905" s="194">
        <v>36</v>
      </c>
      <c r="C905" s="109" t="s">
        <v>330</v>
      </c>
      <c r="D905" s="213" t="s">
        <v>49</v>
      </c>
      <c r="E905" s="214" t="s">
        <v>300</v>
      </c>
      <c r="F905" s="215">
        <v>303600</v>
      </c>
      <c r="G905" s="215">
        <v>303600</v>
      </c>
      <c r="H905" s="171"/>
      <c r="I905" s="88">
        <f t="shared" si="122"/>
        <v>303600</v>
      </c>
      <c r="J905" s="163">
        <f t="shared" si="118"/>
        <v>0</v>
      </c>
      <c r="K905" s="155">
        <f t="shared" si="11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20"/>
        <v>0</v>
      </c>
      <c r="O905" s="155">
        <f t="shared" si="121"/>
        <v>0</v>
      </c>
      <c r="P905" s="155">
        <f>IF(O905=1,SUM($O$6:O905),0)</f>
        <v>0</v>
      </c>
    </row>
    <row r="906" spans="1:16" ht="15" customHeight="1">
      <c r="A906" s="15"/>
      <c r="B906" s="194">
        <v>37</v>
      </c>
      <c r="C906" s="109" t="s">
        <v>331</v>
      </c>
      <c r="D906" s="213" t="s">
        <v>49</v>
      </c>
      <c r="E906" s="214" t="s">
        <v>300</v>
      </c>
      <c r="F906" s="215">
        <v>294910</v>
      </c>
      <c r="G906" s="215">
        <v>294910</v>
      </c>
      <c r="H906" s="171"/>
      <c r="I906" s="88">
        <f t="shared" si="122"/>
        <v>294910</v>
      </c>
      <c r="J906" s="163">
        <f t="shared" si="118"/>
        <v>0</v>
      </c>
      <c r="K906" s="155">
        <f t="shared" si="11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20"/>
        <v>0</v>
      </c>
      <c r="O906" s="155">
        <f t="shared" si="121"/>
        <v>0</v>
      </c>
      <c r="P906" s="155">
        <f>IF(O906=1,SUM($O$6:O906),0)</f>
        <v>0</v>
      </c>
    </row>
    <row r="907" spans="1:16" ht="15" customHeight="1">
      <c r="A907" s="15"/>
      <c r="B907" s="194">
        <v>38</v>
      </c>
      <c r="C907" s="109" t="s">
        <v>332</v>
      </c>
      <c r="D907" s="213" t="s">
        <v>49</v>
      </c>
      <c r="E907" s="214" t="s">
        <v>300</v>
      </c>
      <c r="F907" s="215">
        <v>244640.00000000003</v>
      </c>
      <c r="G907" s="215">
        <v>244640.00000000003</v>
      </c>
      <c r="H907" s="171"/>
      <c r="I907" s="88">
        <f t="shared" si="122"/>
        <v>244640.00000000003</v>
      </c>
      <c r="J907" s="163">
        <f t="shared" si="118"/>
        <v>0</v>
      </c>
      <c r="K907" s="155">
        <f t="shared" si="11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20"/>
        <v>0</v>
      </c>
      <c r="O907" s="155">
        <f t="shared" si="121"/>
        <v>0</v>
      </c>
      <c r="P907" s="155">
        <f>IF(O907=1,SUM($O$6:O907),0)</f>
        <v>0</v>
      </c>
    </row>
    <row r="908" spans="1:16" ht="15" customHeight="1">
      <c r="A908" s="15"/>
      <c r="B908" s="194">
        <v>39</v>
      </c>
      <c r="C908" s="109" t="s">
        <v>333</v>
      </c>
      <c r="D908" s="213" t="s">
        <v>49</v>
      </c>
      <c r="E908" s="214" t="s">
        <v>300</v>
      </c>
      <c r="F908" s="215">
        <v>244640.00000000003</v>
      </c>
      <c r="G908" s="215">
        <v>244640.00000000003</v>
      </c>
      <c r="H908" s="171"/>
      <c r="I908" s="88">
        <f t="shared" si="122"/>
        <v>244640.00000000003</v>
      </c>
      <c r="J908" s="163">
        <f t="shared" si="118"/>
        <v>0</v>
      </c>
      <c r="K908" s="155">
        <f t="shared" si="11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20"/>
        <v>0</v>
      </c>
      <c r="O908" s="155">
        <f t="shared" si="121"/>
        <v>0</v>
      </c>
      <c r="P908" s="155">
        <f>IF(O908=1,SUM($O$6:O908),0)</f>
        <v>0</v>
      </c>
    </row>
    <row r="909" spans="1:16" ht="15" customHeight="1">
      <c r="A909" s="17"/>
      <c r="B909" s="194">
        <v>40</v>
      </c>
      <c r="C909" s="109" t="s">
        <v>334</v>
      </c>
      <c r="D909" s="213" t="s">
        <v>49</v>
      </c>
      <c r="E909" s="214" t="s">
        <v>300</v>
      </c>
      <c r="F909" s="215">
        <v>217030.00000000003</v>
      </c>
      <c r="G909" s="215">
        <v>217030.00000000003</v>
      </c>
      <c r="H909" s="171"/>
      <c r="I909" s="88">
        <f t="shared" si="122"/>
        <v>217030.00000000003</v>
      </c>
      <c r="J909" s="163">
        <f t="shared" si="118"/>
        <v>0</v>
      </c>
      <c r="K909" s="155">
        <f t="shared" si="11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20"/>
        <v>0</v>
      </c>
      <c r="O909" s="155">
        <f t="shared" si="121"/>
        <v>0</v>
      </c>
      <c r="P909" s="155">
        <f>IF(O909=1,SUM($O$6:O909),0)</f>
        <v>0</v>
      </c>
    </row>
    <row r="910" spans="1:16" ht="15" customHeight="1">
      <c r="A910" s="17"/>
      <c r="B910" s="194">
        <v>41</v>
      </c>
      <c r="C910" s="109" t="s">
        <v>335</v>
      </c>
      <c r="D910" s="213" t="s">
        <v>49</v>
      </c>
      <c r="E910" s="214" t="s">
        <v>300</v>
      </c>
      <c r="F910" s="215">
        <v>164120</v>
      </c>
      <c r="G910" s="215">
        <v>164120</v>
      </c>
      <c r="H910" s="171"/>
      <c r="I910" s="88">
        <f t="shared" si="122"/>
        <v>164120</v>
      </c>
      <c r="J910" s="163">
        <f t="shared" si="118"/>
        <v>0</v>
      </c>
      <c r="K910" s="155">
        <f t="shared" si="11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20"/>
        <v>0</v>
      </c>
      <c r="O910" s="155">
        <f t="shared" si="121"/>
        <v>0</v>
      </c>
      <c r="P910" s="155">
        <f>IF(O910=1,SUM($O$6:O910),0)</f>
        <v>0</v>
      </c>
    </row>
    <row r="911" spans="1:16" ht="15" customHeight="1">
      <c r="A911" s="15"/>
      <c r="B911" s="194">
        <v>42</v>
      </c>
      <c r="C911" s="109" t="s">
        <v>336</v>
      </c>
      <c r="D911" s="213" t="s">
        <v>49</v>
      </c>
      <c r="E911" s="214" t="s">
        <v>300</v>
      </c>
      <c r="F911" s="215">
        <v>429220.00000000006</v>
      </c>
      <c r="G911" s="215">
        <v>429220.00000000006</v>
      </c>
      <c r="H911" s="171"/>
      <c r="I911" s="88">
        <f t="shared" si="122"/>
        <v>429220.00000000006</v>
      </c>
      <c r="J911" s="163">
        <f t="shared" si="118"/>
        <v>0</v>
      </c>
      <c r="K911" s="155">
        <f t="shared" si="11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20"/>
        <v>0</v>
      </c>
      <c r="O911" s="155">
        <f t="shared" si="121"/>
        <v>0</v>
      </c>
      <c r="P911" s="155">
        <f>IF(O911=1,SUM($O$6:O911),0)</f>
        <v>0</v>
      </c>
    </row>
    <row r="912" spans="1:16" ht="15" customHeight="1">
      <c r="A912" s="15"/>
      <c r="B912" s="194">
        <v>43</v>
      </c>
      <c r="C912" s="109" t="s">
        <v>338</v>
      </c>
      <c r="D912" s="213" t="s">
        <v>49</v>
      </c>
      <c r="E912" s="214" t="s">
        <v>300</v>
      </c>
      <c r="F912" s="215">
        <v>338360</v>
      </c>
      <c r="G912" s="215">
        <v>338360</v>
      </c>
      <c r="H912" s="171"/>
      <c r="I912" s="88">
        <f t="shared" si="122"/>
        <v>338360</v>
      </c>
      <c r="J912" s="163">
        <f t="shared" si="118"/>
        <v>0</v>
      </c>
      <c r="K912" s="155">
        <f t="shared" si="11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20"/>
        <v>0</v>
      </c>
      <c r="O912" s="155">
        <f t="shared" si="121"/>
        <v>0</v>
      </c>
      <c r="P912" s="155">
        <f>IF(O912=1,SUM($O$6:O912),0)</f>
        <v>0</v>
      </c>
    </row>
    <row r="913" spans="1:16" ht="15" customHeight="1">
      <c r="A913" s="15"/>
      <c r="B913" s="194">
        <v>44</v>
      </c>
      <c r="C913" s="109" t="s">
        <v>340</v>
      </c>
      <c r="D913" s="213" t="s">
        <v>49</v>
      </c>
      <c r="E913" s="214" t="s">
        <v>300</v>
      </c>
      <c r="F913" s="215">
        <v>287760</v>
      </c>
      <c r="G913" s="215">
        <v>287760</v>
      </c>
      <c r="H913" s="171"/>
      <c r="I913" s="88">
        <f t="shared" si="122"/>
        <v>287760</v>
      </c>
      <c r="J913" s="163">
        <f t="shared" si="118"/>
        <v>0</v>
      </c>
      <c r="K913" s="155">
        <f t="shared" si="11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20"/>
        <v>0</v>
      </c>
      <c r="O913" s="155">
        <f t="shared" si="121"/>
        <v>0</v>
      </c>
      <c r="P913" s="155">
        <f>IF(O913=1,SUM($O$6:O913),0)</f>
        <v>0</v>
      </c>
    </row>
    <row r="914" spans="1:16" ht="15" customHeight="1">
      <c r="A914" s="15"/>
      <c r="B914" s="194">
        <v>45</v>
      </c>
      <c r="C914" s="109" t="s">
        <v>342</v>
      </c>
      <c r="D914" s="213" t="s">
        <v>49</v>
      </c>
      <c r="E914" s="214" t="s">
        <v>300</v>
      </c>
      <c r="F914" s="215">
        <v>218570.00000000003</v>
      </c>
      <c r="G914" s="215">
        <v>218570.00000000003</v>
      </c>
      <c r="H914" s="171"/>
      <c r="I914" s="88">
        <f t="shared" si="122"/>
        <v>218570.00000000003</v>
      </c>
      <c r="J914" s="163">
        <f t="shared" si="118"/>
        <v>0</v>
      </c>
      <c r="K914" s="155">
        <f t="shared" si="11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20"/>
        <v>0</v>
      </c>
      <c r="O914" s="155">
        <f t="shared" si="121"/>
        <v>0</v>
      </c>
      <c r="P914" s="155">
        <f>IF(O914=1,SUM($O$6:O914),0)</f>
        <v>0</v>
      </c>
    </row>
    <row r="915" spans="1:16" ht="15" customHeight="1">
      <c r="A915" s="15"/>
      <c r="B915" s="194">
        <v>46</v>
      </c>
      <c r="C915" s="109" t="s">
        <v>337</v>
      </c>
      <c r="D915" s="213" t="s">
        <v>49</v>
      </c>
      <c r="E915" s="214" t="s">
        <v>300</v>
      </c>
      <c r="F915" s="215">
        <v>299860</v>
      </c>
      <c r="G915" s="215">
        <v>299860</v>
      </c>
      <c r="H915" s="171"/>
      <c r="I915" s="88">
        <f t="shared" si="122"/>
        <v>299860</v>
      </c>
      <c r="J915" s="163">
        <f t="shared" ref="J915:J978" si="123">IF(D915="MDU-KD",1,0)</f>
        <v>0</v>
      </c>
      <c r="K915" s="155">
        <f t="shared" ref="K915:K978" si="12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125">IF(L915=0,M915,L915)</f>
        <v>0</v>
      </c>
      <c r="O915" s="155">
        <f t="shared" ref="O915:O978" si="12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94">
        <v>47</v>
      </c>
      <c r="C916" s="109" t="s">
        <v>339</v>
      </c>
      <c r="D916" s="213" t="s">
        <v>49</v>
      </c>
      <c r="E916" s="214" t="s">
        <v>300</v>
      </c>
      <c r="F916" s="215">
        <v>267740</v>
      </c>
      <c r="G916" s="215">
        <v>267740</v>
      </c>
      <c r="H916" s="171"/>
      <c r="I916" s="88">
        <f t="shared" si="122"/>
        <v>267740</v>
      </c>
      <c r="J916" s="163">
        <f t="shared" si="123"/>
        <v>0</v>
      </c>
      <c r="K916" s="155">
        <f t="shared" si="12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25"/>
        <v>0</v>
      </c>
      <c r="O916" s="155">
        <f t="shared" si="126"/>
        <v>0</v>
      </c>
      <c r="P916" s="155">
        <f>IF(O916=1,SUM($O$6:O916),0)</f>
        <v>0</v>
      </c>
    </row>
    <row r="917" spans="1:16" ht="15" customHeight="1">
      <c r="A917" s="15"/>
      <c r="B917" s="194">
        <v>48</v>
      </c>
      <c r="C917" s="109" t="s">
        <v>341</v>
      </c>
      <c r="D917" s="213" t="s">
        <v>49</v>
      </c>
      <c r="E917" s="214" t="s">
        <v>300</v>
      </c>
      <c r="F917" s="215">
        <v>197230.00000000003</v>
      </c>
      <c r="G917" s="215">
        <v>197230.00000000003</v>
      </c>
      <c r="H917" s="171"/>
      <c r="I917" s="88">
        <f t="shared" si="122"/>
        <v>197230.00000000003</v>
      </c>
      <c r="J917" s="163">
        <f t="shared" si="123"/>
        <v>0</v>
      </c>
      <c r="K917" s="155">
        <f t="shared" si="12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25"/>
        <v>0</v>
      </c>
      <c r="O917" s="155">
        <f t="shared" si="126"/>
        <v>0</v>
      </c>
      <c r="P917" s="155">
        <f>IF(O917=1,SUM($O$6:O917),0)</f>
        <v>0</v>
      </c>
    </row>
    <row r="918" spans="1:16" ht="15" customHeight="1">
      <c r="A918" s="17"/>
      <c r="B918" s="194">
        <v>49</v>
      </c>
      <c r="C918" s="109" t="s">
        <v>343</v>
      </c>
      <c r="D918" s="213" t="s">
        <v>49</v>
      </c>
      <c r="E918" s="214" t="s">
        <v>300</v>
      </c>
      <c r="F918" s="215">
        <v>167090</v>
      </c>
      <c r="G918" s="215">
        <v>167090</v>
      </c>
      <c r="H918" s="171"/>
      <c r="I918" s="88">
        <f t="shared" si="122"/>
        <v>167090</v>
      </c>
      <c r="J918" s="163">
        <f t="shared" si="123"/>
        <v>0</v>
      </c>
      <c r="K918" s="155">
        <f t="shared" si="12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25"/>
        <v>0</v>
      </c>
      <c r="O918" s="155">
        <f t="shared" si="126"/>
        <v>0</v>
      </c>
      <c r="P918" s="155">
        <f>IF(O918=1,SUM($O$6:O918),0)</f>
        <v>0</v>
      </c>
    </row>
    <row r="919" spans="1:16" ht="15" customHeight="1">
      <c r="A919" s="17"/>
      <c r="B919" s="194">
        <v>50</v>
      </c>
      <c r="C919" s="109" t="s">
        <v>778</v>
      </c>
      <c r="D919" s="213" t="s">
        <v>49</v>
      </c>
      <c r="E919" s="214" t="s">
        <v>300</v>
      </c>
      <c r="F919" s="215">
        <v>150133.62075867632</v>
      </c>
      <c r="G919" s="215">
        <v>150133.62075867632</v>
      </c>
      <c r="H919" s="171"/>
      <c r="I919" s="88">
        <f t="shared" si="122"/>
        <v>150133.62075867632</v>
      </c>
      <c r="J919" s="163">
        <f t="shared" si="123"/>
        <v>0</v>
      </c>
      <c r="K919" s="155">
        <f t="shared" si="12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25"/>
        <v>0</v>
      </c>
      <c r="O919" s="155">
        <f t="shared" si="126"/>
        <v>0</v>
      </c>
      <c r="P919" s="155">
        <f>IF(O919=1,SUM($O$6:O919),0)</f>
        <v>0</v>
      </c>
    </row>
    <row r="920" spans="1:16" ht="15" customHeight="1">
      <c r="A920" s="17"/>
      <c r="B920" s="194">
        <v>51</v>
      </c>
      <c r="C920" s="109" t="s">
        <v>779</v>
      </c>
      <c r="D920" s="213" t="s">
        <v>49</v>
      </c>
      <c r="E920" s="214" t="s">
        <v>300</v>
      </c>
      <c r="F920" s="215">
        <v>138029.28293033983</v>
      </c>
      <c r="G920" s="215">
        <v>138029.28293033983</v>
      </c>
      <c r="H920" s="171"/>
      <c r="I920" s="88">
        <f t="shared" si="122"/>
        <v>138029.28293033983</v>
      </c>
      <c r="J920" s="163">
        <f t="shared" si="123"/>
        <v>0</v>
      </c>
      <c r="K920" s="155">
        <f t="shared" si="12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25"/>
        <v>0</v>
      </c>
      <c r="O920" s="155">
        <f t="shared" si="126"/>
        <v>0</v>
      </c>
      <c r="P920" s="155">
        <f>IF(O920=1,SUM($O$6:O920),0)</f>
        <v>0</v>
      </c>
    </row>
    <row r="921" spans="1:16" ht="15" customHeight="1">
      <c r="A921" s="17"/>
      <c r="B921" s="194">
        <v>52</v>
      </c>
      <c r="C921" s="109" t="s">
        <v>780</v>
      </c>
      <c r="D921" s="213" t="s">
        <v>49</v>
      </c>
      <c r="E921" s="214" t="s">
        <v>300</v>
      </c>
      <c r="F921" s="215">
        <v>126720.00000000001</v>
      </c>
      <c r="G921" s="215">
        <v>126720.00000000001</v>
      </c>
      <c r="H921" s="171"/>
      <c r="I921" s="88">
        <f t="shared" si="122"/>
        <v>126720.00000000001</v>
      </c>
      <c r="J921" s="163">
        <f t="shared" si="123"/>
        <v>0</v>
      </c>
      <c r="K921" s="155">
        <f t="shared" si="12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25"/>
        <v>0</v>
      </c>
      <c r="O921" s="155">
        <f t="shared" si="126"/>
        <v>0</v>
      </c>
      <c r="P921" s="155">
        <f>IF(O921=1,SUM($O$6:O921),0)</f>
        <v>0</v>
      </c>
    </row>
    <row r="922" spans="1:16" ht="15" customHeight="1">
      <c r="A922" s="17"/>
      <c r="B922" s="194">
        <v>53</v>
      </c>
      <c r="C922" s="109" t="s">
        <v>781</v>
      </c>
      <c r="D922" s="213" t="s">
        <v>49</v>
      </c>
      <c r="E922" s="214" t="s">
        <v>300</v>
      </c>
      <c r="F922" s="215">
        <v>126500.00000000001</v>
      </c>
      <c r="G922" s="215">
        <v>126500.00000000001</v>
      </c>
      <c r="H922" s="171"/>
      <c r="I922" s="88">
        <f t="shared" si="122"/>
        <v>126500.00000000001</v>
      </c>
      <c r="J922" s="163">
        <f t="shared" si="123"/>
        <v>0</v>
      </c>
      <c r="K922" s="155">
        <f t="shared" si="12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25"/>
        <v>0</v>
      </c>
      <c r="O922" s="155">
        <f t="shared" si="126"/>
        <v>0</v>
      </c>
      <c r="P922" s="155">
        <f>IF(O922=1,SUM($O$6:O922),0)</f>
        <v>0</v>
      </c>
    </row>
    <row r="923" spans="1:16" ht="15" customHeight="1">
      <c r="A923" s="15"/>
      <c r="B923" s="194">
        <v>54</v>
      </c>
      <c r="C923" s="109" t="s">
        <v>782</v>
      </c>
      <c r="D923" s="213" t="s">
        <v>49</v>
      </c>
      <c r="E923" s="214" t="s">
        <v>300</v>
      </c>
      <c r="F923" s="215">
        <v>111980.00000000001</v>
      </c>
      <c r="G923" s="215">
        <v>111980.00000000001</v>
      </c>
      <c r="H923" s="171"/>
      <c r="I923" s="88">
        <f t="shared" si="122"/>
        <v>111980.00000000001</v>
      </c>
      <c r="J923" s="163">
        <f t="shared" si="123"/>
        <v>0</v>
      </c>
      <c r="K923" s="155">
        <f t="shared" si="12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25"/>
        <v>0</v>
      </c>
      <c r="O923" s="155">
        <f t="shared" si="126"/>
        <v>0</v>
      </c>
      <c r="P923" s="155">
        <f>IF(O923=1,SUM($O$6:O923),0)</f>
        <v>0</v>
      </c>
    </row>
    <row r="924" spans="1:16" ht="15" customHeight="1">
      <c r="A924" s="15"/>
      <c r="B924" s="194">
        <v>55</v>
      </c>
      <c r="C924" s="109" t="s">
        <v>1604</v>
      </c>
      <c r="D924" s="213" t="s">
        <v>49</v>
      </c>
      <c r="E924" s="214" t="s">
        <v>300</v>
      </c>
      <c r="F924" s="215">
        <v>382439</v>
      </c>
      <c r="G924" s="215">
        <v>382400</v>
      </c>
      <c r="H924" s="171"/>
      <c r="I924" s="88">
        <f t="shared" si="122"/>
        <v>382400</v>
      </c>
      <c r="J924" s="163">
        <f t="shared" si="123"/>
        <v>0</v>
      </c>
      <c r="K924" s="155">
        <f t="shared" si="12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25"/>
        <v>0</v>
      </c>
      <c r="O924" s="155">
        <f t="shared" si="126"/>
        <v>0</v>
      </c>
      <c r="P924" s="155">
        <f>IF(O924=1,SUM($O$6:O924),0)</f>
        <v>0</v>
      </c>
    </row>
    <row r="925" spans="1:16" ht="15" customHeight="1">
      <c r="A925" s="15"/>
      <c r="B925" s="194">
        <v>56</v>
      </c>
      <c r="C925" s="109" t="s">
        <v>1129</v>
      </c>
      <c r="D925" s="213" t="s">
        <v>49</v>
      </c>
      <c r="E925" s="214" t="s">
        <v>300</v>
      </c>
      <c r="F925" s="215">
        <v>662141.63144094404</v>
      </c>
      <c r="G925" s="215">
        <v>662100</v>
      </c>
      <c r="H925" s="171"/>
      <c r="I925" s="88">
        <f t="shared" si="122"/>
        <v>662100</v>
      </c>
      <c r="J925" s="163">
        <f t="shared" si="123"/>
        <v>0</v>
      </c>
      <c r="K925" s="155">
        <f t="shared" si="12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25"/>
        <v>0</v>
      </c>
      <c r="O925" s="155">
        <f t="shared" si="126"/>
        <v>0</v>
      </c>
      <c r="P925" s="155">
        <f>IF(O925=1,SUM($O$6:O925),0)</f>
        <v>0</v>
      </c>
    </row>
    <row r="926" spans="1:16" ht="15" customHeight="1">
      <c r="A926" s="15"/>
      <c r="B926" s="194"/>
      <c r="C926" s="109"/>
      <c r="D926" s="213" t="s">
        <v>50</v>
      </c>
      <c r="E926" s="214"/>
      <c r="F926" s="215"/>
      <c r="G926" s="215"/>
      <c r="H926" s="171"/>
      <c r="I926" s="88">
        <f t="shared" si="122"/>
        <v>0</v>
      </c>
      <c r="J926" s="163">
        <f t="shared" si="123"/>
        <v>0</v>
      </c>
      <c r="K926" s="155">
        <f t="shared" si="12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25"/>
        <v>0</v>
      </c>
      <c r="O926" s="155">
        <f t="shared" si="126"/>
        <v>0</v>
      </c>
      <c r="P926" s="155">
        <f>IF(O926=1,SUM($O$6:O926),0)</f>
        <v>0</v>
      </c>
    </row>
    <row r="927" spans="1:16" ht="15" customHeight="1">
      <c r="A927" s="15"/>
      <c r="B927" s="194" t="s">
        <v>1035</v>
      </c>
      <c r="C927" s="109" t="s">
        <v>783</v>
      </c>
      <c r="D927" s="213" t="s">
        <v>50</v>
      </c>
      <c r="E927" s="214"/>
      <c r="F927" s="215"/>
      <c r="G927" s="215"/>
      <c r="H927" s="171"/>
      <c r="I927" s="88">
        <f t="shared" si="122"/>
        <v>0</v>
      </c>
      <c r="J927" s="163">
        <f t="shared" si="123"/>
        <v>0</v>
      </c>
      <c r="K927" s="155">
        <f t="shared" si="12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25"/>
        <v>0</v>
      </c>
      <c r="O927" s="155">
        <f t="shared" si="126"/>
        <v>0</v>
      </c>
      <c r="P927" s="155">
        <f>IF(O927=1,SUM($O$6:O927),0)</f>
        <v>0</v>
      </c>
    </row>
    <row r="928" spans="1:16" ht="15" customHeight="1">
      <c r="A928" s="15"/>
      <c r="B928" s="194">
        <v>1</v>
      </c>
      <c r="C928" s="109" t="s">
        <v>344</v>
      </c>
      <c r="D928" s="213" t="s">
        <v>49</v>
      </c>
      <c r="E928" s="214" t="s">
        <v>300</v>
      </c>
      <c r="F928" s="215">
        <v>285500</v>
      </c>
      <c r="G928" s="215">
        <v>285500</v>
      </c>
      <c r="H928" s="171"/>
      <c r="I928" s="88">
        <f t="shared" si="122"/>
        <v>285500</v>
      </c>
      <c r="J928" s="163">
        <f t="shared" si="123"/>
        <v>0</v>
      </c>
      <c r="K928" s="155">
        <f t="shared" si="12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25"/>
        <v>0</v>
      </c>
      <c r="O928" s="155">
        <f t="shared" si="126"/>
        <v>0</v>
      </c>
      <c r="P928" s="155">
        <f>IF(O928=1,SUM($O$6:O928),0)</f>
        <v>0</v>
      </c>
    </row>
    <row r="929" spans="1:16" ht="15" customHeight="1">
      <c r="A929" s="15"/>
      <c r="B929" s="194">
        <v>2</v>
      </c>
      <c r="C929" s="109" t="s">
        <v>345</v>
      </c>
      <c r="D929" s="213" t="s">
        <v>49</v>
      </c>
      <c r="E929" s="214" t="s">
        <v>300</v>
      </c>
      <c r="F929" s="215">
        <v>240000</v>
      </c>
      <c r="G929" s="215">
        <v>240000</v>
      </c>
      <c r="H929" s="171"/>
      <c r="I929" s="88">
        <f t="shared" si="122"/>
        <v>240000</v>
      </c>
      <c r="J929" s="163">
        <f t="shared" si="123"/>
        <v>0</v>
      </c>
      <c r="K929" s="155">
        <f t="shared" si="12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25"/>
        <v>0</v>
      </c>
      <c r="O929" s="155">
        <f t="shared" si="126"/>
        <v>0</v>
      </c>
      <c r="P929" s="155">
        <f>IF(O929=1,SUM($O$6:O929),0)</f>
        <v>0</v>
      </c>
    </row>
    <row r="930" spans="1:16" ht="15" customHeight="1">
      <c r="A930" s="15"/>
      <c r="B930" s="194">
        <v>3</v>
      </c>
      <c r="C930" s="109" t="s">
        <v>346</v>
      </c>
      <c r="D930" s="213" t="s">
        <v>49</v>
      </c>
      <c r="E930" s="214" t="s">
        <v>300</v>
      </c>
      <c r="F930" s="215">
        <v>220800</v>
      </c>
      <c r="G930" s="215">
        <v>220800</v>
      </c>
      <c r="H930" s="171"/>
      <c r="I930" s="88">
        <f t="shared" si="122"/>
        <v>220800</v>
      </c>
      <c r="J930" s="163">
        <f t="shared" si="123"/>
        <v>0</v>
      </c>
      <c r="K930" s="155">
        <f t="shared" si="12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25"/>
        <v>0</v>
      </c>
      <c r="O930" s="155">
        <f t="shared" si="126"/>
        <v>0</v>
      </c>
      <c r="P930" s="155">
        <f>IF(O930=1,SUM($O$6:O930),0)</f>
        <v>0</v>
      </c>
    </row>
    <row r="931" spans="1:16" ht="15" customHeight="1">
      <c r="A931" s="15"/>
      <c r="B931" s="194">
        <v>4</v>
      </c>
      <c r="C931" s="109" t="s">
        <v>347</v>
      </c>
      <c r="D931" s="213" t="s">
        <v>49</v>
      </c>
      <c r="E931" s="214" t="s">
        <v>300</v>
      </c>
      <c r="F931" s="215">
        <v>164300</v>
      </c>
      <c r="G931" s="215">
        <v>164300</v>
      </c>
      <c r="H931" s="171"/>
      <c r="I931" s="88">
        <f t="shared" si="122"/>
        <v>164300</v>
      </c>
      <c r="J931" s="163">
        <f t="shared" si="123"/>
        <v>0</v>
      </c>
      <c r="K931" s="155">
        <f t="shared" si="12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25"/>
        <v>0</v>
      </c>
      <c r="O931" s="155">
        <f t="shared" si="126"/>
        <v>0</v>
      </c>
      <c r="P931" s="155">
        <f>IF(O931=1,SUM($O$6:O931),0)</f>
        <v>0</v>
      </c>
    </row>
    <row r="932" spans="1:16" ht="15" customHeight="1">
      <c r="A932" s="15"/>
      <c r="B932" s="194">
        <v>5</v>
      </c>
      <c r="C932" s="109" t="s">
        <v>348</v>
      </c>
      <c r="D932" s="213" t="s">
        <v>49</v>
      </c>
      <c r="E932" s="214" t="s">
        <v>300</v>
      </c>
      <c r="F932" s="215">
        <v>111700</v>
      </c>
      <c r="G932" s="215">
        <v>111700</v>
      </c>
      <c r="H932" s="171"/>
      <c r="I932" s="88">
        <f t="shared" si="122"/>
        <v>111700</v>
      </c>
      <c r="J932" s="163">
        <f t="shared" si="123"/>
        <v>0</v>
      </c>
      <c r="K932" s="155">
        <f t="shared" si="12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25"/>
        <v>0</v>
      </c>
      <c r="O932" s="155">
        <f t="shared" si="126"/>
        <v>0</v>
      </c>
      <c r="P932" s="155">
        <f>IF(O932=1,SUM($O$6:O932),0)</f>
        <v>0</v>
      </c>
    </row>
    <row r="933" spans="1:16" ht="15" customHeight="1">
      <c r="A933" s="15"/>
      <c r="B933" s="194">
        <v>6</v>
      </c>
      <c r="C933" s="109" t="s">
        <v>349</v>
      </c>
      <c r="D933" s="213" t="s">
        <v>49</v>
      </c>
      <c r="E933" s="214" t="s">
        <v>300</v>
      </c>
      <c r="F933" s="215">
        <v>223500</v>
      </c>
      <c r="G933" s="215">
        <v>223500</v>
      </c>
      <c r="H933" s="171"/>
      <c r="I933" s="88">
        <f t="shared" si="122"/>
        <v>223500</v>
      </c>
      <c r="J933" s="163">
        <f t="shared" si="123"/>
        <v>0</v>
      </c>
      <c r="K933" s="155">
        <f t="shared" si="12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25"/>
        <v>0</v>
      </c>
      <c r="O933" s="155">
        <f t="shared" si="126"/>
        <v>0</v>
      </c>
      <c r="P933" s="155">
        <f>IF(O933=1,SUM($O$6:O933),0)</f>
        <v>0</v>
      </c>
    </row>
    <row r="934" spans="1:16" ht="15" customHeight="1">
      <c r="A934" s="15"/>
      <c r="B934" s="194">
        <v>7</v>
      </c>
      <c r="C934" s="109" t="s">
        <v>350</v>
      </c>
      <c r="D934" s="213" t="s">
        <v>49</v>
      </c>
      <c r="E934" s="214" t="s">
        <v>300</v>
      </c>
      <c r="F934" s="215">
        <v>179000</v>
      </c>
      <c r="G934" s="215">
        <v>179000</v>
      </c>
      <c r="H934" s="171"/>
      <c r="I934" s="88">
        <f t="shared" si="122"/>
        <v>179000</v>
      </c>
      <c r="J934" s="163">
        <f t="shared" si="123"/>
        <v>0</v>
      </c>
      <c r="K934" s="155">
        <f t="shared" si="12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25"/>
        <v>0</v>
      </c>
      <c r="O934" s="155">
        <f t="shared" si="126"/>
        <v>0</v>
      </c>
      <c r="P934" s="155">
        <f>IF(O934=1,SUM($O$6:O934),0)</f>
        <v>0</v>
      </c>
    </row>
    <row r="935" spans="1:16" ht="15" customHeight="1">
      <c r="A935" s="15"/>
      <c r="B935" s="194"/>
      <c r="C935" s="109"/>
      <c r="D935" s="213" t="s">
        <v>50</v>
      </c>
      <c r="E935" s="214"/>
      <c r="F935" s="215"/>
      <c r="G935" s="215"/>
      <c r="H935" s="171"/>
      <c r="I935" s="88">
        <f t="shared" si="122"/>
        <v>0</v>
      </c>
      <c r="J935" s="163">
        <f t="shared" si="123"/>
        <v>0</v>
      </c>
      <c r="K935" s="155">
        <f t="shared" si="12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25"/>
        <v>0</v>
      </c>
      <c r="O935" s="155">
        <f t="shared" si="126"/>
        <v>0</v>
      </c>
      <c r="P935" s="155">
        <f>IF(O935=1,SUM($O$6:O935),0)</f>
        <v>0</v>
      </c>
    </row>
    <row r="936" spans="1:16" ht="15" customHeight="1">
      <c r="A936" s="15"/>
      <c r="B936" s="194" t="s">
        <v>1035</v>
      </c>
      <c r="C936" s="109" t="s">
        <v>774</v>
      </c>
      <c r="D936" s="213" t="s">
        <v>50</v>
      </c>
      <c r="E936" s="214"/>
      <c r="F936" s="215"/>
      <c r="G936" s="215"/>
      <c r="H936" s="171"/>
      <c r="I936" s="88">
        <f t="shared" si="122"/>
        <v>0</v>
      </c>
      <c r="J936" s="163">
        <f t="shared" si="123"/>
        <v>0</v>
      </c>
      <c r="K936" s="155">
        <f t="shared" si="12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25"/>
        <v>0</v>
      </c>
      <c r="O936" s="155">
        <f t="shared" si="126"/>
        <v>0</v>
      </c>
      <c r="P936" s="155">
        <f>IF(O936=1,SUM($O$6:O936),0)</f>
        <v>0</v>
      </c>
    </row>
    <row r="937" spans="1:16" ht="15" customHeight="1">
      <c r="A937" s="15"/>
      <c r="B937" s="194">
        <v>1</v>
      </c>
      <c r="C937" s="109" t="s">
        <v>1203</v>
      </c>
      <c r="D937" s="213" t="s">
        <v>49</v>
      </c>
      <c r="E937" s="214" t="s">
        <v>1106</v>
      </c>
      <c r="F937" s="215">
        <v>9514000</v>
      </c>
      <c r="G937" s="215">
        <v>9514000</v>
      </c>
      <c r="H937" s="171"/>
      <c r="I937" s="88">
        <f t="shared" si="122"/>
        <v>9514000</v>
      </c>
      <c r="J937" s="163">
        <f t="shared" si="123"/>
        <v>0</v>
      </c>
      <c r="K937" s="155">
        <f t="shared" si="12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25"/>
        <v>0</v>
      </c>
      <c r="O937" s="155">
        <f t="shared" si="126"/>
        <v>0</v>
      </c>
      <c r="P937" s="155">
        <f>IF(O937=1,SUM($O$6:O937),0)</f>
        <v>0</v>
      </c>
    </row>
    <row r="938" spans="1:16" ht="15" customHeight="1">
      <c r="A938" s="15"/>
      <c r="B938" s="194">
        <v>2</v>
      </c>
      <c r="C938" s="109" t="s">
        <v>1204</v>
      </c>
      <c r="D938" s="213" t="s">
        <v>49</v>
      </c>
      <c r="E938" s="214" t="s">
        <v>1106</v>
      </c>
      <c r="F938" s="215">
        <v>9514000</v>
      </c>
      <c r="G938" s="215">
        <v>9514000</v>
      </c>
      <c r="H938" s="171"/>
      <c r="I938" s="88">
        <f t="shared" si="122"/>
        <v>9514000</v>
      </c>
      <c r="J938" s="163">
        <f t="shared" si="123"/>
        <v>0</v>
      </c>
      <c r="K938" s="155">
        <f t="shared" si="12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25"/>
        <v>0</v>
      </c>
      <c r="O938" s="155">
        <f t="shared" si="126"/>
        <v>0</v>
      </c>
      <c r="P938" s="155">
        <f>IF(O938=1,SUM($O$6:O938),0)</f>
        <v>0</v>
      </c>
    </row>
    <row r="939" spans="1:16" ht="15" customHeight="1">
      <c r="A939" s="15"/>
      <c r="B939" s="194">
        <v>3</v>
      </c>
      <c r="C939" s="109" t="s">
        <v>1205</v>
      </c>
      <c r="D939" s="213" t="s">
        <v>49</v>
      </c>
      <c r="E939" s="214" t="s">
        <v>1106</v>
      </c>
      <c r="F939" s="215">
        <v>7426000</v>
      </c>
      <c r="G939" s="215">
        <v>7426000</v>
      </c>
      <c r="H939" s="171"/>
      <c r="I939" s="88">
        <f t="shared" si="122"/>
        <v>7426000</v>
      </c>
      <c r="J939" s="163">
        <f t="shared" si="123"/>
        <v>0</v>
      </c>
      <c r="K939" s="155">
        <f t="shared" si="12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25"/>
        <v>0</v>
      </c>
      <c r="O939" s="155">
        <f t="shared" si="126"/>
        <v>0</v>
      </c>
      <c r="P939" s="155">
        <f>IF(O939=1,SUM($O$6:O939),0)</f>
        <v>0</v>
      </c>
    </row>
    <row r="940" spans="1:16" ht="15" customHeight="1">
      <c r="A940" s="15"/>
      <c r="B940" s="194">
        <v>4</v>
      </c>
      <c r="C940" s="109" t="s">
        <v>1206</v>
      </c>
      <c r="D940" s="213" t="s">
        <v>49</v>
      </c>
      <c r="E940" s="214" t="s">
        <v>1106</v>
      </c>
      <c r="F940" s="215">
        <v>7034000</v>
      </c>
      <c r="G940" s="215">
        <v>7034000</v>
      </c>
      <c r="H940" s="171"/>
      <c r="I940" s="88">
        <f t="shared" si="122"/>
        <v>7034000</v>
      </c>
      <c r="J940" s="163">
        <f t="shared" si="123"/>
        <v>0</v>
      </c>
      <c r="K940" s="155">
        <f t="shared" si="12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25"/>
        <v>0</v>
      </c>
      <c r="O940" s="155">
        <f t="shared" si="126"/>
        <v>0</v>
      </c>
      <c r="P940" s="155">
        <f>IF(O940=1,SUM($O$6:O940),0)</f>
        <v>0</v>
      </c>
    </row>
    <row r="941" spans="1:16" ht="15" customHeight="1">
      <c r="A941" s="15"/>
      <c r="B941" s="194">
        <v>5</v>
      </c>
      <c r="C941" s="109" t="s">
        <v>1207</v>
      </c>
      <c r="D941" s="213" t="s">
        <v>49</v>
      </c>
      <c r="E941" s="214" t="s">
        <v>1106</v>
      </c>
      <c r="F941" s="215">
        <v>6002000</v>
      </c>
      <c r="G941" s="215">
        <v>6002000</v>
      </c>
      <c r="H941" s="171"/>
      <c r="I941" s="88">
        <f t="shared" si="122"/>
        <v>6002000</v>
      </c>
      <c r="J941" s="163">
        <f t="shared" si="123"/>
        <v>0</v>
      </c>
      <c r="K941" s="155">
        <f t="shared" si="12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25"/>
        <v>0</v>
      </c>
      <c r="O941" s="155">
        <f t="shared" si="126"/>
        <v>0</v>
      </c>
      <c r="P941" s="155">
        <f>IF(O941=1,SUM($O$6:O941),0)</f>
        <v>0</v>
      </c>
    </row>
    <row r="942" spans="1:16" ht="15" customHeight="1">
      <c r="A942" s="15"/>
      <c r="B942" s="194">
        <v>6</v>
      </c>
      <c r="C942" s="109" t="s">
        <v>1208</v>
      </c>
      <c r="D942" s="213" t="s">
        <v>49</v>
      </c>
      <c r="E942" s="214" t="s">
        <v>1106</v>
      </c>
      <c r="F942" s="215">
        <v>5818000</v>
      </c>
      <c r="G942" s="215">
        <v>5818000</v>
      </c>
      <c r="H942" s="171"/>
      <c r="I942" s="88">
        <f t="shared" si="122"/>
        <v>5818000</v>
      </c>
      <c r="J942" s="163">
        <f t="shared" si="123"/>
        <v>0</v>
      </c>
      <c r="K942" s="155">
        <f t="shared" si="12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25"/>
        <v>0</v>
      </c>
      <c r="O942" s="155">
        <f t="shared" si="126"/>
        <v>0</v>
      </c>
      <c r="P942" s="155">
        <f>IF(O942=1,SUM($O$6:O942),0)</f>
        <v>0</v>
      </c>
    </row>
    <row r="943" spans="1:16" ht="15" customHeight="1">
      <c r="A943" s="15"/>
      <c r="B943" s="194">
        <v>7</v>
      </c>
      <c r="C943" s="109" t="s">
        <v>1209</v>
      </c>
      <c r="D943" s="213" t="s">
        <v>49</v>
      </c>
      <c r="E943" s="214" t="s">
        <v>1106</v>
      </c>
      <c r="F943" s="215">
        <v>5812000</v>
      </c>
      <c r="G943" s="215">
        <v>5812000</v>
      </c>
      <c r="H943" s="171"/>
      <c r="I943" s="88">
        <f t="shared" si="122"/>
        <v>5812000</v>
      </c>
      <c r="J943" s="163">
        <f t="shared" si="123"/>
        <v>0</v>
      </c>
      <c r="K943" s="155">
        <f t="shared" si="12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25"/>
        <v>0</v>
      </c>
      <c r="O943" s="155">
        <f t="shared" si="126"/>
        <v>0</v>
      </c>
      <c r="P943" s="155">
        <f>IF(O943=1,SUM($O$6:O943),0)</f>
        <v>0</v>
      </c>
    </row>
    <row r="944" spans="1:16" ht="15" customHeight="1">
      <c r="A944" s="15"/>
      <c r="B944" s="194">
        <v>8</v>
      </c>
      <c r="C944" s="109" t="s">
        <v>1210</v>
      </c>
      <c r="D944" s="213" t="s">
        <v>49</v>
      </c>
      <c r="E944" s="214" t="s">
        <v>1106</v>
      </c>
      <c r="F944" s="215">
        <v>4940000</v>
      </c>
      <c r="G944" s="215">
        <v>4940000</v>
      </c>
      <c r="H944" s="171"/>
      <c r="I944" s="88">
        <f t="shared" si="122"/>
        <v>4940000</v>
      </c>
      <c r="J944" s="163">
        <f t="shared" si="123"/>
        <v>0</v>
      </c>
      <c r="K944" s="155">
        <f t="shared" si="12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25"/>
        <v>0</v>
      </c>
      <c r="O944" s="155">
        <f t="shared" si="126"/>
        <v>0</v>
      </c>
      <c r="P944" s="155">
        <f>IF(O944=1,SUM($O$6:O944),0)</f>
        <v>0</v>
      </c>
    </row>
    <row r="945" spans="1:16" ht="15" customHeight="1">
      <c r="A945" s="15"/>
      <c r="B945" s="194">
        <v>9</v>
      </c>
      <c r="C945" s="109" t="s">
        <v>1211</v>
      </c>
      <c r="D945" s="213" t="s">
        <v>49</v>
      </c>
      <c r="E945" s="214" t="s">
        <v>1106</v>
      </c>
      <c r="F945" s="215">
        <v>5520000</v>
      </c>
      <c r="G945" s="215">
        <v>5520000</v>
      </c>
      <c r="H945" s="171"/>
      <c r="I945" s="88">
        <f t="shared" si="122"/>
        <v>5520000</v>
      </c>
      <c r="J945" s="163">
        <f t="shared" si="123"/>
        <v>0</v>
      </c>
      <c r="K945" s="155">
        <f t="shared" si="12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25"/>
        <v>0</v>
      </c>
      <c r="O945" s="155">
        <f t="shared" si="126"/>
        <v>0</v>
      </c>
      <c r="P945" s="155">
        <f>IF(O945=1,SUM($O$6:O945),0)</f>
        <v>0</v>
      </c>
    </row>
    <row r="946" spans="1:16" ht="15" customHeight="1">
      <c r="A946" s="15"/>
      <c r="B946" s="194">
        <v>10</v>
      </c>
      <c r="C946" s="109" t="s">
        <v>1212</v>
      </c>
      <c r="D946" s="213" t="s">
        <v>49</v>
      </c>
      <c r="E946" s="214" t="s">
        <v>1106</v>
      </c>
      <c r="F946" s="215">
        <v>5362000</v>
      </c>
      <c r="G946" s="215">
        <v>5362000</v>
      </c>
      <c r="H946" s="171"/>
      <c r="I946" s="88">
        <f t="shared" si="122"/>
        <v>5362000</v>
      </c>
      <c r="J946" s="163">
        <f t="shared" si="123"/>
        <v>0</v>
      </c>
      <c r="K946" s="155">
        <f t="shared" si="12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25"/>
        <v>0</v>
      </c>
      <c r="O946" s="155">
        <f t="shared" si="126"/>
        <v>0</v>
      </c>
      <c r="P946" s="155">
        <f>IF(O946=1,SUM($O$6:O946),0)</f>
        <v>0</v>
      </c>
    </row>
    <row r="947" spans="1:16" ht="15" customHeight="1">
      <c r="A947" s="15"/>
      <c r="B947" s="194">
        <v>11</v>
      </c>
      <c r="C947" s="109" t="s">
        <v>1213</v>
      </c>
      <c r="D947" s="213" t="s">
        <v>49</v>
      </c>
      <c r="E947" s="214" t="s">
        <v>1106</v>
      </c>
      <c r="F947" s="215">
        <v>4448000</v>
      </c>
      <c r="G947" s="215">
        <v>4448000</v>
      </c>
      <c r="H947" s="171"/>
      <c r="I947" s="88">
        <f t="shared" si="122"/>
        <v>4448000</v>
      </c>
      <c r="J947" s="163">
        <f t="shared" si="123"/>
        <v>0</v>
      </c>
      <c r="K947" s="155">
        <f t="shared" si="12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25"/>
        <v>0</v>
      </c>
      <c r="O947" s="155">
        <f t="shared" si="126"/>
        <v>0</v>
      </c>
      <c r="P947" s="155">
        <f>IF(O947=1,SUM($O$6:O947),0)</f>
        <v>0</v>
      </c>
    </row>
    <row r="948" spans="1:16" ht="15" customHeight="1">
      <c r="A948" s="15"/>
      <c r="B948" s="194">
        <v>12</v>
      </c>
      <c r="C948" s="109" t="s">
        <v>1214</v>
      </c>
      <c r="D948" s="213" t="s">
        <v>49</v>
      </c>
      <c r="E948" s="214" t="s">
        <v>1106</v>
      </c>
      <c r="F948" s="215">
        <v>4448000</v>
      </c>
      <c r="G948" s="215">
        <v>4448000</v>
      </c>
      <c r="H948" s="171"/>
      <c r="I948" s="88">
        <f t="shared" si="122"/>
        <v>4448000</v>
      </c>
      <c r="J948" s="163">
        <f t="shared" si="123"/>
        <v>0</v>
      </c>
      <c r="K948" s="155">
        <f t="shared" si="12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25"/>
        <v>0</v>
      </c>
      <c r="O948" s="155">
        <f t="shared" si="126"/>
        <v>0</v>
      </c>
      <c r="P948" s="155">
        <f>IF(O948=1,SUM($O$6:O948),0)</f>
        <v>0</v>
      </c>
    </row>
    <row r="949" spans="1:16" ht="15" customHeight="1">
      <c r="A949" s="15"/>
      <c r="B949" s="194">
        <v>13</v>
      </c>
      <c r="C949" s="109" t="s">
        <v>1215</v>
      </c>
      <c r="D949" s="213" t="s">
        <v>49</v>
      </c>
      <c r="E949" s="214" t="s">
        <v>1106</v>
      </c>
      <c r="F949" s="215">
        <v>3946000</v>
      </c>
      <c r="G949" s="215">
        <v>3946000</v>
      </c>
      <c r="H949" s="171"/>
      <c r="I949" s="88">
        <f t="shared" si="122"/>
        <v>3946000</v>
      </c>
      <c r="J949" s="163">
        <f t="shared" si="123"/>
        <v>0</v>
      </c>
      <c r="K949" s="155">
        <f t="shared" si="12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25"/>
        <v>0</v>
      </c>
      <c r="O949" s="155">
        <f t="shared" si="126"/>
        <v>0</v>
      </c>
      <c r="P949" s="155">
        <f>IF(O949=1,SUM($O$6:O949),0)</f>
        <v>0</v>
      </c>
    </row>
    <row r="950" spans="1:16" ht="15" customHeight="1">
      <c r="A950" s="15"/>
      <c r="B950" s="194">
        <v>14</v>
      </c>
      <c r="C950" s="109" t="s">
        <v>1216</v>
      </c>
      <c r="D950" s="213" t="s">
        <v>49</v>
      </c>
      <c r="E950" s="214" t="s">
        <v>1106</v>
      </c>
      <c r="F950" s="215">
        <v>2984000</v>
      </c>
      <c r="G950" s="215">
        <v>2984000</v>
      </c>
      <c r="H950" s="171"/>
      <c r="I950" s="88">
        <f t="shared" si="122"/>
        <v>2984000</v>
      </c>
      <c r="J950" s="163">
        <f t="shared" si="123"/>
        <v>0</v>
      </c>
      <c r="K950" s="155">
        <f t="shared" si="12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25"/>
        <v>0</v>
      </c>
      <c r="O950" s="155">
        <f t="shared" si="126"/>
        <v>0</v>
      </c>
      <c r="P950" s="155">
        <f>IF(O950=1,SUM($O$6:O950),0)</f>
        <v>0</v>
      </c>
    </row>
    <row r="951" spans="1:16" ht="15" customHeight="1">
      <c r="A951" s="15"/>
      <c r="B951" s="194">
        <v>15</v>
      </c>
      <c r="C951" s="109" t="s">
        <v>1217</v>
      </c>
      <c r="D951" s="213" t="s">
        <v>49</v>
      </c>
      <c r="E951" s="214" t="s">
        <v>1106</v>
      </c>
      <c r="F951" s="215">
        <v>7804000</v>
      </c>
      <c r="G951" s="215">
        <v>7804000</v>
      </c>
      <c r="H951" s="171"/>
      <c r="I951" s="88">
        <f t="shared" si="122"/>
        <v>7804000</v>
      </c>
      <c r="J951" s="163">
        <f t="shared" si="123"/>
        <v>0</v>
      </c>
      <c r="K951" s="155">
        <f t="shared" si="12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25"/>
        <v>0</v>
      </c>
      <c r="O951" s="155">
        <f t="shared" si="126"/>
        <v>0</v>
      </c>
      <c r="P951" s="155">
        <f>IF(O951=1,SUM($O$6:O951),0)</f>
        <v>0</v>
      </c>
    </row>
    <row r="952" spans="1:16" ht="15" customHeight="1">
      <c r="A952" s="15"/>
      <c r="B952" s="194">
        <v>16</v>
      </c>
      <c r="C952" s="109" t="s">
        <v>1218</v>
      </c>
      <c r="D952" s="213" t="s">
        <v>49</v>
      </c>
      <c r="E952" s="214" t="s">
        <v>1106</v>
      </c>
      <c r="F952" s="215">
        <v>6152000</v>
      </c>
      <c r="G952" s="215">
        <v>6152000</v>
      </c>
      <c r="H952" s="171"/>
      <c r="I952" s="88">
        <f t="shared" ref="I952:I1005" si="127">IF($I$5=$G$4,G952,(IF($I$5=$F$4,F952,0)))</f>
        <v>6152000</v>
      </c>
      <c r="J952" s="163">
        <f t="shared" si="123"/>
        <v>0</v>
      </c>
      <c r="K952" s="155">
        <f t="shared" si="12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25"/>
        <v>0</v>
      </c>
      <c r="O952" s="155">
        <f t="shared" si="126"/>
        <v>0</v>
      </c>
      <c r="P952" s="155">
        <f>IF(O952=1,SUM($O$6:O952),0)</f>
        <v>0</v>
      </c>
    </row>
    <row r="953" spans="1:16" ht="15" customHeight="1">
      <c r="A953" s="15"/>
      <c r="B953" s="194">
        <v>17</v>
      </c>
      <c r="C953" s="109" t="s">
        <v>1219</v>
      </c>
      <c r="D953" s="213" t="s">
        <v>49</v>
      </c>
      <c r="E953" s="214" t="s">
        <v>1106</v>
      </c>
      <c r="F953" s="215">
        <v>5232000</v>
      </c>
      <c r="G953" s="215">
        <v>5232000</v>
      </c>
      <c r="H953" s="171"/>
      <c r="I953" s="88">
        <f t="shared" si="127"/>
        <v>5232000</v>
      </c>
      <c r="J953" s="163">
        <f t="shared" si="123"/>
        <v>0</v>
      </c>
      <c r="K953" s="155">
        <f t="shared" si="12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25"/>
        <v>0</v>
      </c>
      <c r="O953" s="155">
        <f t="shared" si="126"/>
        <v>0</v>
      </c>
      <c r="P953" s="155">
        <f>IF(O953=1,SUM($O$6:O953),0)</f>
        <v>0</v>
      </c>
    </row>
    <row r="954" spans="1:16" ht="15" customHeight="1">
      <c r="A954" s="15"/>
      <c r="B954" s="194">
        <v>18</v>
      </c>
      <c r="C954" s="109" t="s">
        <v>1220</v>
      </c>
      <c r="D954" s="213" t="s">
        <v>49</v>
      </c>
      <c r="E954" s="214" t="s">
        <v>1106</v>
      </c>
      <c r="F954" s="215">
        <v>3974000</v>
      </c>
      <c r="G954" s="215">
        <v>3974000</v>
      </c>
      <c r="H954" s="171"/>
      <c r="I954" s="88">
        <f t="shared" si="127"/>
        <v>3974000</v>
      </c>
      <c r="J954" s="163">
        <f t="shared" si="123"/>
        <v>0</v>
      </c>
      <c r="K954" s="155">
        <f t="shared" si="12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25"/>
        <v>0</v>
      </c>
      <c r="O954" s="155">
        <f t="shared" si="126"/>
        <v>0</v>
      </c>
      <c r="P954" s="155">
        <f>IF(O954=1,SUM($O$6:O954),0)</f>
        <v>0</v>
      </c>
    </row>
    <row r="955" spans="1:16" ht="15" customHeight="1">
      <c r="A955" s="15"/>
      <c r="B955" s="194">
        <v>19</v>
      </c>
      <c r="C955" s="109" t="s">
        <v>1221</v>
      </c>
      <c r="D955" s="213" t="s">
        <v>49</v>
      </c>
      <c r="E955" s="214" t="s">
        <v>1106</v>
      </c>
      <c r="F955" s="215">
        <v>5452000</v>
      </c>
      <c r="G955" s="215">
        <v>5452000</v>
      </c>
      <c r="H955" s="171"/>
      <c r="I955" s="88">
        <f t="shared" si="127"/>
        <v>5452000</v>
      </c>
      <c r="J955" s="163">
        <f t="shared" si="123"/>
        <v>0</v>
      </c>
      <c r="K955" s="155">
        <f t="shared" si="12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25"/>
        <v>0</v>
      </c>
      <c r="O955" s="155">
        <f t="shared" si="126"/>
        <v>0</v>
      </c>
      <c r="P955" s="155">
        <f>IF(O955=1,SUM($O$6:O955),0)</f>
        <v>0</v>
      </c>
    </row>
    <row r="956" spans="1:16" ht="15" customHeight="1">
      <c r="A956" s="15"/>
      <c r="B956" s="194">
        <v>20</v>
      </c>
      <c r="C956" s="109" t="s">
        <v>1222</v>
      </c>
      <c r="D956" s="213" t="s">
        <v>49</v>
      </c>
      <c r="E956" s="214" t="s">
        <v>1106</v>
      </c>
      <c r="F956" s="215">
        <v>4868000</v>
      </c>
      <c r="G956" s="215">
        <v>4868000</v>
      </c>
      <c r="H956" s="171"/>
      <c r="I956" s="88">
        <f t="shared" si="127"/>
        <v>4868000</v>
      </c>
      <c r="J956" s="163">
        <f t="shared" si="123"/>
        <v>0</v>
      </c>
      <c r="K956" s="155">
        <f t="shared" si="12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25"/>
        <v>0</v>
      </c>
      <c r="O956" s="155">
        <f t="shared" si="126"/>
        <v>0</v>
      </c>
      <c r="P956" s="155">
        <f>IF(O956=1,SUM($O$6:O956),0)</f>
        <v>0</v>
      </c>
    </row>
    <row r="957" spans="1:16" ht="15" customHeight="1">
      <c r="A957" s="15"/>
      <c r="B957" s="194">
        <v>21</v>
      </c>
      <c r="C957" s="109" t="s">
        <v>1223</v>
      </c>
      <c r="D957" s="213" t="s">
        <v>49</v>
      </c>
      <c r="E957" s="214" t="s">
        <v>1106</v>
      </c>
      <c r="F957" s="215">
        <v>3586000</v>
      </c>
      <c r="G957" s="215">
        <v>3586000</v>
      </c>
      <c r="H957" s="171"/>
      <c r="I957" s="88">
        <f t="shared" si="127"/>
        <v>3586000</v>
      </c>
      <c r="J957" s="163">
        <f t="shared" si="123"/>
        <v>0</v>
      </c>
      <c r="K957" s="155">
        <f t="shared" si="12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25"/>
        <v>0</v>
      </c>
      <c r="O957" s="155">
        <f t="shared" si="126"/>
        <v>0</v>
      </c>
      <c r="P957" s="155">
        <f>IF(O957=1,SUM($O$6:O957),0)</f>
        <v>0</v>
      </c>
    </row>
    <row r="958" spans="1:16" ht="15" customHeight="1">
      <c r="A958" s="15"/>
      <c r="B958" s="194">
        <v>22</v>
      </c>
      <c r="C958" s="109" t="s">
        <v>1224</v>
      </c>
      <c r="D958" s="213" t="s">
        <v>49</v>
      </c>
      <c r="E958" s="214" t="s">
        <v>1106</v>
      </c>
      <c r="F958" s="215">
        <v>3038000</v>
      </c>
      <c r="G958" s="215">
        <v>3038000</v>
      </c>
      <c r="H958" s="171"/>
      <c r="I958" s="88">
        <f t="shared" si="127"/>
        <v>3038000</v>
      </c>
      <c r="J958" s="163">
        <f t="shared" si="123"/>
        <v>0</v>
      </c>
      <c r="K958" s="155">
        <f t="shared" si="12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25"/>
        <v>0</v>
      </c>
      <c r="O958" s="155">
        <f t="shared" si="126"/>
        <v>0</v>
      </c>
      <c r="P958" s="155">
        <f>IF(O958=1,SUM($O$6:O958),0)</f>
        <v>0</v>
      </c>
    </row>
    <row r="959" spans="1:16" ht="15" customHeight="1">
      <c r="A959" s="15"/>
      <c r="B959" s="194">
        <v>23</v>
      </c>
      <c r="C959" s="109" t="s">
        <v>1225</v>
      </c>
      <c r="D959" s="213" t="s">
        <v>49</v>
      </c>
      <c r="E959" s="214" t="s">
        <v>1106</v>
      </c>
      <c r="F959" s="215">
        <v>2729702.1956122965</v>
      </c>
      <c r="G959" s="215">
        <v>2729702.1956122965</v>
      </c>
      <c r="H959" s="171"/>
      <c r="I959" s="88">
        <f t="shared" si="127"/>
        <v>2729702.1956122965</v>
      </c>
      <c r="J959" s="163">
        <f t="shared" si="123"/>
        <v>0</v>
      </c>
      <c r="K959" s="155">
        <f t="shared" si="12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25"/>
        <v>0</v>
      </c>
      <c r="O959" s="155">
        <f t="shared" si="126"/>
        <v>0</v>
      </c>
      <c r="P959" s="155">
        <f>IF(O959=1,SUM($O$6:O959),0)</f>
        <v>0</v>
      </c>
    </row>
    <row r="960" spans="1:16" ht="15" customHeight="1">
      <c r="A960" s="15"/>
      <c r="B960" s="194">
        <v>24</v>
      </c>
      <c r="C960" s="109" t="s">
        <v>1226</v>
      </c>
      <c r="D960" s="213" t="s">
        <v>49</v>
      </c>
      <c r="E960" s="214" t="s">
        <v>1106</v>
      </c>
      <c r="F960" s="215">
        <v>2509623.3260061787</v>
      </c>
      <c r="G960" s="215">
        <v>2509623.3260061787</v>
      </c>
      <c r="H960" s="171"/>
      <c r="I960" s="88">
        <f t="shared" si="127"/>
        <v>2509623.3260061787</v>
      </c>
      <c r="J960" s="163">
        <f t="shared" si="123"/>
        <v>0</v>
      </c>
      <c r="K960" s="155">
        <f t="shared" si="12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25"/>
        <v>0</v>
      </c>
      <c r="O960" s="155">
        <f t="shared" si="126"/>
        <v>0</v>
      </c>
      <c r="P960" s="155">
        <f>IF(O960=1,SUM($O$6:O960),0)</f>
        <v>0</v>
      </c>
    </row>
    <row r="961" spans="1:16" ht="15" customHeight="1">
      <c r="A961" s="15"/>
      <c r="B961" s="194">
        <v>25</v>
      </c>
      <c r="C961" s="109" t="s">
        <v>1227</v>
      </c>
      <c r="D961" s="213" t="s">
        <v>49</v>
      </c>
      <c r="E961" s="214" t="s">
        <v>1106</v>
      </c>
      <c r="F961" s="215">
        <v>2304000</v>
      </c>
      <c r="G961" s="215">
        <v>2304000</v>
      </c>
      <c r="H961" s="171"/>
      <c r="I961" s="88">
        <f t="shared" si="127"/>
        <v>2304000</v>
      </c>
      <c r="J961" s="163">
        <f t="shared" si="123"/>
        <v>0</v>
      </c>
      <c r="K961" s="155">
        <f t="shared" si="12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25"/>
        <v>0</v>
      </c>
      <c r="O961" s="155">
        <f t="shared" si="126"/>
        <v>0</v>
      </c>
      <c r="P961" s="155">
        <f>IF(O961=1,SUM($O$6:O961),0)</f>
        <v>0</v>
      </c>
    </row>
    <row r="962" spans="1:16" ht="15" customHeight="1">
      <c r="A962" s="15"/>
      <c r="B962" s="194">
        <v>26</v>
      </c>
      <c r="C962" s="109" t="s">
        <v>1228</v>
      </c>
      <c r="D962" s="213" t="s">
        <v>49</v>
      </c>
      <c r="E962" s="214" t="s">
        <v>1106</v>
      </c>
      <c r="F962" s="215">
        <v>2300000</v>
      </c>
      <c r="G962" s="215">
        <v>2300000</v>
      </c>
      <c r="H962" s="171"/>
      <c r="I962" s="88">
        <f t="shared" si="127"/>
        <v>2300000</v>
      </c>
      <c r="J962" s="163">
        <f t="shared" si="123"/>
        <v>0</v>
      </c>
      <c r="K962" s="155">
        <f t="shared" si="12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25"/>
        <v>0</v>
      </c>
      <c r="O962" s="155">
        <f t="shared" si="126"/>
        <v>0</v>
      </c>
      <c r="P962" s="155">
        <f>IF(O962=1,SUM($O$6:O962),0)</f>
        <v>0</v>
      </c>
    </row>
    <row r="963" spans="1:16" ht="15" customHeight="1">
      <c r="A963" s="15"/>
      <c r="B963" s="194">
        <v>27</v>
      </c>
      <c r="C963" s="109" t="s">
        <v>1229</v>
      </c>
      <c r="D963" s="213" t="s">
        <v>49</v>
      </c>
      <c r="E963" s="214" t="s">
        <v>1106</v>
      </c>
      <c r="F963" s="215">
        <v>2036000</v>
      </c>
      <c r="G963" s="215">
        <v>2036000</v>
      </c>
      <c r="H963" s="171"/>
      <c r="I963" s="88">
        <f t="shared" si="127"/>
        <v>2036000</v>
      </c>
      <c r="J963" s="163">
        <f t="shared" si="123"/>
        <v>0</v>
      </c>
      <c r="K963" s="155">
        <f t="shared" si="12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25"/>
        <v>0</v>
      </c>
      <c r="O963" s="155">
        <f t="shared" si="126"/>
        <v>0</v>
      </c>
      <c r="P963" s="155">
        <f>IF(O963=1,SUM($O$6:O963),0)</f>
        <v>0</v>
      </c>
    </row>
    <row r="964" spans="1:16" ht="15" customHeight="1">
      <c r="A964" s="15"/>
      <c r="B964" s="194">
        <v>28</v>
      </c>
      <c r="C964" s="109" t="s">
        <v>1230</v>
      </c>
      <c r="D964" s="213" t="s">
        <v>49</v>
      </c>
      <c r="E964" s="214" t="s">
        <v>1106</v>
      </c>
      <c r="F964" s="215">
        <v>10465400.000000002</v>
      </c>
      <c r="G964" s="215">
        <v>10465400.000000002</v>
      </c>
      <c r="H964" s="171"/>
      <c r="I964" s="88">
        <f t="shared" si="127"/>
        <v>10465400.000000002</v>
      </c>
      <c r="J964" s="163">
        <f t="shared" si="123"/>
        <v>0</v>
      </c>
      <c r="K964" s="155">
        <f t="shared" si="12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25"/>
        <v>0</v>
      </c>
      <c r="O964" s="155">
        <f t="shared" si="126"/>
        <v>0</v>
      </c>
      <c r="P964" s="155">
        <f>IF(O964=1,SUM($O$6:O964),0)</f>
        <v>0</v>
      </c>
    </row>
    <row r="965" spans="1:16" ht="15" customHeight="1">
      <c r="A965" s="15"/>
      <c r="B965" s="194">
        <v>29</v>
      </c>
      <c r="C965" s="109" t="s">
        <v>1231</v>
      </c>
      <c r="D965" s="213" t="s">
        <v>49</v>
      </c>
      <c r="E965" s="214" t="s">
        <v>1106</v>
      </c>
      <c r="F965" s="215">
        <v>10465400.000000002</v>
      </c>
      <c r="G965" s="215">
        <v>10465400.000000002</v>
      </c>
      <c r="H965" s="171"/>
      <c r="I965" s="88">
        <f t="shared" si="127"/>
        <v>10465400.000000002</v>
      </c>
      <c r="J965" s="163">
        <f t="shared" si="123"/>
        <v>0</v>
      </c>
      <c r="K965" s="155">
        <f t="shared" si="12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25"/>
        <v>0</v>
      </c>
      <c r="O965" s="155">
        <f t="shared" si="126"/>
        <v>0</v>
      </c>
      <c r="P965" s="155">
        <f>IF(O965=1,SUM($O$6:O965),0)</f>
        <v>0</v>
      </c>
    </row>
    <row r="966" spans="1:16" ht="15" customHeight="1">
      <c r="A966" s="15"/>
      <c r="B966" s="194">
        <v>30</v>
      </c>
      <c r="C966" s="109" t="s">
        <v>1232</v>
      </c>
      <c r="D966" s="213" t="s">
        <v>49</v>
      </c>
      <c r="E966" s="214" t="s">
        <v>1106</v>
      </c>
      <c r="F966" s="215">
        <v>8168600.0000000009</v>
      </c>
      <c r="G966" s="215">
        <v>8168600.0000000009</v>
      </c>
      <c r="H966" s="171"/>
      <c r="I966" s="88">
        <f t="shared" si="127"/>
        <v>8168600.0000000009</v>
      </c>
      <c r="J966" s="163">
        <f t="shared" si="123"/>
        <v>0</v>
      </c>
      <c r="K966" s="155">
        <f t="shared" si="12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25"/>
        <v>0</v>
      </c>
      <c r="O966" s="155">
        <f t="shared" si="126"/>
        <v>0</v>
      </c>
      <c r="P966" s="155">
        <f>IF(O966=1,SUM($O$6:O966),0)</f>
        <v>0</v>
      </c>
    </row>
    <row r="967" spans="1:16" ht="15" customHeight="1">
      <c r="A967" s="15"/>
      <c r="B967" s="194">
        <v>31</v>
      </c>
      <c r="C967" s="109" t="s">
        <v>1233</v>
      </c>
      <c r="D967" s="213" t="s">
        <v>49</v>
      </c>
      <c r="E967" s="214" t="s">
        <v>1106</v>
      </c>
      <c r="F967" s="215">
        <v>7737400.0000000009</v>
      </c>
      <c r="G967" s="215">
        <v>7737400.0000000009</v>
      </c>
      <c r="H967" s="171"/>
      <c r="I967" s="88">
        <f t="shared" si="127"/>
        <v>7737400.0000000009</v>
      </c>
      <c r="J967" s="163">
        <f t="shared" si="123"/>
        <v>0</v>
      </c>
      <c r="K967" s="155">
        <f t="shared" si="12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25"/>
        <v>0</v>
      </c>
      <c r="O967" s="155">
        <f t="shared" si="126"/>
        <v>0</v>
      </c>
      <c r="P967" s="155">
        <f>IF(O967=1,SUM($O$6:O967),0)</f>
        <v>0</v>
      </c>
    </row>
    <row r="968" spans="1:16" ht="15" customHeight="1">
      <c r="A968" s="15"/>
      <c r="B968" s="194">
        <v>32</v>
      </c>
      <c r="C968" s="109" t="s">
        <v>1234</v>
      </c>
      <c r="D968" s="213" t="s">
        <v>49</v>
      </c>
      <c r="E968" s="214" t="s">
        <v>1106</v>
      </c>
      <c r="F968" s="215">
        <v>6602200</v>
      </c>
      <c r="G968" s="215">
        <v>6602200</v>
      </c>
      <c r="H968" s="171"/>
      <c r="I968" s="88">
        <f t="shared" si="127"/>
        <v>6602200</v>
      </c>
      <c r="J968" s="163">
        <f t="shared" si="123"/>
        <v>0</v>
      </c>
      <c r="K968" s="155">
        <f t="shared" si="12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25"/>
        <v>0</v>
      </c>
      <c r="O968" s="155">
        <f t="shared" si="126"/>
        <v>0</v>
      </c>
      <c r="P968" s="155">
        <f>IF(O968=1,SUM($O$6:O968),0)</f>
        <v>0</v>
      </c>
    </row>
    <row r="969" spans="1:16" ht="15" customHeight="1">
      <c r="A969" s="15"/>
      <c r="B969" s="194">
        <v>33</v>
      </c>
      <c r="C969" s="109" t="s">
        <v>1235</v>
      </c>
      <c r="D969" s="213" t="s">
        <v>49</v>
      </c>
      <c r="E969" s="214" t="s">
        <v>1106</v>
      </c>
      <c r="F969" s="215">
        <v>6399800</v>
      </c>
      <c r="G969" s="215">
        <v>6399800</v>
      </c>
      <c r="H969" s="171"/>
      <c r="I969" s="88">
        <f t="shared" si="127"/>
        <v>6399800</v>
      </c>
      <c r="J969" s="163">
        <f t="shared" si="123"/>
        <v>0</v>
      </c>
      <c r="K969" s="155">
        <f t="shared" si="12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25"/>
        <v>0</v>
      </c>
      <c r="O969" s="155">
        <f t="shared" si="126"/>
        <v>0</v>
      </c>
      <c r="P969" s="155">
        <f>IF(O969=1,SUM($O$6:O969),0)</f>
        <v>0</v>
      </c>
    </row>
    <row r="970" spans="1:16" ht="15" customHeight="1">
      <c r="A970" s="15"/>
      <c r="B970" s="194">
        <v>34</v>
      </c>
      <c r="C970" s="109" t="s">
        <v>1236</v>
      </c>
      <c r="D970" s="213" t="s">
        <v>49</v>
      </c>
      <c r="E970" s="214" t="s">
        <v>1106</v>
      </c>
      <c r="F970" s="215">
        <v>6393200</v>
      </c>
      <c r="G970" s="215">
        <v>6393200</v>
      </c>
      <c r="H970" s="171"/>
      <c r="I970" s="88">
        <f t="shared" si="127"/>
        <v>6393200</v>
      </c>
      <c r="J970" s="163">
        <f t="shared" si="123"/>
        <v>0</v>
      </c>
      <c r="K970" s="155">
        <f t="shared" si="12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25"/>
        <v>0</v>
      </c>
      <c r="O970" s="155">
        <f t="shared" si="126"/>
        <v>0</v>
      </c>
      <c r="P970" s="155">
        <f>IF(O970=1,SUM($O$6:O970),0)</f>
        <v>0</v>
      </c>
    </row>
    <row r="971" spans="1:16" ht="15" customHeight="1">
      <c r="A971" s="15"/>
      <c r="B971" s="194">
        <v>35</v>
      </c>
      <c r="C971" s="109" t="s">
        <v>1237</v>
      </c>
      <c r="D971" s="213" t="s">
        <v>49</v>
      </c>
      <c r="E971" s="214" t="s">
        <v>1106</v>
      </c>
      <c r="F971" s="215">
        <v>5434000</v>
      </c>
      <c r="G971" s="215">
        <v>5434000</v>
      </c>
      <c r="H971" s="171"/>
      <c r="I971" s="88">
        <f t="shared" si="127"/>
        <v>5434000</v>
      </c>
      <c r="J971" s="163">
        <f t="shared" si="123"/>
        <v>0</v>
      </c>
      <c r="K971" s="155">
        <f t="shared" si="12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25"/>
        <v>0</v>
      </c>
      <c r="O971" s="155">
        <f t="shared" si="126"/>
        <v>0</v>
      </c>
      <c r="P971" s="155">
        <f>IF(O971=1,SUM($O$6:O971),0)</f>
        <v>0</v>
      </c>
    </row>
    <row r="972" spans="1:16" ht="15" customHeight="1">
      <c r="A972" s="15"/>
      <c r="B972" s="194">
        <v>36</v>
      </c>
      <c r="C972" s="109" t="s">
        <v>1238</v>
      </c>
      <c r="D972" s="213" t="s">
        <v>49</v>
      </c>
      <c r="E972" s="214" t="s">
        <v>1106</v>
      </c>
      <c r="F972" s="215">
        <v>6072000</v>
      </c>
      <c r="G972" s="215">
        <v>6072000</v>
      </c>
      <c r="H972" s="171"/>
      <c r="I972" s="88">
        <f>IF($I$5=$G$4,G972,(IF($I$5=$F$4,F972,0)))</f>
        <v>6072000</v>
      </c>
      <c r="J972" s="163">
        <f t="shared" si="123"/>
        <v>0</v>
      </c>
      <c r="K972" s="155">
        <f t="shared" si="12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25"/>
        <v>0</v>
      </c>
      <c r="O972" s="155">
        <f t="shared" si="126"/>
        <v>0</v>
      </c>
      <c r="P972" s="155">
        <f>IF(O972=1,SUM($O$6:O972),0)</f>
        <v>0</v>
      </c>
    </row>
    <row r="973" spans="1:16" ht="15" customHeight="1">
      <c r="A973" s="15"/>
      <c r="B973" s="194">
        <v>37</v>
      </c>
      <c r="C973" s="109" t="s">
        <v>1239</v>
      </c>
      <c r="D973" s="213" t="s">
        <v>49</v>
      </c>
      <c r="E973" s="214" t="s">
        <v>1106</v>
      </c>
      <c r="F973" s="215">
        <v>5898200</v>
      </c>
      <c r="G973" s="215">
        <v>5898200</v>
      </c>
      <c r="H973" s="171"/>
      <c r="I973" s="88">
        <f>IF($I$5=$G$4,G973,(IF($I$5=$F$4,F973,0)))</f>
        <v>5898200</v>
      </c>
      <c r="J973" s="163">
        <f t="shared" si="123"/>
        <v>0</v>
      </c>
      <c r="K973" s="155">
        <f t="shared" si="12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25"/>
        <v>0</v>
      </c>
      <c r="O973" s="155">
        <f t="shared" si="126"/>
        <v>0</v>
      </c>
      <c r="P973" s="155">
        <f>IF(O973=1,SUM($O$6:O973),0)</f>
        <v>0</v>
      </c>
    </row>
    <row r="974" spans="1:16" ht="15" customHeight="1">
      <c r="A974" s="15"/>
      <c r="B974" s="194">
        <v>38</v>
      </c>
      <c r="C974" s="109" t="s">
        <v>1240</v>
      </c>
      <c r="D974" s="213" t="s">
        <v>49</v>
      </c>
      <c r="E974" s="214" t="s">
        <v>1106</v>
      </c>
      <c r="F974" s="215">
        <v>4892800.0000000009</v>
      </c>
      <c r="G974" s="215">
        <v>4892800.0000000009</v>
      </c>
      <c r="H974" s="171"/>
      <c r="I974" s="88">
        <f t="shared" si="127"/>
        <v>4892800.0000000009</v>
      </c>
      <c r="J974" s="163">
        <f t="shared" si="123"/>
        <v>0</v>
      </c>
      <c r="K974" s="155">
        <f t="shared" si="12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25"/>
        <v>0</v>
      </c>
      <c r="O974" s="155">
        <f t="shared" si="126"/>
        <v>0</v>
      </c>
      <c r="P974" s="155">
        <f>IF(O974=1,SUM($O$6:O974),0)</f>
        <v>0</v>
      </c>
    </row>
    <row r="975" spans="1:16" ht="15" customHeight="1">
      <c r="A975" s="15"/>
      <c r="B975" s="194">
        <v>39</v>
      </c>
      <c r="C975" s="109" t="s">
        <v>1241</v>
      </c>
      <c r="D975" s="213" t="s">
        <v>49</v>
      </c>
      <c r="E975" s="214" t="s">
        <v>1106</v>
      </c>
      <c r="F975" s="215">
        <v>4892800.0000000009</v>
      </c>
      <c r="G975" s="215">
        <v>4892800.0000000009</v>
      </c>
      <c r="H975" s="171"/>
      <c r="I975" s="88">
        <f t="shared" si="127"/>
        <v>4892800.0000000009</v>
      </c>
      <c r="J975" s="163">
        <f t="shared" si="123"/>
        <v>0</v>
      </c>
      <c r="K975" s="155">
        <f t="shared" si="12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25"/>
        <v>0</v>
      </c>
      <c r="O975" s="155">
        <f t="shared" si="126"/>
        <v>0</v>
      </c>
      <c r="P975" s="155">
        <f>IF(O975=1,SUM($O$6:O975),0)</f>
        <v>0</v>
      </c>
    </row>
    <row r="976" spans="1:16" ht="15" customHeight="1">
      <c r="A976" s="15"/>
      <c r="B976" s="194">
        <v>40</v>
      </c>
      <c r="C976" s="109" t="s">
        <v>1242</v>
      </c>
      <c r="D976" s="213" t="s">
        <v>49</v>
      </c>
      <c r="E976" s="214" t="s">
        <v>1106</v>
      </c>
      <c r="F976" s="215">
        <v>4340600.0000000009</v>
      </c>
      <c r="G976" s="215">
        <v>4340600.0000000009</v>
      </c>
      <c r="H976" s="171"/>
      <c r="I976" s="88">
        <f t="shared" si="127"/>
        <v>4340600.0000000009</v>
      </c>
      <c r="J976" s="163">
        <f t="shared" si="123"/>
        <v>0</v>
      </c>
      <c r="K976" s="155">
        <f t="shared" si="12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25"/>
        <v>0</v>
      </c>
      <c r="O976" s="155">
        <f t="shared" si="126"/>
        <v>0</v>
      </c>
      <c r="P976" s="155">
        <f>IF(O976=1,SUM($O$6:O976),0)</f>
        <v>0</v>
      </c>
    </row>
    <row r="977" spans="1:16" ht="15" customHeight="1">
      <c r="A977" s="15"/>
      <c r="B977" s="194">
        <v>41</v>
      </c>
      <c r="C977" s="109" t="s">
        <v>1243</v>
      </c>
      <c r="D977" s="213" t="s">
        <v>49</v>
      </c>
      <c r="E977" s="214" t="s">
        <v>1106</v>
      </c>
      <c r="F977" s="215">
        <v>3282400</v>
      </c>
      <c r="G977" s="215">
        <v>3282400</v>
      </c>
      <c r="H977" s="171"/>
      <c r="I977" s="88">
        <f t="shared" si="127"/>
        <v>3282400</v>
      </c>
      <c r="J977" s="163">
        <f t="shared" si="123"/>
        <v>0</v>
      </c>
      <c r="K977" s="155">
        <f t="shared" si="12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25"/>
        <v>0</v>
      </c>
      <c r="O977" s="155">
        <f t="shared" si="126"/>
        <v>0</v>
      </c>
      <c r="P977" s="155">
        <f>IF(O977=1,SUM($O$6:O977),0)</f>
        <v>0</v>
      </c>
    </row>
    <row r="978" spans="1:16" ht="15" customHeight="1">
      <c r="A978" s="15"/>
      <c r="B978" s="194">
        <v>42</v>
      </c>
      <c r="C978" s="109" t="s">
        <v>1244</v>
      </c>
      <c r="D978" s="213" t="s">
        <v>49</v>
      </c>
      <c r="E978" s="214" t="s">
        <v>1106</v>
      </c>
      <c r="F978" s="215">
        <v>8584400.0000000019</v>
      </c>
      <c r="G978" s="215">
        <v>8584400.0000000019</v>
      </c>
      <c r="H978" s="171"/>
      <c r="I978" s="88">
        <f t="shared" si="127"/>
        <v>8584400.0000000019</v>
      </c>
      <c r="J978" s="163">
        <f t="shared" si="123"/>
        <v>0</v>
      </c>
      <c r="K978" s="155">
        <f t="shared" si="12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5"/>
        <v>0</v>
      </c>
      <c r="O978" s="155">
        <f t="shared" si="126"/>
        <v>0</v>
      </c>
      <c r="P978" s="155">
        <f>IF(O978=1,SUM($O$6:O978),0)</f>
        <v>0</v>
      </c>
    </row>
    <row r="979" spans="1:16" ht="15" customHeight="1">
      <c r="A979" s="15"/>
      <c r="B979" s="194">
        <v>43</v>
      </c>
      <c r="C979" s="109" t="s">
        <v>1245</v>
      </c>
      <c r="D979" s="213" t="s">
        <v>49</v>
      </c>
      <c r="E979" s="214" t="s">
        <v>1106</v>
      </c>
      <c r="F979" s="215">
        <v>6767200</v>
      </c>
      <c r="G979" s="215">
        <v>6767200</v>
      </c>
      <c r="H979" s="171"/>
      <c r="I979" s="88">
        <f t="shared" si="127"/>
        <v>6767200</v>
      </c>
      <c r="J979" s="163">
        <f t="shared" ref="J979:J1042" si="128">IF(D979="MDU-KD",1,0)</f>
        <v>0</v>
      </c>
      <c r="K979" s="155">
        <f t="shared" ref="K979:K1042" si="12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130">IF(L979=0,M979,L979)</f>
        <v>0</v>
      </c>
      <c r="O979" s="155">
        <f t="shared" ref="O979:O1042" si="13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94">
        <v>44</v>
      </c>
      <c r="C980" s="109" t="s">
        <v>1246</v>
      </c>
      <c r="D980" s="213" t="s">
        <v>49</v>
      </c>
      <c r="E980" s="214" t="s">
        <v>1106</v>
      </c>
      <c r="F980" s="215">
        <v>5755200</v>
      </c>
      <c r="G980" s="215">
        <v>5755200</v>
      </c>
      <c r="H980" s="171"/>
      <c r="I980" s="88">
        <f t="shared" si="127"/>
        <v>5755200</v>
      </c>
      <c r="J980" s="163">
        <f t="shared" si="128"/>
        <v>0</v>
      </c>
      <c r="K980" s="155">
        <f t="shared" si="12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30"/>
        <v>0</v>
      </c>
      <c r="O980" s="155">
        <f t="shared" si="131"/>
        <v>0</v>
      </c>
      <c r="P980" s="155">
        <f>IF(O980=1,SUM($O$6:O980),0)</f>
        <v>0</v>
      </c>
    </row>
    <row r="981" spans="1:16" ht="15" customHeight="1">
      <c r="A981" s="15"/>
      <c r="B981" s="194">
        <v>45</v>
      </c>
      <c r="C981" s="109" t="s">
        <v>1247</v>
      </c>
      <c r="D981" s="213" t="s">
        <v>49</v>
      </c>
      <c r="E981" s="214" t="s">
        <v>1106</v>
      </c>
      <c r="F981" s="215">
        <v>4371400.0000000009</v>
      </c>
      <c r="G981" s="215">
        <v>4371400.0000000009</v>
      </c>
      <c r="H981" s="171"/>
      <c r="I981" s="88">
        <f t="shared" si="127"/>
        <v>4371400.0000000009</v>
      </c>
      <c r="J981" s="163">
        <f t="shared" si="128"/>
        <v>0</v>
      </c>
      <c r="K981" s="155">
        <f t="shared" si="12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30"/>
        <v>0</v>
      </c>
      <c r="O981" s="155">
        <f t="shared" si="131"/>
        <v>0</v>
      </c>
      <c r="P981" s="155">
        <f>IF(O981=1,SUM($O$6:O981),0)</f>
        <v>0</v>
      </c>
    </row>
    <row r="982" spans="1:16" ht="15" customHeight="1">
      <c r="A982" s="15"/>
      <c r="B982" s="194">
        <v>46</v>
      </c>
      <c r="C982" s="109" t="s">
        <v>1248</v>
      </c>
      <c r="D982" s="213" t="s">
        <v>49</v>
      </c>
      <c r="E982" s="214" t="s">
        <v>1106</v>
      </c>
      <c r="F982" s="215">
        <v>5997200</v>
      </c>
      <c r="G982" s="215">
        <v>5997200</v>
      </c>
      <c r="H982" s="171"/>
      <c r="I982" s="88">
        <f t="shared" si="127"/>
        <v>5997200</v>
      </c>
      <c r="J982" s="163">
        <f t="shared" si="128"/>
        <v>0</v>
      </c>
      <c r="K982" s="155">
        <f t="shared" si="12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30"/>
        <v>0</v>
      </c>
      <c r="O982" s="155">
        <f t="shared" si="131"/>
        <v>0</v>
      </c>
      <c r="P982" s="155">
        <f>IF(O982=1,SUM($O$6:O982),0)</f>
        <v>0</v>
      </c>
    </row>
    <row r="983" spans="1:16" ht="15" customHeight="1">
      <c r="A983" s="15"/>
      <c r="B983" s="194">
        <v>47</v>
      </c>
      <c r="C983" s="109" t="s">
        <v>1249</v>
      </c>
      <c r="D983" s="213" t="s">
        <v>49</v>
      </c>
      <c r="E983" s="214" t="s">
        <v>1106</v>
      </c>
      <c r="F983" s="215">
        <v>5354800</v>
      </c>
      <c r="G983" s="215">
        <v>5354800</v>
      </c>
      <c r="H983" s="171"/>
      <c r="I983" s="88">
        <f t="shared" si="127"/>
        <v>5354800</v>
      </c>
      <c r="J983" s="163">
        <f t="shared" si="128"/>
        <v>0</v>
      </c>
      <c r="K983" s="155">
        <f t="shared" si="12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30"/>
        <v>0</v>
      </c>
      <c r="O983" s="155">
        <f t="shared" si="131"/>
        <v>0</v>
      </c>
      <c r="P983" s="155">
        <f>IF(O983=1,SUM($O$6:O983),0)</f>
        <v>0</v>
      </c>
    </row>
    <row r="984" spans="1:16" ht="15" customHeight="1">
      <c r="A984" s="15"/>
      <c r="B984" s="194">
        <v>48</v>
      </c>
      <c r="C984" s="109" t="s">
        <v>1250</v>
      </c>
      <c r="D984" s="213" t="s">
        <v>49</v>
      </c>
      <c r="E984" s="214" t="s">
        <v>1106</v>
      </c>
      <c r="F984" s="215">
        <v>3944600.0000000005</v>
      </c>
      <c r="G984" s="215">
        <v>3944600.0000000005</v>
      </c>
      <c r="H984" s="171"/>
      <c r="I984" s="88">
        <f t="shared" si="127"/>
        <v>3944600.0000000005</v>
      </c>
      <c r="J984" s="163">
        <f t="shared" si="128"/>
        <v>0</v>
      </c>
      <c r="K984" s="155">
        <f t="shared" si="12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30"/>
        <v>0</v>
      </c>
      <c r="O984" s="155">
        <f t="shared" si="131"/>
        <v>0</v>
      </c>
      <c r="P984" s="155">
        <f>IF(O984=1,SUM($O$6:O984),0)</f>
        <v>0</v>
      </c>
    </row>
    <row r="985" spans="1:16" ht="15" customHeight="1">
      <c r="A985" s="15"/>
      <c r="B985" s="194">
        <v>49</v>
      </c>
      <c r="C985" s="109" t="s">
        <v>1251</v>
      </c>
      <c r="D985" s="213" t="s">
        <v>49</v>
      </c>
      <c r="E985" s="214" t="s">
        <v>1106</v>
      </c>
      <c r="F985" s="215">
        <v>3341800</v>
      </c>
      <c r="G985" s="215">
        <v>3341800</v>
      </c>
      <c r="H985" s="171"/>
      <c r="I985" s="88">
        <f t="shared" si="127"/>
        <v>3341800</v>
      </c>
      <c r="J985" s="163">
        <f t="shared" si="128"/>
        <v>0</v>
      </c>
      <c r="K985" s="155">
        <f t="shared" si="12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30"/>
        <v>0</v>
      </c>
      <c r="O985" s="155">
        <f t="shared" si="131"/>
        <v>0</v>
      </c>
      <c r="P985" s="155">
        <f>IF(O985=1,SUM($O$6:O985),0)</f>
        <v>0</v>
      </c>
    </row>
    <row r="986" spans="1:16" ht="15" customHeight="1">
      <c r="A986" s="15"/>
      <c r="B986" s="194">
        <v>50</v>
      </c>
      <c r="C986" s="109" t="s">
        <v>1252</v>
      </c>
      <c r="D986" s="213" t="s">
        <v>49</v>
      </c>
      <c r="E986" s="214" t="s">
        <v>1106</v>
      </c>
      <c r="F986" s="215">
        <v>3002672.4151735264</v>
      </c>
      <c r="G986" s="215">
        <v>3002672.4151735264</v>
      </c>
      <c r="H986" s="171"/>
      <c r="I986" s="88">
        <f t="shared" si="127"/>
        <v>3002672.4151735264</v>
      </c>
      <c r="J986" s="163">
        <f t="shared" si="128"/>
        <v>0</v>
      </c>
      <c r="K986" s="155">
        <f t="shared" si="12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30"/>
        <v>0</v>
      </c>
      <c r="O986" s="155">
        <f t="shared" si="131"/>
        <v>0</v>
      </c>
      <c r="P986" s="155">
        <f>IF(O986=1,SUM($O$6:O986),0)</f>
        <v>0</v>
      </c>
    </row>
    <row r="987" spans="1:16" ht="15" customHeight="1">
      <c r="A987" s="15"/>
      <c r="B987" s="194">
        <v>51</v>
      </c>
      <c r="C987" s="109" t="s">
        <v>1253</v>
      </c>
      <c r="D987" s="213" t="s">
        <v>49</v>
      </c>
      <c r="E987" s="214" t="s">
        <v>1106</v>
      </c>
      <c r="F987" s="215">
        <v>2760585.6586067965</v>
      </c>
      <c r="G987" s="215">
        <v>2760585.6586067965</v>
      </c>
      <c r="H987" s="171"/>
      <c r="I987" s="88">
        <f t="shared" si="127"/>
        <v>2760585.6586067965</v>
      </c>
      <c r="J987" s="163">
        <f t="shared" si="128"/>
        <v>0</v>
      </c>
      <c r="K987" s="155">
        <f t="shared" si="12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30"/>
        <v>0</v>
      </c>
      <c r="O987" s="155">
        <f t="shared" si="131"/>
        <v>0</v>
      </c>
      <c r="P987" s="155">
        <f>IF(O987=1,SUM($O$6:O987),0)</f>
        <v>0</v>
      </c>
    </row>
    <row r="988" spans="1:16" ht="15" customHeight="1">
      <c r="A988" s="15"/>
      <c r="B988" s="194">
        <v>52</v>
      </c>
      <c r="C988" s="109" t="s">
        <v>1254</v>
      </c>
      <c r="D988" s="213" t="s">
        <v>49</v>
      </c>
      <c r="E988" s="214" t="s">
        <v>1106</v>
      </c>
      <c r="F988" s="215">
        <v>2534400.0000000005</v>
      </c>
      <c r="G988" s="215">
        <v>2534400.0000000005</v>
      </c>
      <c r="H988" s="171"/>
      <c r="I988" s="88">
        <f t="shared" si="127"/>
        <v>2534400.0000000005</v>
      </c>
      <c r="J988" s="163">
        <f t="shared" si="128"/>
        <v>0</v>
      </c>
      <c r="K988" s="155">
        <f t="shared" si="12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30"/>
        <v>0</v>
      </c>
      <c r="O988" s="155">
        <f t="shared" si="131"/>
        <v>0</v>
      </c>
      <c r="P988" s="155">
        <f>IF(O988=1,SUM($O$6:O988),0)</f>
        <v>0</v>
      </c>
    </row>
    <row r="989" spans="1:16" ht="15" customHeight="1">
      <c r="A989" s="15"/>
      <c r="B989" s="194">
        <v>53</v>
      </c>
      <c r="C989" s="109" t="s">
        <v>1255</v>
      </c>
      <c r="D989" s="213" t="s">
        <v>49</v>
      </c>
      <c r="E989" s="214" t="s">
        <v>1106</v>
      </c>
      <c r="F989" s="215">
        <v>2530000.0000000005</v>
      </c>
      <c r="G989" s="215">
        <v>2530000.0000000005</v>
      </c>
      <c r="H989" s="171"/>
      <c r="I989" s="88">
        <f t="shared" si="127"/>
        <v>2530000.0000000005</v>
      </c>
      <c r="J989" s="163">
        <f t="shared" si="128"/>
        <v>0</v>
      </c>
      <c r="K989" s="155">
        <f t="shared" si="12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30"/>
        <v>0</v>
      </c>
      <c r="O989" s="155">
        <f t="shared" si="131"/>
        <v>0</v>
      </c>
      <c r="P989" s="155">
        <f>IF(O989=1,SUM($O$6:O989),0)</f>
        <v>0</v>
      </c>
    </row>
    <row r="990" spans="1:16" ht="15" customHeight="1">
      <c r="A990" s="15"/>
      <c r="B990" s="194">
        <v>54</v>
      </c>
      <c r="C990" s="109" t="s">
        <v>1256</v>
      </c>
      <c r="D990" s="213" t="s">
        <v>49</v>
      </c>
      <c r="E990" s="214" t="s">
        <v>1106</v>
      </c>
      <c r="F990" s="215">
        <v>2239600.0000000005</v>
      </c>
      <c r="G990" s="215">
        <v>2239600.0000000005</v>
      </c>
      <c r="H990" s="171"/>
      <c r="I990" s="88">
        <f t="shared" si="127"/>
        <v>2239600.0000000005</v>
      </c>
      <c r="J990" s="163">
        <f t="shared" si="128"/>
        <v>0</v>
      </c>
      <c r="K990" s="155">
        <f t="shared" si="12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30"/>
        <v>0</v>
      </c>
      <c r="O990" s="155">
        <f t="shared" si="131"/>
        <v>0</v>
      </c>
      <c r="P990" s="155">
        <f>IF(O990=1,SUM($O$6:O990),0)</f>
        <v>0</v>
      </c>
    </row>
    <row r="991" spans="1:16" ht="15" customHeight="1">
      <c r="A991" s="15"/>
      <c r="B991" s="194">
        <v>55</v>
      </c>
      <c r="C991" s="109" t="s">
        <v>1257</v>
      </c>
      <c r="D991" s="213" t="s">
        <v>49</v>
      </c>
      <c r="E991" s="214" t="s">
        <v>1106</v>
      </c>
      <c r="F991" s="215">
        <v>13242832.628818881</v>
      </c>
      <c r="G991" s="215">
        <v>13242832.628818881</v>
      </c>
      <c r="H991" s="171"/>
      <c r="I991" s="88">
        <f t="shared" si="127"/>
        <v>13242832.628818881</v>
      </c>
      <c r="J991" s="163">
        <f t="shared" si="128"/>
        <v>0</v>
      </c>
      <c r="K991" s="155">
        <f t="shared" si="12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30"/>
        <v>0</v>
      </c>
      <c r="O991" s="155">
        <f t="shared" si="131"/>
        <v>0</v>
      </c>
      <c r="P991" s="155">
        <f>IF(O991=1,SUM($O$6:O991),0)</f>
        <v>0</v>
      </c>
    </row>
    <row r="992" spans="1:16" ht="15" customHeight="1">
      <c r="A992" s="15"/>
      <c r="B992" s="194"/>
      <c r="C992" s="109"/>
      <c r="D992" s="213" t="s">
        <v>50</v>
      </c>
      <c r="E992" s="214"/>
      <c r="F992" s="215">
        <v>0</v>
      </c>
      <c r="G992" s="215">
        <v>0</v>
      </c>
      <c r="H992" s="171"/>
      <c r="I992" s="88">
        <f t="shared" si="127"/>
        <v>0</v>
      </c>
      <c r="J992" s="163">
        <f t="shared" si="128"/>
        <v>0</v>
      </c>
      <c r="K992" s="155">
        <f t="shared" si="12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30"/>
        <v>0</v>
      </c>
      <c r="O992" s="155">
        <f t="shared" si="131"/>
        <v>0</v>
      </c>
      <c r="P992" s="155">
        <f>IF(O992=1,SUM($O$6:O992),0)</f>
        <v>0</v>
      </c>
    </row>
    <row r="993" spans="1:16" ht="15" customHeight="1">
      <c r="A993" s="15"/>
      <c r="B993" s="194" t="s">
        <v>1035</v>
      </c>
      <c r="C993" s="109" t="s">
        <v>783</v>
      </c>
      <c r="D993" s="213" t="s">
        <v>50</v>
      </c>
      <c r="E993" s="214"/>
      <c r="F993" s="215">
        <v>0</v>
      </c>
      <c r="G993" s="215">
        <v>0</v>
      </c>
      <c r="H993" s="171"/>
      <c r="I993" s="88">
        <f t="shared" si="127"/>
        <v>0</v>
      </c>
      <c r="J993" s="163">
        <f t="shared" si="128"/>
        <v>0</v>
      </c>
      <c r="K993" s="155">
        <f t="shared" si="12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30"/>
        <v>0</v>
      </c>
      <c r="O993" s="155">
        <f t="shared" si="131"/>
        <v>0</v>
      </c>
      <c r="P993" s="155">
        <f>IF(O993=1,SUM($O$6:O993),0)</f>
        <v>0</v>
      </c>
    </row>
    <row r="994" spans="1:16" ht="15" customHeight="1">
      <c r="A994" s="15"/>
      <c r="B994" s="194">
        <v>1</v>
      </c>
      <c r="C994" s="109" t="s">
        <v>1258</v>
      </c>
      <c r="D994" s="213" t="s">
        <v>49</v>
      </c>
      <c r="E994" s="214" t="s">
        <v>1106</v>
      </c>
      <c r="F994" s="215">
        <v>5710000</v>
      </c>
      <c r="G994" s="215">
        <v>5710000</v>
      </c>
      <c r="H994" s="171"/>
      <c r="I994" s="88">
        <f t="shared" si="127"/>
        <v>5710000</v>
      </c>
      <c r="J994" s="163">
        <f t="shared" si="128"/>
        <v>0</v>
      </c>
      <c r="K994" s="155">
        <f t="shared" si="12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30"/>
        <v>0</v>
      </c>
      <c r="O994" s="155">
        <f t="shared" si="131"/>
        <v>0</v>
      </c>
      <c r="P994" s="155">
        <f>IF(O994=1,SUM($O$6:O994),0)</f>
        <v>0</v>
      </c>
    </row>
    <row r="995" spans="1:16" ht="15" customHeight="1">
      <c r="A995" s="15"/>
      <c r="B995" s="194">
        <v>2</v>
      </c>
      <c r="C995" s="109" t="s">
        <v>1259</v>
      </c>
      <c r="D995" s="213" t="s">
        <v>49</v>
      </c>
      <c r="E995" s="214" t="s">
        <v>1106</v>
      </c>
      <c r="F995" s="215">
        <v>4800000</v>
      </c>
      <c r="G995" s="215">
        <v>4800000</v>
      </c>
      <c r="H995" s="171"/>
      <c r="I995" s="88">
        <f t="shared" si="127"/>
        <v>4800000</v>
      </c>
      <c r="J995" s="163">
        <f t="shared" si="128"/>
        <v>0</v>
      </c>
      <c r="K995" s="155">
        <f t="shared" si="12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30"/>
        <v>0</v>
      </c>
      <c r="O995" s="155">
        <f t="shared" si="131"/>
        <v>0</v>
      </c>
      <c r="P995" s="155">
        <f>IF(O995=1,SUM($O$6:O995),0)</f>
        <v>0</v>
      </c>
    </row>
    <row r="996" spans="1:16" ht="15" customHeight="1">
      <c r="A996" s="15"/>
      <c r="B996" s="194">
        <v>3</v>
      </c>
      <c r="C996" s="109" t="s">
        <v>1260</v>
      </c>
      <c r="D996" s="213" t="s">
        <v>49</v>
      </c>
      <c r="E996" s="214" t="s">
        <v>1106</v>
      </c>
      <c r="F996" s="215">
        <v>4416000</v>
      </c>
      <c r="G996" s="215">
        <v>4416000</v>
      </c>
      <c r="H996" s="171"/>
      <c r="I996" s="88">
        <f t="shared" si="127"/>
        <v>4416000</v>
      </c>
      <c r="J996" s="163">
        <f t="shared" si="128"/>
        <v>0</v>
      </c>
      <c r="K996" s="155">
        <f t="shared" si="12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30"/>
        <v>0</v>
      </c>
      <c r="O996" s="155">
        <f t="shared" si="131"/>
        <v>0</v>
      </c>
      <c r="P996" s="155">
        <f>IF(O996=1,SUM($O$6:O996),0)</f>
        <v>0</v>
      </c>
    </row>
    <row r="997" spans="1:16" ht="15" customHeight="1">
      <c r="A997" s="15"/>
      <c r="B997" s="194">
        <v>4</v>
      </c>
      <c r="C997" s="109" t="s">
        <v>1261</v>
      </c>
      <c r="D997" s="213" t="s">
        <v>49</v>
      </c>
      <c r="E997" s="214" t="s">
        <v>1106</v>
      </c>
      <c r="F997" s="215">
        <v>3286000</v>
      </c>
      <c r="G997" s="215">
        <v>3286000</v>
      </c>
      <c r="H997" s="171"/>
      <c r="I997" s="88">
        <f t="shared" si="127"/>
        <v>3286000</v>
      </c>
      <c r="J997" s="163">
        <f t="shared" si="128"/>
        <v>0</v>
      </c>
      <c r="K997" s="155">
        <f t="shared" si="12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30"/>
        <v>0</v>
      </c>
      <c r="O997" s="155">
        <f t="shared" si="131"/>
        <v>0</v>
      </c>
      <c r="P997" s="155">
        <f>IF(O997=1,SUM($O$6:O997),0)</f>
        <v>0</v>
      </c>
    </row>
    <row r="998" spans="1:16" ht="15" customHeight="1">
      <c r="A998" s="15"/>
      <c r="B998" s="194">
        <v>5</v>
      </c>
      <c r="C998" s="109" t="s">
        <v>1262</v>
      </c>
      <c r="D998" s="213" t="s">
        <v>49</v>
      </c>
      <c r="E998" s="214" t="s">
        <v>1106</v>
      </c>
      <c r="F998" s="215">
        <v>2234000</v>
      </c>
      <c r="G998" s="215">
        <v>2234000</v>
      </c>
      <c r="H998" s="171"/>
      <c r="I998" s="88">
        <f t="shared" si="127"/>
        <v>2234000</v>
      </c>
      <c r="J998" s="163">
        <f t="shared" si="128"/>
        <v>0</v>
      </c>
      <c r="K998" s="155">
        <f t="shared" si="12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30"/>
        <v>0</v>
      </c>
      <c r="O998" s="155">
        <f t="shared" si="131"/>
        <v>0</v>
      </c>
      <c r="P998" s="155">
        <f>IF(O998=1,SUM($O$6:O998),0)</f>
        <v>0</v>
      </c>
    </row>
    <row r="999" spans="1:16" ht="15" customHeight="1">
      <c r="A999" s="15"/>
      <c r="B999" s="194">
        <v>6</v>
      </c>
      <c r="C999" s="109" t="s">
        <v>1263</v>
      </c>
      <c r="D999" s="213" t="s">
        <v>49</v>
      </c>
      <c r="E999" s="214" t="s">
        <v>1106</v>
      </c>
      <c r="F999" s="215">
        <v>4470000</v>
      </c>
      <c r="G999" s="215">
        <v>4470000</v>
      </c>
      <c r="H999" s="171"/>
      <c r="I999" s="88">
        <f t="shared" si="127"/>
        <v>4470000</v>
      </c>
      <c r="J999" s="163">
        <f t="shared" si="128"/>
        <v>0</v>
      </c>
      <c r="K999" s="155">
        <f t="shared" si="12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30"/>
        <v>0</v>
      </c>
      <c r="O999" s="155">
        <f t="shared" si="131"/>
        <v>0</v>
      </c>
      <c r="P999" s="155">
        <f>IF(O999=1,SUM($O$6:O999),0)</f>
        <v>0</v>
      </c>
    </row>
    <row r="1000" spans="1:16" ht="15" customHeight="1">
      <c r="A1000" s="15"/>
      <c r="B1000" s="194">
        <v>7</v>
      </c>
      <c r="C1000" s="109" t="s">
        <v>1264</v>
      </c>
      <c r="D1000" s="213" t="s">
        <v>49</v>
      </c>
      <c r="E1000" s="214" t="s">
        <v>1106</v>
      </c>
      <c r="F1000" s="215">
        <v>3580000</v>
      </c>
      <c r="G1000" s="215">
        <v>3580000</v>
      </c>
      <c r="H1000" s="171"/>
      <c r="I1000" s="88">
        <f t="shared" si="127"/>
        <v>3580000</v>
      </c>
      <c r="J1000" s="163">
        <f t="shared" si="128"/>
        <v>0</v>
      </c>
      <c r="K1000" s="155">
        <f t="shared" si="12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30"/>
        <v>0</v>
      </c>
      <c r="O1000" s="155">
        <f t="shared" si="131"/>
        <v>0</v>
      </c>
      <c r="P1000" s="155">
        <f>IF(O1000=1,SUM($O$6:O1000),0)</f>
        <v>0</v>
      </c>
    </row>
    <row r="1001" spans="1:16" ht="15" customHeight="1">
      <c r="A1001" s="15"/>
      <c r="B1001" s="194"/>
      <c r="C1001" s="109"/>
      <c r="D1001" s="213" t="s">
        <v>50</v>
      </c>
      <c r="E1001" s="214"/>
      <c r="F1001" s="215"/>
      <c r="G1001" s="215"/>
      <c r="H1001" s="171"/>
      <c r="I1001" s="88">
        <f t="shared" si="127"/>
        <v>0</v>
      </c>
      <c r="J1001" s="163">
        <f t="shared" si="128"/>
        <v>0</v>
      </c>
      <c r="K1001" s="155">
        <f t="shared" si="12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30"/>
        <v>0</v>
      </c>
      <c r="O1001" s="155">
        <f t="shared" si="131"/>
        <v>0</v>
      </c>
      <c r="P1001" s="155">
        <f>IF(O1001=1,SUM($O$6:O1001),0)</f>
        <v>0</v>
      </c>
    </row>
    <row r="1002" spans="1:16" ht="15" customHeight="1">
      <c r="A1002" s="15"/>
      <c r="B1002" s="194" t="s">
        <v>1035</v>
      </c>
      <c r="C1002" s="109" t="s">
        <v>534</v>
      </c>
      <c r="D1002" s="213" t="s">
        <v>50</v>
      </c>
      <c r="E1002" s="214"/>
      <c r="F1002" s="215"/>
      <c r="G1002" s="215"/>
      <c r="H1002" s="171"/>
      <c r="I1002" s="88">
        <f t="shared" si="127"/>
        <v>0</v>
      </c>
      <c r="J1002" s="163">
        <f t="shared" si="128"/>
        <v>0</v>
      </c>
      <c r="K1002" s="155">
        <f t="shared" si="12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30"/>
        <v>0</v>
      </c>
      <c r="O1002" s="155">
        <f t="shared" si="131"/>
        <v>0</v>
      </c>
      <c r="P1002" s="155">
        <f>IF(O1002=1,SUM($O$6:O1002),0)</f>
        <v>0</v>
      </c>
    </row>
    <row r="1003" spans="1:16" ht="15" customHeight="1">
      <c r="A1003" s="15"/>
      <c r="B1003" s="194">
        <v>1</v>
      </c>
      <c r="C1003" s="109" t="s">
        <v>784</v>
      </c>
      <c r="D1003" s="213" t="s">
        <v>49</v>
      </c>
      <c r="E1003" s="214" t="s">
        <v>14</v>
      </c>
      <c r="F1003" s="215">
        <v>355700</v>
      </c>
      <c r="G1003" s="215">
        <v>355700</v>
      </c>
      <c r="H1003" s="171"/>
      <c r="I1003" s="88">
        <f t="shared" si="127"/>
        <v>355700</v>
      </c>
      <c r="J1003" s="163">
        <f t="shared" si="128"/>
        <v>0</v>
      </c>
      <c r="K1003" s="155">
        <f t="shared" si="12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30"/>
        <v>0</v>
      </c>
      <c r="O1003" s="155">
        <f t="shared" si="131"/>
        <v>0</v>
      </c>
      <c r="P1003" s="155">
        <f>IF(O1003=1,SUM($O$6:O1003),0)</f>
        <v>0</v>
      </c>
    </row>
    <row r="1004" spans="1:16" ht="15" customHeight="1">
      <c r="A1004" s="15"/>
      <c r="B1004" s="194">
        <v>2</v>
      </c>
      <c r="C1004" s="109" t="s">
        <v>785</v>
      </c>
      <c r="D1004" s="213" t="s">
        <v>49</v>
      </c>
      <c r="E1004" s="214" t="s">
        <v>14</v>
      </c>
      <c r="F1004" s="215">
        <v>346400</v>
      </c>
      <c r="G1004" s="215">
        <v>346400</v>
      </c>
      <c r="H1004" s="171"/>
      <c r="I1004" s="88">
        <f t="shared" si="127"/>
        <v>346400</v>
      </c>
      <c r="J1004" s="163">
        <f t="shared" si="128"/>
        <v>0</v>
      </c>
      <c r="K1004" s="155">
        <f t="shared" si="12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30"/>
        <v>0</v>
      </c>
      <c r="O1004" s="155">
        <f t="shared" si="131"/>
        <v>0</v>
      </c>
      <c r="P1004" s="155">
        <f>IF(O1004=1,SUM($O$6:O1004),0)</f>
        <v>0</v>
      </c>
    </row>
    <row r="1005" spans="1:16" ht="15" customHeight="1">
      <c r="A1005" s="15"/>
      <c r="B1005" s="194">
        <v>3</v>
      </c>
      <c r="C1005" s="109" t="s">
        <v>786</v>
      </c>
      <c r="D1005" s="213" t="s">
        <v>49</v>
      </c>
      <c r="E1005" s="214" t="s">
        <v>14</v>
      </c>
      <c r="F1005" s="215">
        <v>571650</v>
      </c>
      <c r="G1005" s="215">
        <v>571650</v>
      </c>
      <c r="H1005" s="171"/>
      <c r="I1005" s="88">
        <f t="shared" si="127"/>
        <v>571650</v>
      </c>
      <c r="J1005" s="163">
        <f t="shared" si="128"/>
        <v>0</v>
      </c>
      <c r="K1005" s="155">
        <f t="shared" si="12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30"/>
        <v>0</v>
      </c>
      <c r="O1005" s="155">
        <f t="shared" si="131"/>
        <v>0</v>
      </c>
      <c r="P1005" s="155">
        <f>IF(O1005=1,SUM($O$6:O1005),0)</f>
        <v>0</v>
      </c>
    </row>
    <row r="1006" spans="1:16" ht="15" customHeight="1">
      <c r="A1006" s="15"/>
      <c r="B1006" s="194">
        <v>4</v>
      </c>
      <c r="C1006" s="109" t="s">
        <v>787</v>
      </c>
      <c r="D1006" s="213" t="s">
        <v>49</v>
      </c>
      <c r="E1006" s="214" t="s">
        <v>14</v>
      </c>
      <c r="F1006" s="215">
        <v>1182800</v>
      </c>
      <c r="G1006" s="215">
        <v>1182800</v>
      </c>
      <c r="H1006" s="171"/>
      <c r="I1006" s="88">
        <f t="shared" ref="I1006:I1071" si="132">IF($I$5=$G$4,G1006,(IF($I$5=$F$4,F1006,0)))</f>
        <v>1182800</v>
      </c>
      <c r="J1006" s="163">
        <f t="shared" si="128"/>
        <v>0</v>
      </c>
      <c r="K1006" s="155">
        <f t="shared" si="12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30"/>
        <v>0</v>
      </c>
      <c r="O1006" s="155">
        <f t="shared" si="131"/>
        <v>0</v>
      </c>
      <c r="P1006" s="155">
        <f>IF(O1006=1,SUM($O$6:O1006),0)</f>
        <v>0</v>
      </c>
    </row>
    <row r="1007" spans="1:16" ht="15" customHeight="1">
      <c r="A1007" s="15"/>
      <c r="B1007" s="194">
        <v>5</v>
      </c>
      <c r="C1007" s="109" t="s">
        <v>788</v>
      </c>
      <c r="D1007" s="213" t="s">
        <v>49</v>
      </c>
      <c r="E1007" s="214" t="s">
        <v>14</v>
      </c>
      <c r="F1007" s="215">
        <v>2953300</v>
      </c>
      <c r="G1007" s="215">
        <v>2953300</v>
      </c>
      <c r="H1007" s="171"/>
      <c r="I1007" s="88">
        <f t="shared" si="132"/>
        <v>2953300</v>
      </c>
      <c r="J1007" s="163">
        <f t="shared" si="128"/>
        <v>0</v>
      </c>
      <c r="K1007" s="155">
        <f t="shared" si="12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30"/>
        <v>0</v>
      </c>
      <c r="O1007" s="155">
        <f t="shared" si="131"/>
        <v>0</v>
      </c>
      <c r="P1007" s="155">
        <f>IF(O1007=1,SUM($O$6:O1007),0)</f>
        <v>0</v>
      </c>
    </row>
    <row r="1008" spans="1:16" ht="15" customHeight="1">
      <c r="A1008" s="15"/>
      <c r="B1008" s="194">
        <v>6</v>
      </c>
      <c r="C1008" s="109" t="s">
        <v>789</v>
      </c>
      <c r="D1008" s="213" t="s">
        <v>49</v>
      </c>
      <c r="E1008" s="214" t="s">
        <v>14</v>
      </c>
      <c r="F1008" s="215">
        <v>1627400</v>
      </c>
      <c r="G1008" s="215">
        <v>1627400</v>
      </c>
      <c r="H1008" s="171"/>
      <c r="I1008" s="88">
        <f t="shared" si="132"/>
        <v>1627400</v>
      </c>
      <c r="J1008" s="163">
        <f t="shared" si="128"/>
        <v>0</v>
      </c>
      <c r="K1008" s="155">
        <f t="shared" si="12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30"/>
        <v>0</v>
      </c>
      <c r="O1008" s="155">
        <f t="shared" si="131"/>
        <v>0</v>
      </c>
      <c r="P1008" s="155">
        <f>IF(O1008=1,SUM($O$6:O1008),0)</f>
        <v>0</v>
      </c>
    </row>
    <row r="1009" spans="1:16" ht="15" customHeight="1">
      <c r="A1009" s="15"/>
      <c r="B1009" s="194">
        <v>7</v>
      </c>
      <c r="C1009" s="109" t="s">
        <v>790</v>
      </c>
      <c r="D1009" s="213" t="s">
        <v>49</v>
      </c>
      <c r="E1009" s="214" t="s">
        <v>14</v>
      </c>
      <c r="F1009" s="215">
        <v>3686500</v>
      </c>
      <c r="G1009" s="215">
        <v>3686500</v>
      </c>
      <c r="H1009" s="171"/>
      <c r="I1009" s="88">
        <f t="shared" si="132"/>
        <v>3686500</v>
      </c>
      <c r="J1009" s="163">
        <f t="shared" si="128"/>
        <v>0</v>
      </c>
      <c r="K1009" s="155">
        <f t="shared" si="12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30"/>
        <v>0</v>
      </c>
      <c r="O1009" s="155">
        <f t="shared" si="131"/>
        <v>0</v>
      </c>
      <c r="P1009" s="155">
        <f>IF(O1009=1,SUM($O$6:O1009),0)</f>
        <v>0</v>
      </c>
    </row>
    <row r="1010" spans="1:16" ht="15" customHeight="1">
      <c r="A1010" s="15"/>
      <c r="B1010" s="194">
        <v>8</v>
      </c>
      <c r="C1010" s="109" t="s">
        <v>791</v>
      </c>
      <c r="D1010" s="213" t="s">
        <v>49</v>
      </c>
      <c r="E1010" s="214" t="s">
        <v>14</v>
      </c>
      <c r="F1010" s="215">
        <v>3784400</v>
      </c>
      <c r="G1010" s="215">
        <v>3784400</v>
      </c>
      <c r="H1010" s="171"/>
      <c r="I1010" s="88">
        <f t="shared" si="132"/>
        <v>3784400</v>
      </c>
      <c r="J1010" s="163">
        <f t="shared" si="128"/>
        <v>0</v>
      </c>
      <c r="K1010" s="155">
        <f t="shared" si="12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30"/>
        <v>0</v>
      </c>
      <c r="O1010" s="155">
        <f t="shared" si="131"/>
        <v>0</v>
      </c>
      <c r="P1010" s="155">
        <f>IF(O1010=1,SUM($O$6:O1010),0)</f>
        <v>0</v>
      </c>
    </row>
    <row r="1011" spans="1:16" ht="15" customHeight="1">
      <c r="A1011" s="15"/>
      <c r="B1011" s="194">
        <v>9</v>
      </c>
      <c r="C1011" s="109" t="s">
        <v>1605</v>
      </c>
      <c r="D1011" s="213" t="s">
        <v>49</v>
      </c>
      <c r="E1011" s="214" t="s">
        <v>14</v>
      </c>
      <c r="F1011" s="215">
        <v>4127900</v>
      </c>
      <c r="G1011" s="215">
        <v>4127900</v>
      </c>
      <c r="H1011" s="171"/>
      <c r="I1011" s="88">
        <f t="shared" si="132"/>
        <v>4127900</v>
      </c>
      <c r="J1011" s="163">
        <f t="shared" si="128"/>
        <v>0</v>
      </c>
      <c r="K1011" s="155">
        <f t="shared" si="12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30"/>
        <v>0</v>
      </c>
      <c r="O1011" s="155">
        <f t="shared" si="131"/>
        <v>0</v>
      </c>
      <c r="P1011" s="155">
        <f>IF(O1011=1,SUM($O$6:O1011),0)</f>
        <v>0</v>
      </c>
    </row>
    <row r="1012" spans="1:16" ht="15" customHeight="1">
      <c r="A1012" s="15"/>
      <c r="B1012" s="194">
        <v>10</v>
      </c>
      <c r="C1012" s="109" t="s">
        <v>1606</v>
      </c>
      <c r="D1012" s="213" t="s">
        <v>49</v>
      </c>
      <c r="E1012" s="214" t="s">
        <v>14</v>
      </c>
      <c r="F1012" s="215">
        <v>4540690</v>
      </c>
      <c r="G1012" s="215">
        <v>4540700</v>
      </c>
      <c r="H1012" s="171"/>
      <c r="I1012" s="88">
        <f t="shared" si="132"/>
        <v>4540700</v>
      </c>
      <c r="J1012" s="163">
        <f t="shared" si="128"/>
        <v>0</v>
      </c>
      <c r="K1012" s="155">
        <f t="shared" si="12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30"/>
        <v>0</v>
      </c>
      <c r="O1012" s="155">
        <f t="shared" si="131"/>
        <v>0</v>
      </c>
      <c r="P1012" s="155">
        <f>IF(O1012=1,SUM($O$6:O1012),0)</f>
        <v>0</v>
      </c>
    </row>
    <row r="1013" spans="1:16" ht="15" customHeight="1">
      <c r="A1013" s="15"/>
      <c r="B1013" s="194">
        <v>11</v>
      </c>
      <c r="C1013" s="109" t="s">
        <v>1523</v>
      </c>
      <c r="D1013" s="213" t="s">
        <v>49</v>
      </c>
      <c r="E1013" s="214" t="s">
        <v>14</v>
      </c>
      <c r="F1013" s="215">
        <v>614700</v>
      </c>
      <c r="G1013" s="215">
        <v>614700</v>
      </c>
      <c r="H1013" s="171"/>
      <c r="I1013" s="88">
        <f t="shared" si="132"/>
        <v>614700</v>
      </c>
      <c r="J1013" s="163">
        <f t="shared" si="128"/>
        <v>0</v>
      </c>
      <c r="K1013" s="155">
        <f t="shared" si="12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30"/>
        <v>0</v>
      </c>
      <c r="O1013" s="155">
        <f t="shared" si="131"/>
        <v>0</v>
      </c>
      <c r="P1013" s="155">
        <f>IF(O1013=1,SUM($O$6:O1013),0)</f>
        <v>0</v>
      </c>
    </row>
    <row r="1014" spans="1:16" ht="15" customHeight="1">
      <c r="A1014" s="15"/>
      <c r="B1014" s="194">
        <v>12</v>
      </c>
      <c r="C1014" s="109" t="s">
        <v>1524</v>
      </c>
      <c r="D1014" s="213" t="s">
        <v>49</v>
      </c>
      <c r="E1014" s="214" t="s">
        <v>14</v>
      </c>
      <c r="F1014" s="215">
        <v>829000</v>
      </c>
      <c r="G1014" s="215">
        <v>829000</v>
      </c>
      <c r="H1014" s="171"/>
      <c r="I1014" s="88">
        <f t="shared" si="132"/>
        <v>829000</v>
      </c>
      <c r="J1014" s="163">
        <f t="shared" si="128"/>
        <v>0</v>
      </c>
      <c r="K1014" s="155">
        <f t="shared" si="12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30"/>
        <v>0</v>
      </c>
      <c r="O1014" s="155">
        <f t="shared" si="131"/>
        <v>0</v>
      </c>
      <c r="P1014" s="155">
        <f>IF(O1014=1,SUM($O$6:O1014),0)</f>
        <v>0</v>
      </c>
    </row>
    <row r="1015" spans="1:16" ht="15" customHeight="1">
      <c r="A1015" s="15"/>
      <c r="B1015" s="194"/>
      <c r="C1015" s="109" t="s">
        <v>50</v>
      </c>
      <c r="D1015" s="213" t="s">
        <v>50</v>
      </c>
      <c r="E1015" s="214"/>
      <c r="F1015" s="215"/>
      <c r="G1015" s="215"/>
      <c r="H1015" s="171"/>
      <c r="I1015" s="88">
        <f t="shared" si="132"/>
        <v>0</v>
      </c>
      <c r="J1015" s="163">
        <f t="shared" si="128"/>
        <v>0</v>
      </c>
      <c r="K1015" s="155">
        <f t="shared" si="12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30"/>
        <v>0</v>
      </c>
      <c r="O1015" s="155">
        <f t="shared" si="131"/>
        <v>0</v>
      </c>
      <c r="P1015" s="155">
        <f>IF(O1015=1,SUM($O$6:O1015),0)</f>
        <v>0</v>
      </c>
    </row>
    <row r="1016" spans="1:16" ht="15" customHeight="1">
      <c r="A1016" s="15"/>
      <c r="B1016" s="194" t="s">
        <v>1035</v>
      </c>
      <c r="C1016" s="109" t="s">
        <v>792</v>
      </c>
      <c r="D1016" s="213" t="s">
        <v>50</v>
      </c>
      <c r="E1016" s="214"/>
      <c r="F1016" s="215"/>
      <c r="G1016" s="215"/>
      <c r="H1016" s="171"/>
      <c r="I1016" s="88">
        <f t="shared" si="132"/>
        <v>0</v>
      </c>
      <c r="J1016" s="163">
        <f t="shared" si="128"/>
        <v>0</v>
      </c>
      <c r="K1016" s="155">
        <f t="shared" si="12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30"/>
        <v>0</v>
      </c>
      <c r="O1016" s="155">
        <f t="shared" si="131"/>
        <v>0</v>
      </c>
      <c r="P1016" s="155">
        <f>IF(O1016=1,SUM($O$6:O1016),0)</f>
        <v>0</v>
      </c>
    </row>
    <row r="1017" spans="1:16" ht="15" customHeight="1">
      <c r="A1017" s="15"/>
      <c r="B1017" s="194">
        <v>1</v>
      </c>
      <c r="C1017" s="109" t="s">
        <v>351</v>
      </c>
      <c r="D1017" s="213" t="s">
        <v>49</v>
      </c>
      <c r="E1017" s="214" t="s">
        <v>103</v>
      </c>
      <c r="F1017" s="215">
        <v>367100.81715813151</v>
      </c>
      <c r="G1017" s="215">
        <v>367100.81715813151</v>
      </c>
      <c r="H1017" s="171"/>
      <c r="I1017" s="88">
        <f t="shared" si="132"/>
        <v>367100.81715813151</v>
      </c>
      <c r="J1017" s="163">
        <f t="shared" si="128"/>
        <v>0</v>
      </c>
      <c r="K1017" s="155">
        <f t="shared" si="12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30"/>
        <v>0</v>
      </c>
      <c r="O1017" s="155">
        <f t="shared" si="131"/>
        <v>0</v>
      </c>
      <c r="P1017" s="155">
        <f>IF(O1017=1,SUM($O$6:O1017),0)</f>
        <v>0</v>
      </c>
    </row>
    <row r="1018" spans="1:16" ht="15" customHeight="1">
      <c r="A1018" s="15"/>
      <c r="B1018" s="194">
        <v>2</v>
      </c>
      <c r="C1018" s="109" t="s">
        <v>352</v>
      </c>
      <c r="D1018" s="213" t="s">
        <v>49</v>
      </c>
      <c r="E1018" s="214" t="s">
        <v>103</v>
      </c>
      <c r="F1018" s="215">
        <v>367100.81715813151</v>
      </c>
      <c r="G1018" s="215">
        <v>367100.81715813151</v>
      </c>
      <c r="H1018" s="171"/>
      <c r="I1018" s="88">
        <f t="shared" si="132"/>
        <v>367100.81715813151</v>
      </c>
      <c r="J1018" s="163">
        <f t="shared" si="128"/>
        <v>0</v>
      </c>
      <c r="K1018" s="155">
        <f t="shared" si="12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30"/>
        <v>0</v>
      </c>
      <c r="O1018" s="155">
        <f t="shared" si="131"/>
        <v>0</v>
      </c>
      <c r="P1018" s="155">
        <f>IF(O1018=1,SUM($O$6:O1018),0)</f>
        <v>0</v>
      </c>
    </row>
    <row r="1019" spans="1:16" ht="15" customHeight="1">
      <c r="A1019" s="15"/>
      <c r="B1019" s="194">
        <v>3</v>
      </c>
      <c r="C1019" s="109" t="s">
        <v>353</v>
      </c>
      <c r="D1019" s="213" t="s">
        <v>49</v>
      </c>
      <c r="E1019" s="214" t="s">
        <v>103</v>
      </c>
      <c r="F1019" s="215">
        <v>483136</v>
      </c>
      <c r="G1019" s="215">
        <v>483136</v>
      </c>
      <c r="H1019" s="171"/>
      <c r="I1019" s="88">
        <f t="shared" si="132"/>
        <v>483136</v>
      </c>
      <c r="J1019" s="163">
        <f t="shared" si="128"/>
        <v>0</v>
      </c>
      <c r="K1019" s="155">
        <f t="shared" si="12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30"/>
        <v>0</v>
      </c>
      <c r="O1019" s="155">
        <f t="shared" si="131"/>
        <v>0</v>
      </c>
      <c r="P1019" s="155">
        <f>IF(O1019=1,SUM($O$6:O1019),0)</f>
        <v>0</v>
      </c>
    </row>
    <row r="1020" spans="1:16" ht="15" customHeight="1">
      <c r="A1020" s="15"/>
      <c r="B1020" s="194">
        <v>4</v>
      </c>
      <c r="C1020" s="109" t="s">
        <v>354</v>
      </c>
      <c r="D1020" s="213" t="s">
        <v>49</v>
      </c>
      <c r="E1020" s="214" t="s">
        <v>103</v>
      </c>
      <c r="F1020" s="215">
        <v>483136</v>
      </c>
      <c r="G1020" s="215">
        <v>483136</v>
      </c>
      <c r="H1020" s="171"/>
      <c r="I1020" s="88">
        <f t="shared" si="132"/>
        <v>483136</v>
      </c>
      <c r="J1020" s="163">
        <f t="shared" si="128"/>
        <v>0</v>
      </c>
      <c r="K1020" s="155">
        <f t="shared" si="12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30"/>
        <v>0</v>
      </c>
      <c r="O1020" s="155">
        <f t="shared" si="131"/>
        <v>0</v>
      </c>
      <c r="P1020" s="155">
        <f>IF(O1020=1,SUM($O$6:O1020),0)</f>
        <v>0</v>
      </c>
    </row>
    <row r="1021" spans="1:16" ht="15" customHeight="1">
      <c r="A1021" s="15"/>
      <c r="B1021" s="194">
        <v>5</v>
      </c>
      <c r="C1021" s="109" t="s">
        <v>355</v>
      </c>
      <c r="D1021" s="213" t="s">
        <v>49</v>
      </c>
      <c r="E1021" s="214" t="s">
        <v>103</v>
      </c>
      <c r="F1021" s="215">
        <v>542850</v>
      </c>
      <c r="G1021" s="215">
        <v>542850</v>
      </c>
      <c r="H1021" s="171"/>
      <c r="I1021" s="88">
        <f t="shared" si="132"/>
        <v>542850</v>
      </c>
      <c r="J1021" s="163">
        <f t="shared" si="128"/>
        <v>0</v>
      </c>
      <c r="K1021" s="155">
        <f t="shared" si="12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30"/>
        <v>0</v>
      </c>
      <c r="O1021" s="155">
        <f t="shared" si="131"/>
        <v>0</v>
      </c>
      <c r="P1021" s="155">
        <f>IF(O1021=1,SUM($O$6:O1021),0)</f>
        <v>0</v>
      </c>
    </row>
    <row r="1022" spans="1:16" ht="15" customHeight="1">
      <c r="A1022" s="15"/>
      <c r="B1022" s="194">
        <v>6</v>
      </c>
      <c r="C1022" s="109" t="s">
        <v>356</v>
      </c>
      <c r="D1022" s="213" t="s">
        <v>49</v>
      </c>
      <c r="E1022" s="214" t="s">
        <v>103</v>
      </c>
      <c r="F1022" s="215">
        <v>542850</v>
      </c>
      <c r="G1022" s="215">
        <v>542850</v>
      </c>
      <c r="H1022" s="171"/>
      <c r="I1022" s="88">
        <f t="shared" si="132"/>
        <v>542850</v>
      </c>
      <c r="J1022" s="163">
        <f t="shared" si="128"/>
        <v>0</v>
      </c>
      <c r="K1022" s="155">
        <f t="shared" si="12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30"/>
        <v>0</v>
      </c>
      <c r="O1022" s="155">
        <f t="shared" si="131"/>
        <v>0</v>
      </c>
      <c r="P1022" s="155">
        <f>IF(O1022=1,SUM($O$6:O1022),0)</f>
        <v>0</v>
      </c>
    </row>
    <row r="1023" spans="1:16" ht="15" customHeight="1">
      <c r="A1023" s="15"/>
      <c r="B1023" s="194">
        <v>7</v>
      </c>
      <c r="C1023" s="109" t="s">
        <v>1134</v>
      </c>
      <c r="D1023" s="213" t="s">
        <v>49</v>
      </c>
      <c r="E1023" s="214" t="s">
        <v>103</v>
      </c>
      <c r="F1023" s="215">
        <v>580849</v>
      </c>
      <c r="G1023" s="215">
        <v>580849</v>
      </c>
      <c r="H1023" s="171"/>
      <c r="I1023" s="88">
        <f t="shared" si="132"/>
        <v>580849</v>
      </c>
      <c r="J1023" s="163">
        <f t="shared" si="128"/>
        <v>0</v>
      </c>
      <c r="K1023" s="155">
        <f t="shared" si="12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30"/>
        <v>0</v>
      </c>
      <c r="O1023" s="155">
        <f t="shared" si="131"/>
        <v>0</v>
      </c>
      <c r="P1023" s="155">
        <f>IF(O1023=1,SUM($O$6:O1023),0)</f>
        <v>0</v>
      </c>
    </row>
    <row r="1024" spans="1:16" ht="15" customHeight="1">
      <c r="A1024" s="15"/>
      <c r="B1024" s="194">
        <v>8</v>
      </c>
      <c r="C1024" s="109" t="s">
        <v>1135</v>
      </c>
      <c r="D1024" s="213" t="s">
        <v>49</v>
      </c>
      <c r="E1024" s="214" t="s">
        <v>103</v>
      </c>
      <c r="F1024" s="215">
        <v>580849</v>
      </c>
      <c r="G1024" s="215">
        <v>580849</v>
      </c>
      <c r="H1024" s="171"/>
      <c r="I1024" s="88">
        <f t="shared" si="132"/>
        <v>580849</v>
      </c>
      <c r="J1024" s="163">
        <f t="shared" si="128"/>
        <v>0</v>
      </c>
      <c r="K1024" s="155">
        <f t="shared" si="12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30"/>
        <v>0</v>
      </c>
      <c r="O1024" s="155">
        <f t="shared" si="131"/>
        <v>0</v>
      </c>
      <c r="P1024" s="155">
        <f>IF(O1024=1,SUM($O$6:O1024),0)</f>
        <v>0</v>
      </c>
    </row>
    <row r="1025" spans="1:16" ht="15" customHeight="1">
      <c r="A1025" s="15"/>
      <c r="B1025" s="194">
        <v>9</v>
      </c>
      <c r="C1025" s="109" t="s">
        <v>357</v>
      </c>
      <c r="D1025" s="213" t="s">
        <v>49</v>
      </c>
      <c r="E1025" s="214" t="s">
        <v>103</v>
      </c>
      <c r="F1025" s="215">
        <v>640563</v>
      </c>
      <c r="G1025" s="215">
        <v>640563</v>
      </c>
      <c r="H1025" s="171"/>
      <c r="I1025" s="88">
        <f t="shared" si="132"/>
        <v>640563</v>
      </c>
      <c r="J1025" s="163">
        <f t="shared" si="128"/>
        <v>0</v>
      </c>
      <c r="K1025" s="155">
        <f t="shared" si="12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30"/>
        <v>0</v>
      </c>
      <c r="O1025" s="155">
        <f t="shared" si="131"/>
        <v>0</v>
      </c>
      <c r="P1025" s="155">
        <f>IF(O1025=1,SUM($O$6:O1025),0)</f>
        <v>0</v>
      </c>
    </row>
    <row r="1026" spans="1:16" ht="15" customHeight="1">
      <c r="A1026" s="15"/>
      <c r="B1026" s="194">
        <v>10</v>
      </c>
      <c r="C1026" s="109" t="s">
        <v>358</v>
      </c>
      <c r="D1026" s="213" t="s">
        <v>49</v>
      </c>
      <c r="E1026" s="214" t="s">
        <v>103</v>
      </c>
      <c r="F1026" s="215">
        <v>640563</v>
      </c>
      <c r="G1026" s="215">
        <v>640563</v>
      </c>
      <c r="H1026" s="171"/>
      <c r="I1026" s="88">
        <f t="shared" si="132"/>
        <v>640563</v>
      </c>
      <c r="J1026" s="163">
        <f t="shared" si="128"/>
        <v>0</v>
      </c>
      <c r="K1026" s="155">
        <f t="shared" si="12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30"/>
        <v>0</v>
      </c>
      <c r="O1026" s="155">
        <f t="shared" si="131"/>
        <v>0</v>
      </c>
      <c r="P1026" s="155">
        <f>IF(O1026=1,SUM($O$6:O1026),0)</f>
        <v>0</v>
      </c>
    </row>
    <row r="1027" spans="1:16" ht="15" customHeight="1">
      <c r="A1027" s="15"/>
      <c r="B1027" s="194">
        <v>11</v>
      </c>
      <c r="C1027" s="109" t="s">
        <v>359</v>
      </c>
      <c r="D1027" s="213" t="s">
        <v>49</v>
      </c>
      <c r="E1027" s="214" t="s">
        <v>103</v>
      </c>
      <c r="F1027" s="215">
        <v>777904.11254937388</v>
      </c>
      <c r="G1027" s="215">
        <v>777904.11254937388</v>
      </c>
      <c r="H1027" s="171"/>
      <c r="I1027" s="88">
        <f t="shared" si="132"/>
        <v>777904.11254937388</v>
      </c>
      <c r="J1027" s="163">
        <f t="shared" si="128"/>
        <v>0</v>
      </c>
      <c r="K1027" s="155">
        <f t="shared" si="12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30"/>
        <v>0</v>
      </c>
      <c r="O1027" s="155">
        <f t="shared" si="131"/>
        <v>0</v>
      </c>
      <c r="P1027" s="155">
        <f>IF(O1027=1,SUM($O$6:O1027),0)</f>
        <v>0</v>
      </c>
    </row>
    <row r="1028" spans="1:16" ht="15" customHeight="1">
      <c r="A1028" s="15"/>
      <c r="B1028" s="194">
        <v>12</v>
      </c>
      <c r="C1028" s="109" t="s">
        <v>360</v>
      </c>
      <c r="D1028" s="213" t="s">
        <v>49</v>
      </c>
      <c r="E1028" s="214" t="s">
        <v>103</v>
      </c>
      <c r="F1028" s="215">
        <v>777904.11254937388</v>
      </c>
      <c r="G1028" s="215">
        <v>777904.11254937388</v>
      </c>
      <c r="H1028" s="171"/>
      <c r="I1028" s="88">
        <f t="shared" si="132"/>
        <v>777904.11254937388</v>
      </c>
      <c r="J1028" s="163">
        <f t="shared" si="128"/>
        <v>0</v>
      </c>
      <c r="K1028" s="155">
        <f t="shared" si="12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30"/>
        <v>0</v>
      </c>
      <c r="O1028" s="155">
        <f t="shared" si="131"/>
        <v>0</v>
      </c>
      <c r="P1028" s="155">
        <f>IF(O1028=1,SUM($O$6:O1028),0)</f>
        <v>0</v>
      </c>
    </row>
    <row r="1029" spans="1:16" ht="15" customHeight="1">
      <c r="A1029" s="15"/>
      <c r="B1029" s="194">
        <v>13</v>
      </c>
      <c r="C1029" s="109" t="s">
        <v>361</v>
      </c>
      <c r="D1029" s="213" t="s">
        <v>49</v>
      </c>
      <c r="E1029" s="214" t="s">
        <v>103</v>
      </c>
      <c r="F1029" s="215">
        <v>776275</v>
      </c>
      <c r="G1029" s="215">
        <v>776275</v>
      </c>
      <c r="H1029" s="171"/>
      <c r="I1029" s="88">
        <f t="shared" si="132"/>
        <v>776275</v>
      </c>
      <c r="J1029" s="163">
        <f t="shared" si="128"/>
        <v>0</v>
      </c>
      <c r="K1029" s="155">
        <f t="shared" si="12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30"/>
        <v>0</v>
      </c>
      <c r="O1029" s="155">
        <f t="shared" si="131"/>
        <v>0</v>
      </c>
      <c r="P1029" s="155">
        <f>IF(O1029=1,SUM($O$6:O1029),0)</f>
        <v>0</v>
      </c>
    </row>
    <row r="1030" spans="1:16" ht="15" customHeight="1">
      <c r="A1030" s="15"/>
      <c r="B1030" s="194">
        <v>14</v>
      </c>
      <c r="C1030" s="109" t="s">
        <v>362</v>
      </c>
      <c r="D1030" s="213" t="s">
        <v>49</v>
      </c>
      <c r="E1030" s="214" t="s">
        <v>103</v>
      </c>
      <c r="F1030" s="215">
        <v>776275</v>
      </c>
      <c r="G1030" s="215">
        <v>776275</v>
      </c>
      <c r="H1030" s="171"/>
      <c r="I1030" s="88">
        <f t="shared" si="132"/>
        <v>776275</v>
      </c>
      <c r="J1030" s="163">
        <f t="shared" si="128"/>
        <v>0</v>
      </c>
      <c r="K1030" s="155">
        <f t="shared" si="12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30"/>
        <v>0</v>
      </c>
      <c r="O1030" s="155">
        <f t="shared" si="131"/>
        <v>0</v>
      </c>
      <c r="P1030" s="155">
        <f>IF(O1030=1,SUM($O$6:O1030),0)</f>
        <v>0</v>
      </c>
    </row>
    <row r="1031" spans="1:16" ht="15" customHeight="1">
      <c r="A1031" s="15"/>
      <c r="B1031" s="194">
        <v>15</v>
      </c>
      <c r="C1031" s="109" t="s">
        <v>363</v>
      </c>
      <c r="D1031" s="213" t="s">
        <v>49</v>
      </c>
      <c r="E1031" s="214" t="s">
        <v>103</v>
      </c>
      <c r="F1031" s="215">
        <v>852274</v>
      </c>
      <c r="G1031" s="215">
        <v>852274</v>
      </c>
      <c r="H1031" s="171"/>
      <c r="I1031" s="88">
        <f t="shared" si="132"/>
        <v>852274</v>
      </c>
      <c r="J1031" s="163">
        <f t="shared" si="128"/>
        <v>0</v>
      </c>
      <c r="K1031" s="155">
        <f t="shared" si="12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30"/>
        <v>0</v>
      </c>
      <c r="O1031" s="155">
        <f t="shared" si="131"/>
        <v>0</v>
      </c>
      <c r="P1031" s="155">
        <f>IF(O1031=1,SUM($O$6:O1031),0)</f>
        <v>0</v>
      </c>
    </row>
    <row r="1032" spans="1:16" ht="15" customHeight="1">
      <c r="A1032" s="15"/>
      <c r="B1032" s="194">
        <v>16</v>
      </c>
      <c r="C1032" s="109" t="s">
        <v>364</v>
      </c>
      <c r="D1032" s="213" t="s">
        <v>49</v>
      </c>
      <c r="E1032" s="214" t="s">
        <v>103</v>
      </c>
      <c r="F1032" s="215">
        <v>852274</v>
      </c>
      <c r="G1032" s="215">
        <v>852274</v>
      </c>
      <c r="H1032" s="171"/>
      <c r="I1032" s="88">
        <f t="shared" si="132"/>
        <v>852274</v>
      </c>
      <c r="J1032" s="163">
        <f t="shared" si="128"/>
        <v>0</v>
      </c>
      <c r="K1032" s="155">
        <f t="shared" si="12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30"/>
        <v>0</v>
      </c>
      <c r="O1032" s="155">
        <f t="shared" si="131"/>
        <v>0</v>
      </c>
      <c r="P1032" s="155">
        <f>IF(O1032=1,SUM($O$6:O1032),0)</f>
        <v>0</v>
      </c>
    </row>
    <row r="1033" spans="1:16" ht="15" customHeight="1">
      <c r="A1033" s="15"/>
      <c r="B1033" s="194">
        <v>17</v>
      </c>
      <c r="C1033" s="109" t="s">
        <v>365</v>
      </c>
      <c r="D1033" s="213" t="s">
        <v>49</v>
      </c>
      <c r="E1033" s="214" t="s">
        <v>103</v>
      </c>
      <c r="F1033" s="215">
        <v>1280085.3169734846</v>
      </c>
      <c r="G1033" s="215">
        <v>1280085.3169734846</v>
      </c>
      <c r="H1033" s="171"/>
      <c r="I1033" s="88">
        <f t="shared" si="132"/>
        <v>1280085.3169734846</v>
      </c>
      <c r="J1033" s="163">
        <f t="shared" si="128"/>
        <v>0</v>
      </c>
      <c r="K1033" s="155">
        <f t="shared" si="12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30"/>
        <v>0</v>
      </c>
      <c r="O1033" s="155">
        <f t="shared" si="131"/>
        <v>0</v>
      </c>
      <c r="P1033" s="155">
        <f>IF(O1033=1,SUM($O$6:O1033),0)</f>
        <v>0</v>
      </c>
    </row>
    <row r="1034" spans="1:16" ht="15" customHeight="1">
      <c r="A1034" s="15"/>
      <c r="B1034" s="194">
        <v>18</v>
      </c>
      <c r="C1034" s="109" t="s">
        <v>366</v>
      </c>
      <c r="D1034" s="213" t="s">
        <v>49</v>
      </c>
      <c r="E1034" s="214" t="s">
        <v>103</v>
      </c>
      <c r="F1034" s="215">
        <v>1280085.3169734846</v>
      </c>
      <c r="G1034" s="215">
        <v>1280085.3169734846</v>
      </c>
      <c r="H1034" s="171"/>
      <c r="I1034" s="88">
        <f t="shared" si="132"/>
        <v>1280085.3169734846</v>
      </c>
      <c r="J1034" s="163">
        <f t="shared" si="128"/>
        <v>0</v>
      </c>
      <c r="K1034" s="155">
        <f t="shared" si="12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30"/>
        <v>0</v>
      </c>
      <c r="O1034" s="155">
        <f t="shared" si="131"/>
        <v>0</v>
      </c>
      <c r="P1034" s="155">
        <f>IF(O1034=1,SUM($O$6:O1034),0)</f>
        <v>0</v>
      </c>
    </row>
    <row r="1035" spans="1:16" ht="15" customHeight="1">
      <c r="A1035" s="15"/>
      <c r="B1035" s="194">
        <v>19</v>
      </c>
      <c r="C1035" s="109" t="s">
        <v>367</v>
      </c>
      <c r="D1035" s="213" t="s">
        <v>49</v>
      </c>
      <c r="E1035" s="214" t="s">
        <v>103</v>
      </c>
      <c r="F1035" s="215">
        <v>901131</v>
      </c>
      <c r="G1035" s="215">
        <v>901131</v>
      </c>
      <c r="H1035" s="171"/>
      <c r="I1035" s="88">
        <f t="shared" si="132"/>
        <v>901131</v>
      </c>
      <c r="J1035" s="163">
        <f t="shared" si="128"/>
        <v>0</v>
      </c>
      <c r="K1035" s="155">
        <f t="shared" si="12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30"/>
        <v>0</v>
      </c>
      <c r="O1035" s="155">
        <f t="shared" si="131"/>
        <v>0</v>
      </c>
      <c r="P1035" s="155">
        <f>IF(O1035=1,SUM($O$6:O1035),0)</f>
        <v>0</v>
      </c>
    </row>
    <row r="1036" spans="1:16" ht="15" customHeight="1">
      <c r="A1036" s="15"/>
      <c r="B1036" s="194">
        <v>20</v>
      </c>
      <c r="C1036" s="109" t="s">
        <v>368</v>
      </c>
      <c r="D1036" s="213" t="s">
        <v>49</v>
      </c>
      <c r="E1036" s="214" t="s">
        <v>103</v>
      </c>
      <c r="F1036" s="215">
        <v>901131</v>
      </c>
      <c r="G1036" s="215">
        <v>901131</v>
      </c>
      <c r="H1036" s="171"/>
      <c r="I1036" s="88">
        <f t="shared" si="132"/>
        <v>901131</v>
      </c>
      <c r="J1036" s="163">
        <f t="shared" si="128"/>
        <v>0</v>
      </c>
      <c r="K1036" s="155">
        <f t="shared" si="12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30"/>
        <v>0</v>
      </c>
      <c r="O1036" s="155">
        <f t="shared" si="131"/>
        <v>0</v>
      </c>
      <c r="P1036" s="155">
        <f>IF(O1036=1,SUM($O$6:O1036),0)</f>
        <v>0</v>
      </c>
    </row>
    <row r="1037" spans="1:16" ht="15" customHeight="1">
      <c r="A1037" s="15"/>
      <c r="B1037" s="194">
        <v>21</v>
      </c>
      <c r="C1037" s="109" t="s">
        <v>369</v>
      </c>
      <c r="D1037" s="213" t="s">
        <v>49</v>
      </c>
      <c r="E1037" s="214" t="s">
        <v>103</v>
      </c>
      <c r="F1037" s="215">
        <v>928273</v>
      </c>
      <c r="G1037" s="215">
        <v>928273</v>
      </c>
      <c r="H1037" s="171"/>
      <c r="I1037" s="88">
        <f t="shared" si="132"/>
        <v>928273</v>
      </c>
      <c r="J1037" s="163">
        <f t="shared" si="128"/>
        <v>0</v>
      </c>
      <c r="K1037" s="155">
        <f t="shared" si="12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30"/>
        <v>0</v>
      </c>
      <c r="O1037" s="155">
        <f t="shared" si="131"/>
        <v>0</v>
      </c>
      <c r="P1037" s="155">
        <f>IF(O1037=1,SUM($O$6:O1037),0)</f>
        <v>0</v>
      </c>
    </row>
    <row r="1038" spans="1:16" ht="15" customHeight="1">
      <c r="A1038" s="15"/>
      <c r="B1038" s="194">
        <v>22</v>
      </c>
      <c r="C1038" s="109" t="s">
        <v>370</v>
      </c>
      <c r="D1038" s="213" t="s">
        <v>49</v>
      </c>
      <c r="E1038" s="214" t="s">
        <v>103</v>
      </c>
      <c r="F1038" s="215">
        <v>928273</v>
      </c>
      <c r="G1038" s="215">
        <v>928273</v>
      </c>
      <c r="H1038" s="171"/>
      <c r="I1038" s="88">
        <f t="shared" si="132"/>
        <v>928273</v>
      </c>
      <c r="J1038" s="163">
        <f t="shared" si="128"/>
        <v>0</v>
      </c>
      <c r="K1038" s="155">
        <f t="shared" si="12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30"/>
        <v>0</v>
      </c>
      <c r="O1038" s="155">
        <f t="shared" si="131"/>
        <v>0</v>
      </c>
      <c r="P1038" s="155">
        <f>IF(O1038=1,SUM($O$6:O1038),0)</f>
        <v>0</v>
      </c>
    </row>
    <row r="1039" spans="1:16" ht="15" customHeight="1">
      <c r="A1039" s="15"/>
      <c r="B1039" s="194">
        <v>23</v>
      </c>
      <c r="C1039" s="109" t="s">
        <v>371</v>
      </c>
      <c r="D1039" s="213" t="s">
        <v>49</v>
      </c>
      <c r="E1039" s="214" t="s">
        <v>103</v>
      </c>
      <c r="F1039" s="215">
        <v>1063986</v>
      </c>
      <c r="G1039" s="215">
        <v>1063986</v>
      </c>
      <c r="H1039" s="171"/>
      <c r="I1039" s="88">
        <f t="shared" si="132"/>
        <v>1063986</v>
      </c>
      <c r="J1039" s="163">
        <f t="shared" si="128"/>
        <v>0</v>
      </c>
      <c r="K1039" s="155">
        <f t="shared" si="12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30"/>
        <v>0</v>
      </c>
      <c r="O1039" s="155">
        <f t="shared" si="131"/>
        <v>0</v>
      </c>
      <c r="P1039" s="155">
        <f>IF(O1039=1,SUM($O$6:O1039),0)</f>
        <v>0</v>
      </c>
    </row>
    <row r="1040" spans="1:16" ht="15" customHeight="1">
      <c r="A1040" s="15"/>
      <c r="B1040" s="194">
        <v>24</v>
      </c>
      <c r="C1040" s="109" t="s">
        <v>372</v>
      </c>
      <c r="D1040" s="213" t="s">
        <v>49</v>
      </c>
      <c r="E1040" s="214" t="s">
        <v>103</v>
      </c>
      <c r="F1040" s="215">
        <v>1063986</v>
      </c>
      <c r="G1040" s="215">
        <v>1063986</v>
      </c>
      <c r="H1040" s="171"/>
      <c r="I1040" s="88">
        <f t="shared" si="132"/>
        <v>1063986</v>
      </c>
      <c r="J1040" s="163">
        <f t="shared" si="128"/>
        <v>0</v>
      </c>
      <c r="K1040" s="155">
        <f t="shared" si="12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30"/>
        <v>0</v>
      </c>
      <c r="O1040" s="155">
        <f t="shared" si="131"/>
        <v>0</v>
      </c>
      <c r="P1040" s="155">
        <f>IF(O1040=1,SUM($O$6:O1040),0)</f>
        <v>0</v>
      </c>
    </row>
    <row r="1041" spans="1:16" ht="15" customHeight="1">
      <c r="A1041" s="15"/>
      <c r="B1041" s="194">
        <v>25</v>
      </c>
      <c r="C1041" s="109" t="s">
        <v>373</v>
      </c>
      <c r="D1041" s="213" t="s">
        <v>49</v>
      </c>
      <c r="E1041" s="214" t="s">
        <v>103</v>
      </c>
      <c r="F1041" s="215">
        <v>1503365.2512190146</v>
      </c>
      <c r="G1041" s="215">
        <v>1503365.2512190146</v>
      </c>
      <c r="H1041" s="171"/>
      <c r="I1041" s="88">
        <f t="shared" si="132"/>
        <v>1503365.2512190146</v>
      </c>
      <c r="J1041" s="163">
        <f t="shared" si="128"/>
        <v>0</v>
      </c>
      <c r="K1041" s="155">
        <f t="shared" si="12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30"/>
        <v>0</v>
      </c>
      <c r="O1041" s="155">
        <f t="shared" si="131"/>
        <v>0</v>
      </c>
      <c r="P1041" s="155">
        <f>IF(O1041=1,SUM($O$6:O1041),0)</f>
        <v>0</v>
      </c>
    </row>
    <row r="1042" spans="1:16" ht="15" customHeight="1">
      <c r="A1042" s="15"/>
      <c r="B1042" s="194">
        <v>26</v>
      </c>
      <c r="C1042" s="109" t="s">
        <v>374</v>
      </c>
      <c r="D1042" s="213" t="s">
        <v>49</v>
      </c>
      <c r="E1042" s="214" t="s">
        <v>103</v>
      </c>
      <c r="F1042" s="215">
        <v>1503365.2512190146</v>
      </c>
      <c r="G1042" s="215">
        <v>1503365.2512190146</v>
      </c>
      <c r="H1042" s="171"/>
      <c r="I1042" s="88">
        <f t="shared" si="132"/>
        <v>1503365.2512190146</v>
      </c>
      <c r="J1042" s="163">
        <f t="shared" si="128"/>
        <v>0</v>
      </c>
      <c r="K1042" s="155">
        <f t="shared" si="12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30"/>
        <v>0</v>
      </c>
      <c r="O1042" s="155">
        <f t="shared" si="131"/>
        <v>0</v>
      </c>
      <c r="P1042" s="155">
        <f>IF(O1042=1,SUM($O$6:O1042),0)</f>
        <v>0</v>
      </c>
    </row>
    <row r="1043" spans="1:16" ht="15" customHeight="1">
      <c r="A1043" s="15"/>
      <c r="B1043" s="194"/>
      <c r="C1043" s="109"/>
      <c r="D1043" s="213" t="s">
        <v>50</v>
      </c>
      <c r="E1043" s="214"/>
      <c r="F1043" s="215"/>
      <c r="G1043" s="215"/>
      <c r="H1043" s="171"/>
      <c r="I1043" s="88">
        <f t="shared" si="132"/>
        <v>0</v>
      </c>
      <c r="J1043" s="163">
        <f t="shared" ref="J1043:J1111" si="133">IF(D1043="MDU-KD",1,0)</f>
        <v>0</v>
      </c>
      <c r="K1043" s="155">
        <f t="shared" ref="K1043:K1111" si="13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135">IF(L1043=0,M1043,L1043)</f>
        <v>0</v>
      </c>
      <c r="O1043" s="155">
        <f t="shared" ref="O1043:O1111" si="13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94" t="s">
        <v>1035</v>
      </c>
      <c r="C1044" s="109" t="s">
        <v>793</v>
      </c>
      <c r="D1044" s="213" t="s">
        <v>50</v>
      </c>
      <c r="E1044" s="214"/>
      <c r="F1044" s="215"/>
      <c r="G1044" s="215"/>
      <c r="H1044" s="171"/>
      <c r="I1044" s="88">
        <f t="shared" si="132"/>
        <v>0</v>
      </c>
      <c r="J1044" s="163">
        <f t="shared" si="133"/>
        <v>0</v>
      </c>
      <c r="K1044" s="155">
        <f t="shared" si="13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5"/>
        <v>0</v>
      </c>
      <c r="O1044" s="155">
        <f t="shared" si="136"/>
        <v>0</v>
      </c>
      <c r="P1044" s="155">
        <f>IF(O1044=1,SUM($O$6:O1044),0)</f>
        <v>0</v>
      </c>
    </row>
    <row r="1045" spans="1:16" ht="15" customHeight="1">
      <c r="A1045" s="15"/>
      <c r="B1045" s="194">
        <v>12</v>
      </c>
      <c r="C1045" s="414" t="s">
        <v>1616</v>
      </c>
      <c r="D1045" s="213" t="s">
        <v>49</v>
      </c>
      <c r="E1045" s="214" t="s">
        <v>14</v>
      </c>
      <c r="F1045" s="176"/>
      <c r="G1045" s="415">
        <v>569629.99903164257</v>
      </c>
      <c r="H1045" s="171"/>
      <c r="I1045" s="88">
        <f t="shared" ref="I1045:I1048" si="137">IF($I$5=$G$4,G1045,(IF($I$5=$F$4,F1045,0)))</f>
        <v>569629.99903164257</v>
      </c>
      <c r="J1045" s="163">
        <f t="shared" ref="J1045:J1048" si="138">IF(D1045="MDU-KD",1,0)</f>
        <v>0</v>
      </c>
      <c r="K1045" s="155">
        <f t="shared" ref="K1045:K1048" si="139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8" si="140">IF(L1045=0,M1045,L1045)</f>
        <v>0</v>
      </c>
      <c r="O1045" s="155">
        <f t="shared" ref="O1045:O1048" si="141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94">
        <v>13</v>
      </c>
      <c r="C1046" s="414" t="s">
        <v>1617</v>
      </c>
      <c r="D1046" s="213" t="s">
        <v>49</v>
      </c>
      <c r="E1046" s="214" t="s">
        <v>14</v>
      </c>
      <c r="F1046" s="176"/>
      <c r="G1046" s="415">
        <v>659799.30669751228</v>
      </c>
      <c r="H1046" s="171"/>
      <c r="I1046" s="88">
        <f t="shared" si="137"/>
        <v>659799.30669751228</v>
      </c>
      <c r="J1046" s="163">
        <f t="shared" si="138"/>
        <v>0</v>
      </c>
      <c r="K1046" s="155">
        <f t="shared" si="13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40"/>
        <v>0</v>
      </c>
      <c r="O1046" s="155">
        <f t="shared" si="141"/>
        <v>0</v>
      </c>
      <c r="P1046" s="155">
        <f>IF(O1046=1,SUM($O$6:O1046),0)</f>
        <v>0</v>
      </c>
    </row>
    <row r="1047" spans="1:16" ht="15" customHeight="1">
      <c r="A1047" s="15"/>
      <c r="B1047" s="194">
        <v>12</v>
      </c>
      <c r="C1047" s="414" t="s">
        <v>1618</v>
      </c>
      <c r="D1047" s="213" t="s">
        <v>49</v>
      </c>
      <c r="E1047" s="214" t="s">
        <v>14</v>
      </c>
      <c r="F1047" s="176"/>
      <c r="G1047" s="415">
        <v>569629.99903164257</v>
      </c>
      <c r="H1047" s="171"/>
      <c r="I1047" s="88">
        <f t="shared" si="137"/>
        <v>569629.99903164257</v>
      </c>
      <c r="J1047" s="163">
        <f t="shared" si="138"/>
        <v>0</v>
      </c>
      <c r="K1047" s="155">
        <f t="shared" si="13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40"/>
        <v>0</v>
      </c>
      <c r="O1047" s="155">
        <f t="shared" si="141"/>
        <v>0</v>
      </c>
      <c r="P1047" s="155">
        <f>IF(O1047=1,SUM($O$6:O1047),0)</f>
        <v>0</v>
      </c>
    </row>
    <row r="1048" spans="1:16" ht="15" customHeight="1">
      <c r="A1048" s="15"/>
      <c r="B1048" s="194">
        <v>13</v>
      </c>
      <c r="C1048" s="414" t="s">
        <v>1619</v>
      </c>
      <c r="D1048" s="213" t="s">
        <v>49</v>
      </c>
      <c r="E1048" s="214" t="s">
        <v>14</v>
      </c>
      <c r="F1048" s="176"/>
      <c r="G1048" s="415">
        <v>659799.30669751228</v>
      </c>
      <c r="H1048" s="171"/>
      <c r="I1048" s="88">
        <f t="shared" si="137"/>
        <v>659799.30669751228</v>
      </c>
      <c r="J1048" s="163">
        <f t="shared" si="138"/>
        <v>0</v>
      </c>
      <c r="K1048" s="155">
        <f t="shared" si="13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40"/>
        <v>0</v>
      </c>
      <c r="O1048" s="155">
        <f t="shared" si="141"/>
        <v>0</v>
      </c>
      <c r="P1048" s="155">
        <f>IF(O1048=1,SUM($O$6:O1048),0)</f>
        <v>0</v>
      </c>
    </row>
    <row r="1049" spans="1:16" ht="15" customHeight="1">
      <c r="A1049" s="15"/>
      <c r="B1049" s="194">
        <v>12</v>
      </c>
      <c r="C1049" s="109" t="s">
        <v>375</v>
      </c>
      <c r="D1049" s="213" t="s">
        <v>49</v>
      </c>
      <c r="E1049" s="214" t="s">
        <v>14</v>
      </c>
      <c r="F1049" s="215">
        <v>11600</v>
      </c>
      <c r="G1049" s="215">
        <v>13800</v>
      </c>
      <c r="H1049" s="171"/>
      <c r="I1049" s="88">
        <f t="shared" si="132"/>
        <v>13800</v>
      </c>
      <c r="J1049" s="163">
        <f t="shared" si="133"/>
        <v>0</v>
      </c>
      <c r="K1049" s="155">
        <f t="shared" si="13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35"/>
        <v>0</v>
      </c>
      <c r="O1049" s="155">
        <f t="shared" si="136"/>
        <v>0</v>
      </c>
      <c r="P1049" s="155">
        <f>IF(O1049=1,SUM($O$6:O1049),0)</f>
        <v>0</v>
      </c>
    </row>
    <row r="1050" spans="1:16" ht="15" customHeight="1">
      <c r="A1050" s="15"/>
      <c r="B1050" s="194">
        <v>13</v>
      </c>
      <c r="C1050" s="109" t="s">
        <v>376</v>
      </c>
      <c r="D1050" s="213" t="s">
        <v>49</v>
      </c>
      <c r="E1050" s="214" t="s">
        <v>14</v>
      </c>
      <c r="F1050" s="215">
        <v>10700</v>
      </c>
      <c r="G1050" s="215">
        <v>12700</v>
      </c>
      <c r="H1050" s="171"/>
      <c r="I1050" s="88">
        <f t="shared" si="132"/>
        <v>12700</v>
      </c>
      <c r="J1050" s="163">
        <f t="shared" si="133"/>
        <v>0</v>
      </c>
      <c r="K1050" s="155">
        <f t="shared" si="13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35"/>
        <v>0</v>
      </c>
      <c r="O1050" s="155">
        <f t="shared" si="136"/>
        <v>0</v>
      </c>
      <c r="P1050" s="155">
        <f>IF(O1050=1,SUM($O$6:O1050),0)</f>
        <v>0</v>
      </c>
    </row>
    <row r="1051" spans="1:16" ht="15" customHeight="1">
      <c r="A1051" s="15"/>
      <c r="B1051" s="194">
        <v>14</v>
      </c>
      <c r="C1051" s="109" t="s">
        <v>377</v>
      </c>
      <c r="D1051" s="213" t="s">
        <v>49</v>
      </c>
      <c r="E1051" s="214" t="s">
        <v>300</v>
      </c>
      <c r="F1051" s="215">
        <v>1318750</v>
      </c>
      <c r="G1051" s="215">
        <f>31400*50</f>
        <v>1570000</v>
      </c>
      <c r="H1051" s="171"/>
      <c r="I1051" s="88">
        <f t="shared" si="132"/>
        <v>1570000</v>
      </c>
      <c r="J1051" s="163">
        <f t="shared" si="133"/>
        <v>0</v>
      </c>
      <c r="K1051" s="155">
        <f t="shared" si="13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35"/>
        <v>0</v>
      </c>
      <c r="O1051" s="155">
        <f t="shared" si="136"/>
        <v>0</v>
      </c>
      <c r="P1051" s="155">
        <f>IF(O1051=1,SUM($O$6:O1051),0)</f>
        <v>0</v>
      </c>
    </row>
    <row r="1052" spans="1:16" ht="15" customHeight="1">
      <c r="A1052" s="15"/>
      <c r="B1052" s="194">
        <v>14</v>
      </c>
      <c r="C1052" s="414" t="s">
        <v>1615</v>
      </c>
      <c r="D1052" s="213" t="s">
        <v>49</v>
      </c>
      <c r="E1052" s="214" t="s">
        <v>300</v>
      </c>
      <c r="F1052" s="415">
        <v>1318750</v>
      </c>
      <c r="G1052" s="415">
        <f>31400*50</f>
        <v>1570000</v>
      </c>
      <c r="H1052" s="171"/>
      <c r="I1052" s="88">
        <f t="shared" ref="I1052" si="142">IF($I$5=$G$4,G1052,(IF($I$5=$F$4,F1052,0)))</f>
        <v>1570000</v>
      </c>
      <c r="J1052" s="163">
        <f t="shared" ref="J1052" si="143">IF(D1052="MDU-KD",1,0)</f>
        <v>0</v>
      </c>
      <c r="K1052" s="155">
        <f t="shared" ref="K1052" si="144"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ref="N1052" si="145">IF(L1052=0,M1052,L1052)</f>
        <v>0</v>
      </c>
      <c r="O1052" s="155">
        <f t="shared" ref="O1052" si="146"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94">
        <v>15</v>
      </c>
      <c r="C1053" s="109" t="s">
        <v>794</v>
      </c>
      <c r="D1053" s="213" t="s">
        <v>49</v>
      </c>
      <c r="E1053" s="214" t="s">
        <v>300</v>
      </c>
      <c r="F1053" s="215">
        <v>1055000</v>
      </c>
      <c r="G1053" s="215">
        <f>25100*50</f>
        <v>1255000</v>
      </c>
      <c r="H1053" s="171"/>
      <c r="I1053" s="88">
        <f t="shared" si="132"/>
        <v>1255000</v>
      </c>
      <c r="J1053" s="163">
        <f t="shared" si="133"/>
        <v>0</v>
      </c>
      <c r="K1053" s="155">
        <f t="shared" si="13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35"/>
        <v>0</v>
      </c>
      <c r="O1053" s="155">
        <f t="shared" si="136"/>
        <v>0</v>
      </c>
      <c r="P1053" s="155">
        <f>IF(O1053=1,SUM($O$6:O1053),0)</f>
        <v>0</v>
      </c>
    </row>
    <row r="1054" spans="1:16" ht="15" customHeight="1">
      <c r="A1054" s="15"/>
      <c r="B1054" s="194">
        <v>16</v>
      </c>
      <c r="C1054" s="109" t="s">
        <v>795</v>
      </c>
      <c r="D1054" s="213" t="s">
        <v>49</v>
      </c>
      <c r="E1054" s="214" t="s">
        <v>476</v>
      </c>
      <c r="F1054" s="215">
        <v>700</v>
      </c>
      <c r="G1054" s="215">
        <v>700</v>
      </c>
      <c r="H1054" s="171"/>
      <c r="I1054" s="88">
        <f t="shared" si="132"/>
        <v>700</v>
      </c>
      <c r="J1054" s="163">
        <f t="shared" si="133"/>
        <v>0</v>
      </c>
      <c r="K1054" s="155">
        <f t="shared" si="13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35"/>
        <v>0</v>
      </c>
      <c r="O1054" s="155">
        <f t="shared" si="136"/>
        <v>0</v>
      </c>
      <c r="P1054" s="155">
        <f>IF(O1054=1,SUM($O$6:O1054),0)</f>
        <v>0</v>
      </c>
    </row>
    <row r="1055" spans="1:16" ht="15" customHeight="1">
      <c r="A1055" s="15"/>
      <c r="B1055" s="194">
        <v>17</v>
      </c>
      <c r="C1055" s="109" t="s">
        <v>796</v>
      </c>
      <c r="D1055" s="213" t="s">
        <v>49</v>
      </c>
      <c r="E1055" s="214" t="s">
        <v>476</v>
      </c>
      <c r="F1055" s="215">
        <v>1400</v>
      </c>
      <c r="G1055" s="215">
        <v>1700</v>
      </c>
      <c r="H1055" s="171"/>
      <c r="I1055" s="88">
        <f t="shared" si="132"/>
        <v>1700</v>
      </c>
      <c r="J1055" s="163">
        <f t="shared" si="133"/>
        <v>0</v>
      </c>
      <c r="K1055" s="155">
        <f t="shared" si="13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35"/>
        <v>0</v>
      </c>
      <c r="O1055" s="155">
        <f t="shared" si="136"/>
        <v>0</v>
      </c>
      <c r="P1055" s="155">
        <f>IF(O1055=1,SUM($O$6:O1055),0)</f>
        <v>0</v>
      </c>
    </row>
    <row r="1056" spans="1:16" ht="15" customHeight="1">
      <c r="A1056" s="15"/>
      <c r="B1056" s="194">
        <v>18</v>
      </c>
      <c r="C1056" s="109" t="s">
        <v>797</v>
      </c>
      <c r="D1056" s="213" t="s">
        <v>49</v>
      </c>
      <c r="E1056" s="214" t="s">
        <v>476</v>
      </c>
      <c r="F1056" s="215">
        <v>28300</v>
      </c>
      <c r="G1056" s="215">
        <v>33700</v>
      </c>
      <c r="H1056" s="171"/>
      <c r="I1056" s="88">
        <f t="shared" si="132"/>
        <v>33700</v>
      </c>
      <c r="J1056" s="163">
        <f t="shared" si="133"/>
        <v>0</v>
      </c>
      <c r="K1056" s="155">
        <f t="shared" si="13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35"/>
        <v>0</v>
      </c>
      <c r="O1056" s="155">
        <f t="shared" si="136"/>
        <v>0</v>
      </c>
      <c r="P1056" s="155">
        <f>IF(O1056=1,SUM($O$6:O1056),0)</f>
        <v>0</v>
      </c>
    </row>
    <row r="1057" spans="1:16" ht="15" customHeight="1">
      <c r="A1057" s="15"/>
      <c r="B1057" s="194">
        <v>19</v>
      </c>
      <c r="C1057" s="109" t="s">
        <v>798</v>
      </c>
      <c r="D1057" s="213" t="s">
        <v>49</v>
      </c>
      <c r="E1057" s="214" t="s">
        <v>476</v>
      </c>
      <c r="F1057" s="215">
        <v>16900</v>
      </c>
      <c r="G1057" s="215">
        <v>20100</v>
      </c>
      <c r="H1057" s="171"/>
      <c r="I1057" s="88">
        <f t="shared" si="132"/>
        <v>20100</v>
      </c>
      <c r="J1057" s="163">
        <f t="shared" si="133"/>
        <v>0</v>
      </c>
      <c r="K1057" s="155">
        <f t="shared" si="13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35"/>
        <v>0</v>
      </c>
      <c r="O1057" s="155">
        <f t="shared" si="136"/>
        <v>0</v>
      </c>
      <c r="P1057" s="155">
        <f>IF(O1057=1,SUM($O$6:O1057),0)</f>
        <v>0</v>
      </c>
    </row>
    <row r="1058" spans="1:16" ht="15" customHeight="1">
      <c r="A1058" s="15"/>
      <c r="B1058" s="194">
        <v>20</v>
      </c>
      <c r="C1058" s="109" t="s">
        <v>1098</v>
      </c>
      <c r="D1058" s="213" t="s">
        <v>49</v>
      </c>
      <c r="E1058" s="214" t="s">
        <v>476</v>
      </c>
      <c r="F1058" s="215">
        <v>4566.666666666667</v>
      </c>
      <c r="G1058" s="215">
        <v>4566.666666666667</v>
      </c>
      <c r="H1058" s="171"/>
      <c r="I1058" s="88">
        <f t="shared" si="132"/>
        <v>4566.666666666667</v>
      </c>
      <c r="J1058" s="163">
        <f t="shared" si="133"/>
        <v>0</v>
      </c>
      <c r="K1058" s="155">
        <f t="shared" si="13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35"/>
        <v>0</v>
      </c>
      <c r="O1058" s="155">
        <f t="shared" si="136"/>
        <v>0</v>
      </c>
      <c r="P1058" s="155">
        <f>IF(O1058=1,SUM($O$6:O1058),0)</f>
        <v>0</v>
      </c>
    </row>
    <row r="1059" spans="1:16" ht="15" customHeight="1">
      <c r="A1059" s="15"/>
      <c r="B1059" s="194">
        <v>21</v>
      </c>
      <c r="C1059" s="109" t="s">
        <v>1525</v>
      </c>
      <c r="D1059" s="213" t="s">
        <v>49</v>
      </c>
      <c r="E1059" s="214" t="s">
        <v>476</v>
      </c>
      <c r="F1059" s="219">
        <v>1100</v>
      </c>
      <c r="G1059" s="219">
        <v>1300</v>
      </c>
      <c r="H1059" s="171"/>
      <c r="I1059" s="88">
        <f t="shared" si="132"/>
        <v>1300</v>
      </c>
      <c r="J1059" s="163">
        <f t="shared" si="133"/>
        <v>0</v>
      </c>
      <c r="K1059" s="155">
        <f t="shared" si="13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35"/>
        <v>0</v>
      </c>
      <c r="O1059" s="155">
        <f t="shared" si="136"/>
        <v>0</v>
      </c>
      <c r="P1059" s="155">
        <f>IF(O1059=1,SUM($O$6:O1059),0)</f>
        <v>0</v>
      </c>
    </row>
    <row r="1060" spans="1:16" ht="15" customHeight="1">
      <c r="A1060" s="15"/>
      <c r="B1060" s="194">
        <v>22</v>
      </c>
      <c r="C1060" s="109" t="s">
        <v>1526</v>
      </c>
      <c r="D1060" s="213" t="s">
        <v>49</v>
      </c>
      <c r="E1060" s="214" t="s">
        <v>476</v>
      </c>
      <c r="F1060" s="219">
        <v>2200</v>
      </c>
      <c r="G1060" s="219">
        <v>2600</v>
      </c>
      <c r="H1060" s="171"/>
      <c r="I1060" s="88">
        <f t="shared" si="132"/>
        <v>2600</v>
      </c>
      <c r="J1060" s="163">
        <f t="shared" si="133"/>
        <v>0</v>
      </c>
      <c r="K1060" s="155">
        <f t="shared" si="13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35"/>
        <v>0</v>
      </c>
      <c r="O1060" s="155">
        <f t="shared" si="136"/>
        <v>0</v>
      </c>
      <c r="P1060" s="155">
        <f>IF(O1060=1,SUM($O$6:O1060),0)</f>
        <v>0</v>
      </c>
    </row>
    <row r="1061" spans="1:16" ht="15" customHeight="1">
      <c r="A1061" s="15"/>
      <c r="B1061" s="194">
        <v>23</v>
      </c>
      <c r="C1061" s="109" t="s">
        <v>1527</v>
      </c>
      <c r="D1061" s="213" t="s">
        <v>49</v>
      </c>
      <c r="E1061" s="214" t="s">
        <v>476</v>
      </c>
      <c r="F1061" s="219">
        <v>5300</v>
      </c>
      <c r="G1061" s="219">
        <v>6300</v>
      </c>
      <c r="H1061" s="171"/>
      <c r="I1061" s="88">
        <f t="shared" si="132"/>
        <v>6300</v>
      </c>
      <c r="J1061" s="163">
        <f t="shared" si="133"/>
        <v>0</v>
      </c>
      <c r="K1061" s="155">
        <f t="shared" si="13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35"/>
        <v>0</v>
      </c>
      <c r="O1061" s="155">
        <f t="shared" si="136"/>
        <v>0</v>
      </c>
      <c r="P1061" s="155">
        <f>IF(O1061=1,SUM($O$6:O1061),0)</f>
        <v>0</v>
      </c>
    </row>
    <row r="1062" spans="1:16" ht="15" customHeight="1">
      <c r="A1062" s="15"/>
      <c r="B1062" s="194">
        <v>24</v>
      </c>
      <c r="C1062" s="109" t="s">
        <v>1528</v>
      </c>
      <c r="D1062" s="213" t="s">
        <v>49</v>
      </c>
      <c r="E1062" s="214" t="s">
        <v>476</v>
      </c>
      <c r="F1062" s="219">
        <v>5800</v>
      </c>
      <c r="G1062" s="219">
        <v>6900</v>
      </c>
      <c r="H1062" s="171"/>
      <c r="I1062" s="88">
        <f t="shared" si="132"/>
        <v>6900</v>
      </c>
      <c r="J1062" s="163">
        <f t="shared" si="133"/>
        <v>0</v>
      </c>
      <c r="K1062" s="155">
        <f t="shared" si="13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35"/>
        <v>0</v>
      </c>
      <c r="O1062" s="155">
        <f t="shared" si="136"/>
        <v>0</v>
      </c>
      <c r="P1062" s="155">
        <f>IF(O1062=1,SUM($O$6:O1062),0)</f>
        <v>0</v>
      </c>
    </row>
    <row r="1063" spans="1:16" ht="15" customHeight="1">
      <c r="A1063" s="15"/>
      <c r="B1063" s="194">
        <v>25</v>
      </c>
      <c r="C1063" s="109" t="s">
        <v>1529</v>
      </c>
      <c r="D1063" s="213" t="s">
        <v>49</v>
      </c>
      <c r="E1063" s="214" t="s">
        <v>476</v>
      </c>
      <c r="F1063" s="219">
        <v>7200</v>
      </c>
      <c r="G1063" s="219">
        <v>8600</v>
      </c>
      <c r="H1063" s="171"/>
      <c r="I1063" s="88">
        <f t="shared" si="132"/>
        <v>8600</v>
      </c>
      <c r="J1063" s="163">
        <f t="shared" si="133"/>
        <v>0</v>
      </c>
      <c r="K1063" s="155">
        <f t="shared" si="13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35"/>
        <v>0</v>
      </c>
      <c r="O1063" s="155">
        <f t="shared" si="136"/>
        <v>0</v>
      </c>
      <c r="P1063" s="155">
        <f>IF(O1063=1,SUM($O$6:O1063),0)</f>
        <v>0</v>
      </c>
    </row>
    <row r="1064" spans="1:16" ht="15" customHeight="1">
      <c r="A1064" s="15"/>
      <c r="B1064" s="194">
        <v>26</v>
      </c>
      <c r="C1064" s="109" t="s">
        <v>799</v>
      </c>
      <c r="D1064" s="213" t="s">
        <v>49</v>
      </c>
      <c r="E1064" s="214" t="s">
        <v>800</v>
      </c>
      <c r="F1064" s="215">
        <v>162200</v>
      </c>
      <c r="G1064" s="215">
        <v>162200</v>
      </c>
      <c r="H1064" s="171"/>
      <c r="I1064" s="88">
        <f t="shared" si="132"/>
        <v>162200</v>
      </c>
      <c r="J1064" s="163">
        <f t="shared" si="133"/>
        <v>0</v>
      </c>
      <c r="K1064" s="155">
        <f t="shared" si="13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35"/>
        <v>0</v>
      </c>
      <c r="O1064" s="155">
        <f t="shared" si="136"/>
        <v>0</v>
      </c>
      <c r="P1064" s="155">
        <f>IF(O1064=1,SUM($O$6:O1064),0)</f>
        <v>0</v>
      </c>
    </row>
    <row r="1065" spans="1:16" ht="15" customHeight="1">
      <c r="A1065" s="15"/>
      <c r="B1065" s="194"/>
      <c r="C1065" s="109"/>
      <c r="D1065" s="213"/>
      <c r="E1065" s="214"/>
      <c r="F1065" s="215"/>
      <c r="G1065" s="215"/>
      <c r="H1065" s="171"/>
      <c r="I1065" s="88">
        <f t="shared" si="132"/>
        <v>0</v>
      </c>
      <c r="J1065" s="163">
        <f t="shared" si="133"/>
        <v>0</v>
      </c>
      <c r="K1065" s="155">
        <f t="shared" si="13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35"/>
        <v>0</v>
      </c>
      <c r="O1065" s="155">
        <f t="shared" si="136"/>
        <v>0</v>
      </c>
      <c r="P1065" s="155">
        <f>IF(O1065=1,SUM($O$6:O1065),0)</f>
        <v>0</v>
      </c>
    </row>
    <row r="1066" spans="1:16" ht="15" customHeight="1">
      <c r="A1066" s="15"/>
      <c r="B1066" s="194" t="s">
        <v>1035</v>
      </c>
      <c r="C1066" s="109" t="s">
        <v>801</v>
      </c>
      <c r="D1066" s="213" t="s">
        <v>50</v>
      </c>
      <c r="E1066" s="214"/>
      <c r="F1066" s="215"/>
      <c r="G1066" s="215"/>
      <c r="H1066" s="171"/>
      <c r="I1066" s="88">
        <f t="shared" si="132"/>
        <v>0</v>
      </c>
      <c r="J1066" s="163">
        <f t="shared" si="133"/>
        <v>0</v>
      </c>
      <c r="K1066" s="155">
        <f t="shared" si="13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35"/>
        <v>0</v>
      </c>
      <c r="O1066" s="155">
        <f t="shared" si="136"/>
        <v>0</v>
      </c>
      <c r="P1066" s="155">
        <f>IF(O1066=1,SUM($O$6:O1066),0)</f>
        <v>0</v>
      </c>
    </row>
    <row r="1067" spans="1:16" ht="15" customHeight="1">
      <c r="A1067" s="15"/>
      <c r="B1067" s="194">
        <v>1</v>
      </c>
      <c r="C1067" s="109" t="s">
        <v>378</v>
      </c>
      <c r="D1067" s="213" t="s">
        <v>49</v>
      </c>
      <c r="E1067" s="214" t="s">
        <v>14</v>
      </c>
      <c r="F1067" s="215">
        <v>25000</v>
      </c>
      <c r="G1067" s="215">
        <v>25000</v>
      </c>
      <c r="H1067" s="171"/>
      <c r="I1067" s="88">
        <f t="shared" si="132"/>
        <v>25000</v>
      </c>
      <c r="J1067" s="163">
        <f t="shared" si="133"/>
        <v>0</v>
      </c>
      <c r="K1067" s="155">
        <f t="shared" si="13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35"/>
        <v>0</v>
      </c>
      <c r="O1067" s="155">
        <f t="shared" si="136"/>
        <v>0</v>
      </c>
      <c r="P1067" s="155">
        <f>IF(O1067=1,SUM($O$6:O1067),0)</f>
        <v>0</v>
      </c>
    </row>
    <row r="1068" spans="1:16" ht="15" customHeight="1">
      <c r="A1068" s="15"/>
      <c r="B1068" s="194">
        <v>2</v>
      </c>
      <c r="C1068" s="109" t="s">
        <v>379</v>
      </c>
      <c r="D1068" s="213" t="s">
        <v>49</v>
      </c>
      <c r="E1068" s="214" t="s">
        <v>14</v>
      </c>
      <c r="F1068" s="215">
        <v>60300</v>
      </c>
      <c r="G1068" s="215">
        <v>60300</v>
      </c>
      <c r="H1068" s="171"/>
      <c r="I1068" s="88">
        <f t="shared" si="132"/>
        <v>60300</v>
      </c>
      <c r="J1068" s="163">
        <f t="shared" si="133"/>
        <v>0</v>
      </c>
      <c r="K1068" s="155">
        <f t="shared" si="13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35"/>
        <v>0</v>
      </c>
      <c r="O1068" s="155">
        <f t="shared" si="136"/>
        <v>0</v>
      </c>
      <c r="P1068" s="155">
        <f>IF(O1068=1,SUM($O$6:O1068),0)</f>
        <v>0</v>
      </c>
    </row>
    <row r="1069" spans="1:16" ht="15" customHeight="1">
      <c r="A1069" s="15"/>
      <c r="B1069" s="194">
        <v>3</v>
      </c>
      <c r="C1069" s="109" t="s">
        <v>802</v>
      </c>
      <c r="D1069" s="213" t="s">
        <v>49</v>
      </c>
      <c r="E1069" s="214" t="s">
        <v>14</v>
      </c>
      <c r="F1069" s="215">
        <v>54400</v>
      </c>
      <c r="G1069" s="215">
        <v>54400</v>
      </c>
      <c r="H1069" s="171"/>
      <c r="I1069" s="88">
        <f t="shared" si="132"/>
        <v>54400</v>
      </c>
      <c r="J1069" s="163">
        <f t="shared" si="133"/>
        <v>0</v>
      </c>
      <c r="K1069" s="155">
        <f t="shared" si="13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35"/>
        <v>0</v>
      </c>
      <c r="O1069" s="155">
        <f t="shared" si="136"/>
        <v>0</v>
      </c>
      <c r="P1069" s="155">
        <f>IF(O1069=1,SUM($O$6:O1069),0)</f>
        <v>0</v>
      </c>
    </row>
    <row r="1070" spans="1:16" ht="15" customHeight="1">
      <c r="A1070" s="15"/>
      <c r="B1070" s="194">
        <v>4</v>
      </c>
      <c r="C1070" s="109" t="s">
        <v>803</v>
      </c>
      <c r="D1070" s="213" t="s">
        <v>49</v>
      </c>
      <c r="E1070" s="214" t="s">
        <v>14</v>
      </c>
      <c r="F1070" s="215">
        <v>106400</v>
      </c>
      <c r="G1070" s="215">
        <v>106400</v>
      </c>
      <c r="H1070" s="171"/>
      <c r="I1070" s="88">
        <f t="shared" si="132"/>
        <v>106400</v>
      </c>
      <c r="J1070" s="163">
        <f t="shared" si="133"/>
        <v>0</v>
      </c>
      <c r="K1070" s="155">
        <f t="shared" si="13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35"/>
        <v>0</v>
      </c>
      <c r="O1070" s="155">
        <f t="shared" si="136"/>
        <v>0</v>
      </c>
      <c r="P1070" s="155">
        <f>IF(O1070=1,SUM($O$6:O1070),0)</f>
        <v>0</v>
      </c>
    </row>
    <row r="1071" spans="1:16" ht="15" customHeight="1">
      <c r="A1071" s="15"/>
      <c r="B1071" s="194">
        <v>5</v>
      </c>
      <c r="C1071" s="109" t="s">
        <v>804</v>
      </c>
      <c r="D1071" s="213" t="s">
        <v>49</v>
      </c>
      <c r="E1071" s="214" t="s">
        <v>14</v>
      </c>
      <c r="F1071" s="215">
        <v>798700</v>
      </c>
      <c r="G1071" s="215">
        <v>798700</v>
      </c>
      <c r="H1071" s="171"/>
      <c r="I1071" s="88">
        <f t="shared" si="132"/>
        <v>798700</v>
      </c>
      <c r="J1071" s="163">
        <f t="shared" si="133"/>
        <v>0</v>
      </c>
      <c r="K1071" s="155">
        <f t="shared" si="13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35"/>
        <v>0</v>
      </c>
      <c r="O1071" s="155">
        <f t="shared" si="136"/>
        <v>0</v>
      </c>
      <c r="P1071" s="155">
        <f>IF(O1071=1,SUM($O$6:O1071),0)</f>
        <v>0</v>
      </c>
    </row>
    <row r="1072" spans="1:16" ht="15" customHeight="1">
      <c r="A1072" s="15"/>
      <c r="B1072" s="194">
        <v>6</v>
      </c>
      <c r="C1072" s="109" t="s">
        <v>1171</v>
      </c>
      <c r="D1072" s="213" t="s">
        <v>49</v>
      </c>
      <c r="E1072" s="214" t="s">
        <v>14</v>
      </c>
      <c r="F1072" s="215">
        <v>1641700</v>
      </c>
      <c r="G1072" s="215">
        <v>1641700</v>
      </c>
      <c r="H1072" s="171"/>
      <c r="I1072" s="88">
        <f t="shared" ref="I1072:I1135" si="147">IF($I$5=$G$4,G1072,(IF($I$5=$F$4,F1072,0)))</f>
        <v>1641700</v>
      </c>
      <c r="J1072" s="163">
        <f t="shared" si="133"/>
        <v>0</v>
      </c>
      <c r="K1072" s="155">
        <f t="shared" si="13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35"/>
        <v>0</v>
      </c>
      <c r="O1072" s="155">
        <f t="shared" si="136"/>
        <v>0</v>
      </c>
      <c r="P1072" s="155">
        <f>IF(O1072=1,SUM($O$6:O1072),0)</f>
        <v>0</v>
      </c>
    </row>
    <row r="1073" spans="1:16" ht="15" customHeight="1">
      <c r="A1073" s="15"/>
      <c r="B1073" s="194">
        <v>7</v>
      </c>
      <c r="C1073" s="109" t="s">
        <v>1530</v>
      </c>
      <c r="D1073" s="213" t="s">
        <v>49</v>
      </c>
      <c r="E1073" s="214" t="s">
        <v>14</v>
      </c>
      <c r="F1073" s="215">
        <v>39800</v>
      </c>
      <c r="G1073" s="215">
        <v>39800</v>
      </c>
      <c r="H1073" s="171"/>
      <c r="I1073" s="88">
        <f t="shared" si="147"/>
        <v>39800</v>
      </c>
      <c r="J1073" s="163">
        <f t="shared" si="133"/>
        <v>0</v>
      </c>
      <c r="K1073" s="155">
        <f t="shared" si="13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35"/>
        <v>0</v>
      </c>
      <c r="O1073" s="155">
        <f t="shared" si="136"/>
        <v>0</v>
      </c>
      <c r="P1073" s="155">
        <f>IF(O1073=1,SUM($O$6:O1073),0)</f>
        <v>0</v>
      </c>
    </row>
    <row r="1074" spans="1:16" ht="15" customHeight="1">
      <c r="A1074" s="15"/>
      <c r="B1074" s="194">
        <v>8</v>
      </c>
      <c r="C1074" s="109" t="s">
        <v>1607</v>
      </c>
      <c r="D1074" s="213" t="s">
        <v>49</v>
      </c>
      <c r="E1074" s="214" t="s">
        <v>14</v>
      </c>
      <c r="F1074" s="215">
        <v>78008</v>
      </c>
      <c r="G1074" s="215">
        <v>78000</v>
      </c>
      <c r="H1074" s="171"/>
      <c r="I1074" s="88">
        <f t="shared" si="147"/>
        <v>78000</v>
      </c>
      <c r="J1074" s="163">
        <f t="shared" si="133"/>
        <v>0</v>
      </c>
      <c r="K1074" s="155">
        <f t="shared" si="13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35"/>
        <v>0</v>
      </c>
      <c r="O1074" s="155">
        <f t="shared" si="136"/>
        <v>0</v>
      </c>
      <c r="P1074" s="155">
        <f>IF(O1074=1,SUM($O$6:O1074),0)</f>
        <v>0</v>
      </c>
    </row>
    <row r="1075" spans="1:16" ht="15" customHeight="1">
      <c r="A1075" s="15"/>
      <c r="B1075" s="194"/>
      <c r="C1075" s="109"/>
      <c r="D1075" s="213" t="s">
        <v>50</v>
      </c>
      <c r="E1075" s="214"/>
      <c r="F1075" s="215"/>
      <c r="G1075" s="215"/>
      <c r="H1075" s="171"/>
      <c r="I1075" s="88">
        <f t="shared" si="147"/>
        <v>0</v>
      </c>
      <c r="J1075" s="163">
        <f t="shared" si="133"/>
        <v>0</v>
      </c>
      <c r="K1075" s="155">
        <f t="shared" si="13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35"/>
        <v>0</v>
      </c>
      <c r="O1075" s="155">
        <f t="shared" si="136"/>
        <v>0</v>
      </c>
      <c r="P1075" s="155">
        <f>IF(O1075=1,SUM($O$6:O1075),0)</f>
        <v>0</v>
      </c>
    </row>
    <row r="1076" spans="1:16" ht="15" customHeight="1">
      <c r="A1076" s="15"/>
      <c r="B1076" s="194" t="s">
        <v>22</v>
      </c>
      <c r="C1076" s="109" t="s">
        <v>806</v>
      </c>
      <c r="D1076" s="213" t="s">
        <v>50</v>
      </c>
      <c r="E1076" s="214"/>
      <c r="F1076" s="215"/>
      <c r="G1076" s="215"/>
      <c r="H1076" s="171"/>
      <c r="I1076" s="88">
        <f t="shared" si="147"/>
        <v>0</v>
      </c>
      <c r="J1076" s="163">
        <f t="shared" si="133"/>
        <v>0</v>
      </c>
      <c r="K1076" s="155">
        <f t="shared" si="13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35"/>
        <v>0</v>
      </c>
      <c r="O1076" s="155">
        <f t="shared" si="136"/>
        <v>0</v>
      </c>
      <c r="P1076" s="155">
        <f>IF(O1076=1,SUM($O$6:O1076),0)</f>
        <v>0</v>
      </c>
    </row>
    <row r="1077" spans="1:16" ht="15" customHeight="1">
      <c r="A1077" s="15"/>
      <c r="B1077" s="194" t="s">
        <v>1035</v>
      </c>
      <c r="C1077" s="109" t="s">
        <v>622</v>
      </c>
      <c r="D1077" s="213" t="s">
        <v>50</v>
      </c>
      <c r="E1077" s="214"/>
      <c r="F1077" s="215"/>
      <c r="G1077" s="215"/>
      <c r="H1077" s="171"/>
      <c r="I1077" s="88">
        <f t="shared" si="147"/>
        <v>0</v>
      </c>
      <c r="J1077" s="163">
        <f t="shared" si="133"/>
        <v>0</v>
      </c>
      <c r="K1077" s="155">
        <f t="shared" si="13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35"/>
        <v>0</v>
      </c>
      <c r="O1077" s="155">
        <f t="shared" si="13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807</v>
      </c>
      <c r="D1078" s="213" t="s">
        <v>49</v>
      </c>
      <c r="E1078" s="214" t="s">
        <v>14</v>
      </c>
      <c r="F1078" s="215">
        <v>11880</v>
      </c>
      <c r="G1078" s="215">
        <v>11880</v>
      </c>
      <c r="H1078" s="171"/>
      <c r="I1078" s="88">
        <f t="shared" si="147"/>
        <v>11880</v>
      </c>
      <c r="J1078" s="163">
        <f t="shared" si="133"/>
        <v>0</v>
      </c>
      <c r="K1078" s="155">
        <f t="shared" si="13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35"/>
        <v>0</v>
      </c>
      <c r="O1078" s="155">
        <f t="shared" si="13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808</v>
      </c>
      <c r="D1079" s="213" t="s">
        <v>49</v>
      </c>
      <c r="E1079" s="214" t="s">
        <v>14</v>
      </c>
      <c r="F1079" s="215">
        <v>12300</v>
      </c>
      <c r="G1079" s="215">
        <v>12300</v>
      </c>
      <c r="H1079" s="171"/>
      <c r="I1079" s="88">
        <f t="shared" si="147"/>
        <v>12300</v>
      </c>
      <c r="J1079" s="163">
        <f t="shared" si="133"/>
        <v>0</v>
      </c>
      <c r="K1079" s="155">
        <f t="shared" si="13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35"/>
        <v>0</v>
      </c>
      <c r="O1079" s="155">
        <f t="shared" si="13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809</v>
      </c>
      <c r="D1080" s="213" t="s">
        <v>49</v>
      </c>
      <c r="E1080" s="214" t="s">
        <v>14</v>
      </c>
      <c r="F1080" s="215">
        <v>16500</v>
      </c>
      <c r="G1080" s="215">
        <v>16500</v>
      </c>
      <c r="H1080" s="171"/>
      <c r="I1080" s="88">
        <f t="shared" si="147"/>
        <v>16500</v>
      </c>
      <c r="J1080" s="163">
        <f t="shared" si="133"/>
        <v>0</v>
      </c>
      <c r="K1080" s="155">
        <f t="shared" si="13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35"/>
        <v>0</v>
      </c>
      <c r="O1080" s="155">
        <f t="shared" si="13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810</v>
      </c>
      <c r="D1081" s="213" t="s">
        <v>49</v>
      </c>
      <c r="E1081" s="214" t="s">
        <v>14</v>
      </c>
      <c r="F1081" s="215">
        <v>8940</v>
      </c>
      <c r="G1081" s="215">
        <v>8940</v>
      </c>
      <c r="H1081" s="171"/>
      <c r="I1081" s="88">
        <f t="shared" si="147"/>
        <v>8940</v>
      </c>
      <c r="J1081" s="163">
        <f t="shared" si="133"/>
        <v>0</v>
      </c>
      <c r="K1081" s="155">
        <f t="shared" si="13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35"/>
        <v>0</v>
      </c>
      <c r="O1081" s="155">
        <f t="shared" si="13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811</v>
      </c>
      <c r="D1082" s="213" t="s">
        <v>49</v>
      </c>
      <c r="E1082" s="214" t="s">
        <v>14</v>
      </c>
      <c r="F1082" s="215">
        <v>15060</v>
      </c>
      <c r="G1082" s="215">
        <v>15060</v>
      </c>
      <c r="H1082" s="171"/>
      <c r="I1082" s="88">
        <f t="shared" si="147"/>
        <v>15060</v>
      </c>
      <c r="J1082" s="163">
        <f t="shared" si="133"/>
        <v>0</v>
      </c>
      <c r="K1082" s="155">
        <f t="shared" si="13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35"/>
        <v>0</v>
      </c>
      <c r="O1082" s="155">
        <f t="shared" si="13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812</v>
      </c>
      <c r="D1083" s="213" t="s">
        <v>49</v>
      </c>
      <c r="E1083" s="214" t="s">
        <v>14</v>
      </c>
      <c r="F1083" s="215">
        <v>17820</v>
      </c>
      <c r="G1083" s="215">
        <v>17820</v>
      </c>
      <c r="H1083" s="171"/>
      <c r="I1083" s="88">
        <f t="shared" si="147"/>
        <v>17820</v>
      </c>
      <c r="J1083" s="163">
        <f t="shared" si="133"/>
        <v>0</v>
      </c>
      <c r="K1083" s="155">
        <f t="shared" si="13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35"/>
        <v>0</v>
      </c>
      <c r="O1083" s="155">
        <f t="shared" si="13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813</v>
      </c>
      <c r="D1084" s="213" t="s">
        <v>49</v>
      </c>
      <c r="E1084" s="214" t="s">
        <v>14</v>
      </c>
      <c r="F1084" s="215">
        <v>15060</v>
      </c>
      <c r="G1084" s="215">
        <v>15060</v>
      </c>
      <c r="H1084" s="171"/>
      <c r="I1084" s="88">
        <f t="shared" si="147"/>
        <v>15060</v>
      </c>
      <c r="J1084" s="163">
        <f t="shared" si="133"/>
        <v>0</v>
      </c>
      <c r="K1084" s="155">
        <f t="shared" si="13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35"/>
        <v>0</v>
      </c>
      <c r="O1084" s="155">
        <f t="shared" si="13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814</v>
      </c>
      <c r="D1085" s="213" t="s">
        <v>49</v>
      </c>
      <c r="E1085" s="214" t="s">
        <v>14</v>
      </c>
      <c r="F1085" s="215">
        <v>22560</v>
      </c>
      <c r="G1085" s="215">
        <v>22560</v>
      </c>
      <c r="H1085" s="171"/>
      <c r="I1085" s="88">
        <f t="shared" si="147"/>
        <v>22560</v>
      </c>
      <c r="J1085" s="163">
        <f t="shared" si="133"/>
        <v>0</v>
      </c>
      <c r="K1085" s="155">
        <f t="shared" si="13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35"/>
        <v>0</v>
      </c>
      <c r="O1085" s="155">
        <f t="shared" si="13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815</v>
      </c>
      <c r="D1086" s="213" t="s">
        <v>49</v>
      </c>
      <c r="E1086" s="214" t="s">
        <v>14</v>
      </c>
      <c r="F1086" s="215">
        <v>15060</v>
      </c>
      <c r="G1086" s="215">
        <v>15060</v>
      </c>
      <c r="H1086" s="171"/>
      <c r="I1086" s="88">
        <f t="shared" si="147"/>
        <v>15060</v>
      </c>
      <c r="J1086" s="163">
        <f t="shared" si="133"/>
        <v>0</v>
      </c>
      <c r="K1086" s="155">
        <f t="shared" si="13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35"/>
        <v>0</v>
      </c>
      <c r="O1086" s="155">
        <f t="shared" si="13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816</v>
      </c>
      <c r="D1087" s="213" t="s">
        <v>49</v>
      </c>
      <c r="E1087" s="214" t="s">
        <v>14</v>
      </c>
      <c r="F1087" s="215">
        <v>23880</v>
      </c>
      <c r="G1087" s="215">
        <v>23880</v>
      </c>
      <c r="H1087" s="171"/>
      <c r="I1087" s="88">
        <f t="shared" si="147"/>
        <v>23880</v>
      </c>
      <c r="J1087" s="163">
        <f t="shared" si="133"/>
        <v>0</v>
      </c>
      <c r="K1087" s="155">
        <f t="shared" si="13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35"/>
        <v>0</v>
      </c>
      <c r="O1087" s="155">
        <f t="shared" si="13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817</v>
      </c>
      <c r="D1088" s="213" t="s">
        <v>49</v>
      </c>
      <c r="E1088" s="214" t="s">
        <v>14</v>
      </c>
      <c r="F1088" s="215">
        <v>13320</v>
      </c>
      <c r="G1088" s="215">
        <v>13320</v>
      </c>
      <c r="H1088" s="171"/>
      <c r="I1088" s="88">
        <f t="shared" si="147"/>
        <v>13320</v>
      </c>
      <c r="J1088" s="163">
        <f t="shared" si="133"/>
        <v>0</v>
      </c>
      <c r="K1088" s="155">
        <f t="shared" si="13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35"/>
        <v>0</v>
      </c>
      <c r="O1088" s="155">
        <f t="shared" si="13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818</v>
      </c>
      <c r="D1089" s="213" t="s">
        <v>49</v>
      </c>
      <c r="E1089" s="214" t="s">
        <v>14</v>
      </c>
      <c r="F1089" s="215">
        <v>18180</v>
      </c>
      <c r="G1089" s="215">
        <v>18180</v>
      </c>
      <c r="H1089" s="171"/>
      <c r="I1089" s="88">
        <f t="shared" si="147"/>
        <v>18180</v>
      </c>
      <c r="J1089" s="163">
        <f t="shared" si="133"/>
        <v>0</v>
      </c>
      <c r="K1089" s="155">
        <f t="shared" si="13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35"/>
        <v>0</v>
      </c>
      <c r="O1089" s="155">
        <f t="shared" si="13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819</v>
      </c>
      <c r="D1090" s="213" t="s">
        <v>49</v>
      </c>
      <c r="E1090" s="214" t="s">
        <v>14</v>
      </c>
      <c r="F1090" s="215">
        <v>13920</v>
      </c>
      <c r="G1090" s="215">
        <v>13920</v>
      </c>
      <c r="H1090" s="171"/>
      <c r="I1090" s="88">
        <f t="shared" si="147"/>
        <v>13920</v>
      </c>
      <c r="J1090" s="163">
        <f t="shared" si="133"/>
        <v>0</v>
      </c>
      <c r="K1090" s="155">
        <f t="shared" si="13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35"/>
        <v>0</v>
      </c>
      <c r="O1090" s="155">
        <f t="shared" si="13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820</v>
      </c>
      <c r="D1091" s="213" t="s">
        <v>49</v>
      </c>
      <c r="E1091" s="214" t="s">
        <v>14</v>
      </c>
      <c r="F1091" s="215">
        <v>10320</v>
      </c>
      <c r="G1091" s="215">
        <v>10320</v>
      </c>
      <c r="H1091" s="171"/>
      <c r="I1091" s="88">
        <f t="shared" si="147"/>
        <v>10320</v>
      </c>
      <c r="J1091" s="163">
        <f t="shared" si="133"/>
        <v>0</v>
      </c>
      <c r="K1091" s="155">
        <f t="shared" si="13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35"/>
        <v>0</v>
      </c>
      <c r="O1091" s="155">
        <f t="shared" si="13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821</v>
      </c>
      <c r="D1092" s="213" t="s">
        <v>49</v>
      </c>
      <c r="E1092" s="214" t="s">
        <v>14</v>
      </c>
      <c r="F1092" s="215">
        <v>11880</v>
      </c>
      <c r="G1092" s="215">
        <v>11880</v>
      </c>
      <c r="H1092" s="171"/>
      <c r="I1092" s="88">
        <f t="shared" si="147"/>
        <v>11880</v>
      </c>
      <c r="J1092" s="163">
        <f t="shared" si="133"/>
        <v>0</v>
      </c>
      <c r="K1092" s="155">
        <f t="shared" si="13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35"/>
        <v>0</v>
      </c>
      <c r="O1092" s="155">
        <f t="shared" si="13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822</v>
      </c>
      <c r="D1093" s="213" t="s">
        <v>49</v>
      </c>
      <c r="E1093" s="214" t="s">
        <v>14</v>
      </c>
      <c r="F1093" s="215">
        <v>11880</v>
      </c>
      <c r="G1093" s="215">
        <v>11880</v>
      </c>
      <c r="H1093" s="171"/>
      <c r="I1093" s="88">
        <f t="shared" si="147"/>
        <v>11880</v>
      </c>
      <c r="J1093" s="163">
        <f t="shared" si="133"/>
        <v>0</v>
      </c>
      <c r="K1093" s="155">
        <f t="shared" si="13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35"/>
        <v>0</v>
      </c>
      <c r="O1093" s="155">
        <f t="shared" si="13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823</v>
      </c>
      <c r="D1094" s="213" t="s">
        <v>49</v>
      </c>
      <c r="E1094" s="214" t="s">
        <v>14</v>
      </c>
      <c r="F1094" s="215">
        <v>12300</v>
      </c>
      <c r="G1094" s="215">
        <v>12300</v>
      </c>
      <c r="H1094" s="171"/>
      <c r="I1094" s="88">
        <f t="shared" si="147"/>
        <v>12300</v>
      </c>
      <c r="J1094" s="163">
        <f t="shared" si="133"/>
        <v>0</v>
      </c>
      <c r="K1094" s="155">
        <f t="shared" si="13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35"/>
        <v>0</v>
      </c>
      <c r="O1094" s="155">
        <f t="shared" si="13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824</v>
      </c>
      <c r="D1095" s="213" t="s">
        <v>49</v>
      </c>
      <c r="E1095" s="214" t="s">
        <v>14</v>
      </c>
      <c r="F1095" s="215">
        <v>12300</v>
      </c>
      <c r="G1095" s="215">
        <v>12300</v>
      </c>
      <c r="H1095" s="171"/>
      <c r="I1095" s="88">
        <f t="shared" si="147"/>
        <v>12300</v>
      </c>
      <c r="J1095" s="163">
        <f t="shared" si="133"/>
        <v>0</v>
      </c>
      <c r="K1095" s="155">
        <f t="shared" si="13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35"/>
        <v>0</v>
      </c>
      <c r="O1095" s="155">
        <f t="shared" si="13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825</v>
      </c>
      <c r="D1096" s="213" t="s">
        <v>49</v>
      </c>
      <c r="E1096" s="214" t="s">
        <v>14</v>
      </c>
      <c r="F1096" s="215">
        <v>16500</v>
      </c>
      <c r="G1096" s="215">
        <v>16500</v>
      </c>
      <c r="H1096" s="171"/>
      <c r="I1096" s="88">
        <f t="shared" si="147"/>
        <v>16500</v>
      </c>
      <c r="J1096" s="163">
        <f t="shared" si="133"/>
        <v>0</v>
      </c>
      <c r="K1096" s="155">
        <f t="shared" si="13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35"/>
        <v>0</v>
      </c>
      <c r="O1096" s="155">
        <f t="shared" si="13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826</v>
      </c>
      <c r="D1097" s="213" t="s">
        <v>49</v>
      </c>
      <c r="E1097" s="214" t="s">
        <v>14</v>
      </c>
      <c r="F1097" s="215">
        <v>16500</v>
      </c>
      <c r="G1097" s="215">
        <v>16500</v>
      </c>
      <c r="H1097" s="171"/>
      <c r="I1097" s="88">
        <f t="shared" si="147"/>
        <v>16500</v>
      </c>
      <c r="J1097" s="163">
        <f t="shared" si="133"/>
        <v>0</v>
      </c>
      <c r="K1097" s="155">
        <f t="shared" si="13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35"/>
        <v>0</v>
      </c>
      <c r="O1097" s="155">
        <f t="shared" si="13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827</v>
      </c>
      <c r="D1098" s="213" t="s">
        <v>49</v>
      </c>
      <c r="E1098" s="214" t="s">
        <v>14</v>
      </c>
      <c r="F1098" s="215">
        <v>13260</v>
      </c>
      <c r="G1098" s="215">
        <v>13260</v>
      </c>
      <c r="H1098" s="171"/>
      <c r="I1098" s="88">
        <f t="shared" si="147"/>
        <v>13260</v>
      </c>
      <c r="J1098" s="163">
        <f t="shared" si="133"/>
        <v>0</v>
      </c>
      <c r="K1098" s="155">
        <f t="shared" si="13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35"/>
        <v>0</v>
      </c>
      <c r="O1098" s="155">
        <f t="shared" si="136"/>
        <v>0</v>
      </c>
      <c r="P1098" s="155">
        <f>IF(O1098=1,SUM($O$6:O1098),0)</f>
        <v>0</v>
      </c>
    </row>
    <row r="1099" spans="1:16" ht="15" customHeight="1">
      <c r="A1099" s="15"/>
      <c r="B1099" s="194"/>
      <c r="C1099" s="109" t="s">
        <v>50</v>
      </c>
      <c r="D1099" s="213" t="s">
        <v>50</v>
      </c>
      <c r="E1099" s="214"/>
      <c r="F1099" s="215">
        <v>0</v>
      </c>
      <c r="G1099" s="215">
        <v>0</v>
      </c>
      <c r="H1099" s="171"/>
      <c r="I1099" s="88">
        <f t="shared" si="147"/>
        <v>0</v>
      </c>
      <c r="J1099" s="163">
        <f t="shared" si="133"/>
        <v>0</v>
      </c>
      <c r="K1099" s="155">
        <f t="shared" si="13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35"/>
        <v>0</v>
      </c>
      <c r="O1099" s="155">
        <f t="shared" si="136"/>
        <v>0</v>
      </c>
      <c r="P1099" s="155">
        <f>IF(O1099=1,SUM($O$6:O1099),0)</f>
        <v>0</v>
      </c>
    </row>
    <row r="1100" spans="1:16" ht="15" customHeight="1">
      <c r="A1100" s="15"/>
      <c r="B1100" s="194" t="s">
        <v>1035</v>
      </c>
      <c r="C1100" s="109" t="s">
        <v>644</v>
      </c>
      <c r="D1100" s="213" t="s">
        <v>50</v>
      </c>
      <c r="E1100" s="214"/>
      <c r="F1100" s="215">
        <v>0</v>
      </c>
      <c r="G1100" s="215">
        <v>0</v>
      </c>
      <c r="H1100" s="171"/>
      <c r="I1100" s="88">
        <f t="shared" si="147"/>
        <v>0</v>
      </c>
      <c r="J1100" s="163">
        <f t="shared" si="133"/>
        <v>0</v>
      </c>
      <c r="K1100" s="155">
        <f t="shared" si="13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35"/>
        <v>0</v>
      </c>
      <c r="O1100" s="155">
        <f t="shared" si="13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828</v>
      </c>
      <c r="D1101" s="213" t="s">
        <v>49</v>
      </c>
      <c r="E1101" s="214" t="s">
        <v>14</v>
      </c>
      <c r="F1101" s="215">
        <v>31920</v>
      </c>
      <c r="G1101" s="215">
        <v>31920</v>
      </c>
      <c r="H1101" s="171"/>
      <c r="I1101" s="88">
        <f t="shared" si="147"/>
        <v>31920</v>
      </c>
      <c r="J1101" s="163">
        <f t="shared" si="133"/>
        <v>0</v>
      </c>
      <c r="K1101" s="155">
        <f t="shared" si="13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35"/>
        <v>0</v>
      </c>
      <c r="O1101" s="155">
        <f t="shared" si="13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829</v>
      </c>
      <c r="D1102" s="213" t="s">
        <v>49</v>
      </c>
      <c r="E1102" s="214" t="s">
        <v>14</v>
      </c>
      <c r="F1102" s="215">
        <v>31920</v>
      </c>
      <c r="G1102" s="215">
        <v>31920</v>
      </c>
      <c r="H1102" s="171"/>
      <c r="I1102" s="88">
        <f t="shared" si="147"/>
        <v>31920</v>
      </c>
      <c r="J1102" s="163">
        <f t="shared" si="133"/>
        <v>0</v>
      </c>
      <c r="K1102" s="155">
        <f t="shared" si="13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35"/>
        <v>0</v>
      </c>
      <c r="O1102" s="155">
        <f t="shared" si="13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830</v>
      </c>
      <c r="D1103" s="213" t="s">
        <v>49</v>
      </c>
      <c r="E1103" s="214" t="s">
        <v>14</v>
      </c>
      <c r="F1103" s="215">
        <v>31920</v>
      </c>
      <c r="G1103" s="215">
        <v>31920</v>
      </c>
      <c r="H1103" s="171"/>
      <c r="I1103" s="88">
        <f t="shared" si="147"/>
        <v>31920</v>
      </c>
      <c r="J1103" s="163">
        <f t="shared" si="133"/>
        <v>0</v>
      </c>
      <c r="K1103" s="155">
        <f t="shared" si="13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35"/>
        <v>0</v>
      </c>
      <c r="O1103" s="155">
        <f t="shared" si="13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831</v>
      </c>
      <c r="D1104" s="213" t="s">
        <v>49</v>
      </c>
      <c r="E1104" s="214" t="s">
        <v>14</v>
      </c>
      <c r="F1104" s="215">
        <v>48060</v>
      </c>
      <c r="G1104" s="215">
        <v>48060</v>
      </c>
      <c r="H1104" s="171"/>
      <c r="I1104" s="88">
        <f t="shared" si="147"/>
        <v>48060</v>
      </c>
      <c r="J1104" s="163">
        <f t="shared" si="133"/>
        <v>0</v>
      </c>
      <c r="K1104" s="155">
        <f t="shared" si="13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35"/>
        <v>0</v>
      </c>
      <c r="O1104" s="155">
        <f t="shared" si="13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832</v>
      </c>
      <c r="D1105" s="213" t="s">
        <v>49</v>
      </c>
      <c r="E1105" s="214" t="s">
        <v>14</v>
      </c>
      <c r="F1105" s="215">
        <v>16200</v>
      </c>
      <c r="G1105" s="215">
        <v>16200</v>
      </c>
      <c r="H1105" s="171"/>
      <c r="I1105" s="88">
        <f t="shared" si="147"/>
        <v>16200</v>
      </c>
      <c r="J1105" s="163">
        <f t="shared" si="133"/>
        <v>0</v>
      </c>
      <c r="K1105" s="155">
        <f t="shared" si="13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35"/>
        <v>0</v>
      </c>
      <c r="O1105" s="155">
        <f t="shared" si="13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833</v>
      </c>
      <c r="D1106" s="213" t="s">
        <v>49</v>
      </c>
      <c r="E1106" s="214" t="s">
        <v>14</v>
      </c>
      <c r="F1106" s="215">
        <v>48060</v>
      </c>
      <c r="G1106" s="215">
        <v>48060</v>
      </c>
      <c r="H1106" s="171"/>
      <c r="I1106" s="88">
        <f t="shared" si="147"/>
        <v>48060</v>
      </c>
      <c r="J1106" s="163">
        <f t="shared" si="133"/>
        <v>0</v>
      </c>
      <c r="K1106" s="155">
        <f t="shared" si="13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35"/>
        <v>0</v>
      </c>
      <c r="O1106" s="155">
        <f t="shared" si="13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834</v>
      </c>
      <c r="D1107" s="213" t="s">
        <v>49</v>
      </c>
      <c r="E1107" s="214" t="s">
        <v>14</v>
      </c>
      <c r="F1107" s="215">
        <v>50400</v>
      </c>
      <c r="G1107" s="215">
        <v>50400</v>
      </c>
      <c r="H1107" s="171"/>
      <c r="I1107" s="88">
        <f t="shared" si="147"/>
        <v>50400</v>
      </c>
      <c r="J1107" s="163">
        <f t="shared" si="133"/>
        <v>0</v>
      </c>
      <c r="K1107" s="155">
        <f t="shared" si="13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35"/>
        <v>0</v>
      </c>
      <c r="O1107" s="155">
        <f t="shared" si="13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835</v>
      </c>
      <c r="D1108" s="213" t="s">
        <v>49</v>
      </c>
      <c r="E1108" s="214" t="s">
        <v>14</v>
      </c>
      <c r="F1108" s="215">
        <v>26400</v>
      </c>
      <c r="G1108" s="215">
        <v>26400</v>
      </c>
      <c r="H1108" s="171"/>
      <c r="I1108" s="88">
        <f t="shared" si="147"/>
        <v>26400</v>
      </c>
      <c r="J1108" s="163">
        <f t="shared" si="133"/>
        <v>0</v>
      </c>
      <c r="K1108" s="155">
        <f t="shared" si="13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35"/>
        <v>0</v>
      </c>
      <c r="O1108" s="155">
        <f t="shared" si="13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836</v>
      </c>
      <c r="D1109" s="213" t="s">
        <v>49</v>
      </c>
      <c r="E1109" s="214" t="s">
        <v>14</v>
      </c>
      <c r="F1109" s="215">
        <v>42180</v>
      </c>
      <c r="G1109" s="215">
        <v>42180</v>
      </c>
      <c r="H1109" s="171"/>
      <c r="I1109" s="88">
        <f t="shared" si="147"/>
        <v>42180</v>
      </c>
      <c r="J1109" s="163">
        <f t="shared" si="133"/>
        <v>0</v>
      </c>
      <c r="K1109" s="155">
        <f t="shared" si="13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35"/>
        <v>0</v>
      </c>
      <c r="O1109" s="155">
        <f t="shared" si="13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837</v>
      </c>
      <c r="D1110" s="213" t="s">
        <v>49</v>
      </c>
      <c r="E1110" s="214" t="s">
        <v>14</v>
      </c>
      <c r="F1110" s="215">
        <v>42180</v>
      </c>
      <c r="G1110" s="215">
        <v>42180</v>
      </c>
      <c r="H1110" s="171"/>
      <c r="I1110" s="88">
        <f t="shared" si="147"/>
        <v>42180</v>
      </c>
      <c r="J1110" s="163">
        <f t="shared" si="133"/>
        <v>0</v>
      </c>
      <c r="K1110" s="155">
        <f t="shared" si="13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35"/>
        <v>0</v>
      </c>
      <c r="O1110" s="155">
        <f t="shared" si="13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838</v>
      </c>
      <c r="D1111" s="213" t="s">
        <v>49</v>
      </c>
      <c r="E1111" s="214" t="s">
        <v>14</v>
      </c>
      <c r="F1111" s="215">
        <v>27120</v>
      </c>
      <c r="G1111" s="215">
        <v>27120</v>
      </c>
      <c r="H1111" s="171"/>
      <c r="I1111" s="88">
        <f t="shared" si="147"/>
        <v>27120</v>
      </c>
      <c r="J1111" s="163">
        <f t="shared" si="133"/>
        <v>0</v>
      </c>
      <c r="K1111" s="155">
        <f t="shared" si="13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35"/>
        <v>0</v>
      </c>
      <c r="O1111" s="155">
        <f t="shared" si="13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839</v>
      </c>
      <c r="D1112" s="213" t="s">
        <v>49</v>
      </c>
      <c r="E1112" s="214" t="s">
        <v>14</v>
      </c>
      <c r="F1112" s="215">
        <v>46800</v>
      </c>
      <c r="G1112" s="215">
        <v>46800</v>
      </c>
      <c r="H1112" s="171"/>
      <c r="I1112" s="88">
        <f t="shared" si="147"/>
        <v>46800</v>
      </c>
      <c r="J1112" s="163">
        <f t="shared" ref="J1112:J1175" si="148">IF(D1112="MDU-KD",1,0)</f>
        <v>0</v>
      </c>
      <c r="K1112" s="155">
        <f t="shared" ref="K1112:K1175" si="14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150">IF(L1112=0,M1112,L1112)</f>
        <v>0</v>
      </c>
      <c r="O1112" s="155">
        <f t="shared" ref="O1112:O1175" si="15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840</v>
      </c>
      <c r="D1113" s="213" t="s">
        <v>49</v>
      </c>
      <c r="E1113" s="214" t="s">
        <v>14</v>
      </c>
      <c r="F1113" s="215">
        <v>46800</v>
      </c>
      <c r="G1113" s="215">
        <v>46800</v>
      </c>
      <c r="H1113" s="171"/>
      <c r="I1113" s="88">
        <f t="shared" si="147"/>
        <v>46800</v>
      </c>
      <c r="J1113" s="163">
        <f t="shared" si="148"/>
        <v>0</v>
      </c>
      <c r="K1113" s="155">
        <f t="shared" si="14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50"/>
        <v>0</v>
      </c>
      <c r="O1113" s="155">
        <f t="shared" si="15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841</v>
      </c>
      <c r="D1114" s="213" t="s">
        <v>49</v>
      </c>
      <c r="E1114" s="214" t="s">
        <v>14</v>
      </c>
      <c r="F1114" s="215">
        <v>45240</v>
      </c>
      <c r="G1114" s="215">
        <v>45240</v>
      </c>
      <c r="H1114" s="171"/>
      <c r="I1114" s="88">
        <f t="shared" si="147"/>
        <v>45240</v>
      </c>
      <c r="J1114" s="163">
        <f t="shared" si="148"/>
        <v>0</v>
      </c>
      <c r="K1114" s="155">
        <f t="shared" si="14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50"/>
        <v>0</v>
      </c>
      <c r="O1114" s="155">
        <f t="shared" si="15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842</v>
      </c>
      <c r="D1115" s="213" t="s">
        <v>49</v>
      </c>
      <c r="E1115" s="214" t="s">
        <v>14</v>
      </c>
      <c r="F1115" s="215">
        <v>22740</v>
      </c>
      <c r="G1115" s="215">
        <v>22740</v>
      </c>
      <c r="H1115" s="171"/>
      <c r="I1115" s="88">
        <f t="shared" si="147"/>
        <v>22740</v>
      </c>
      <c r="J1115" s="163">
        <f t="shared" si="148"/>
        <v>0</v>
      </c>
      <c r="K1115" s="155">
        <f t="shared" si="14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50"/>
        <v>0</v>
      </c>
      <c r="O1115" s="155">
        <f t="shared" si="15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843</v>
      </c>
      <c r="D1116" s="213" t="s">
        <v>49</v>
      </c>
      <c r="E1116" s="214" t="s">
        <v>14</v>
      </c>
      <c r="F1116" s="215">
        <v>22740</v>
      </c>
      <c r="G1116" s="215">
        <v>22740</v>
      </c>
      <c r="H1116" s="171"/>
      <c r="I1116" s="88">
        <f t="shared" si="147"/>
        <v>22740</v>
      </c>
      <c r="J1116" s="163">
        <f t="shared" si="148"/>
        <v>0</v>
      </c>
      <c r="K1116" s="155">
        <f t="shared" si="14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50"/>
        <v>0</v>
      </c>
      <c r="O1116" s="155">
        <f t="shared" si="15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844</v>
      </c>
      <c r="D1117" s="213" t="s">
        <v>49</v>
      </c>
      <c r="E1117" s="214" t="s">
        <v>14</v>
      </c>
      <c r="F1117" s="215">
        <v>24420</v>
      </c>
      <c r="G1117" s="215">
        <v>24420</v>
      </c>
      <c r="H1117" s="171"/>
      <c r="I1117" s="88">
        <f t="shared" si="147"/>
        <v>24420</v>
      </c>
      <c r="J1117" s="163">
        <f t="shared" si="148"/>
        <v>0</v>
      </c>
      <c r="K1117" s="155">
        <f t="shared" si="14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50"/>
        <v>0</v>
      </c>
      <c r="O1117" s="155">
        <f t="shared" si="15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845</v>
      </c>
      <c r="D1118" s="213" t="s">
        <v>49</v>
      </c>
      <c r="E1118" s="214" t="s">
        <v>14</v>
      </c>
      <c r="F1118" s="215">
        <v>24420</v>
      </c>
      <c r="G1118" s="215">
        <v>24420</v>
      </c>
      <c r="H1118" s="171"/>
      <c r="I1118" s="88">
        <f t="shared" si="147"/>
        <v>24420</v>
      </c>
      <c r="J1118" s="163">
        <f t="shared" si="148"/>
        <v>0</v>
      </c>
      <c r="K1118" s="155">
        <f t="shared" si="14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50"/>
        <v>0</v>
      </c>
      <c r="O1118" s="155">
        <f t="shared" si="15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846</v>
      </c>
      <c r="D1119" s="213" t="s">
        <v>49</v>
      </c>
      <c r="E1119" s="214" t="s">
        <v>14</v>
      </c>
      <c r="F1119" s="215">
        <v>24420</v>
      </c>
      <c r="G1119" s="215">
        <v>24420</v>
      </c>
      <c r="H1119" s="171"/>
      <c r="I1119" s="88">
        <f t="shared" si="147"/>
        <v>24420</v>
      </c>
      <c r="J1119" s="163">
        <f t="shared" si="148"/>
        <v>0</v>
      </c>
      <c r="K1119" s="155">
        <f t="shared" si="14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50"/>
        <v>0</v>
      </c>
      <c r="O1119" s="155">
        <f t="shared" si="15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847</v>
      </c>
      <c r="D1120" s="213" t="s">
        <v>49</v>
      </c>
      <c r="E1120" s="214" t="s">
        <v>14</v>
      </c>
      <c r="F1120" s="215">
        <v>24420</v>
      </c>
      <c r="G1120" s="215">
        <v>24420</v>
      </c>
      <c r="H1120" s="171"/>
      <c r="I1120" s="88">
        <f t="shared" si="147"/>
        <v>24420</v>
      </c>
      <c r="J1120" s="163">
        <f t="shared" si="148"/>
        <v>0</v>
      </c>
      <c r="K1120" s="155">
        <f t="shared" si="14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50"/>
        <v>0</v>
      </c>
      <c r="O1120" s="155">
        <f t="shared" si="15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848</v>
      </c>
      <c r="D1121" s="213" t="s">
        <v>49</v>
      </c>
      <c r="E1121" s="214" t="s">
        <v>14</v>
      </c>
      <c r="F1121" s="215">
        <v>21720</v>
      </c>
      <c r="G1121" s="215">
        <v>21720</v>
      </c>
      <c r="H1121" s="171"/>
      <c r="I1121" s="88">
        <f t="shared" si="147"/>
        <v>21720</v>
      </c>
      <c r="J1121" s="163">
        <f t="shared" si="148"/>
        <v>0</v>
      </c>
      <c r="K1121" s="155">
        <f t="shared" si="14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50"/>
        <v>0</v>
      </c>
      <c r="O1121" s="155">
        <f t="shared" si="15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849</v>
      </c>
      <c r="D1122" s="213" t="s">
        <v>49</v>
      </c>
      <c r="E1122" s="214" t="s">
        <v>14</v>
      </c>
      <c r="F1122" s="215">
        <v>20100</v>
      </c>
      <c r="G1122" s="215">
        <v>20100</v>
      </c>
      <c r="H1122" s="171"/>
      <c r="I1122" s="88">
        <f t="shared" si="147"/>
        <v>20100</v>
      </c>
      <c r="J1122" s="163">
        <f t="shared" si="148"/>
        <v>0</v>
      </c>
      <c r="K1122" s="155">
        <f t="shared" si="14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50"/>
        <v>0</v>
      </c>
      <c r="O1122" s="155">
        <f t="shared" si="15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850</v>
      </c>
      <c r="D1123" s="213" t="s">
        <v>49</v>
      </c>
      <c r="E1123" s="214" t="s">
        <v>14</v>
      </c>
      <c r="F1123" s="215">
        <v>20100</v>
      </c>
      <c r="G1123" s="215">
        <v>20100</v>
      </c>
      <c r="H1123" s="171"/>
      <c r="I1123" s="88">
        <f t="shared" si="147"/>
        <v>20100</v>
      </c>
      <c r="J1123" s="163">
        <f t="shared" si="148"/>
        <v>0</v>
      </c>
      <c r="K1123" s="155">
        <f t="shared" si="14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50"/>
        <v>0</v>
      </c>
      <c r="O1123" s="155">
        <f t="shared" si="15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851</v>
      </c>
      <c r="D1124" s="213" t="s">
        <v>49</v>
      </c>
      <c r="E1124" s="214" t="s">
        <v>14</v>
      </c>
      <c r="F1124" s="215">
        <v>20100</v>
      </c>
      <c r="G1124" s="215">
        <v>20100</v>
      </c>
      <c r="H1124" s="171"/>
      <c r="I1124" s="88">
        <f t="shared" si="147"/>
        <v>20100</v>
      </c>
      <c r="J1124" s="163">
        <f t="shared" si="148"/>
        <v>0</v>
      </c>
      <c r="K1124" s="155">
        <f t="shared" si="14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50"/>
        <v>0</v>
      </c>
      <c r="O1124" s="155">
        <f t="shared" si="15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852</v>
      </c>
      <c r="D1125" s="213" t="s">
        <v>49</v>
      </c>
      <c r="E1125" s="214" t="s">
        <v>14</v>
      </c>
      <c r="F1125" s="215">
        <v>20100</v>
      </c>
      <c r="G1125" s="215">
        <v>20100</v>
      </c>
      <c r="H1125" s="171"/>
      <c r="I1125" s="88">
        <f t="shared" si="147"/>
        <v>20100</v>
      </c>
      <c r="J1125" s="163">
        <f t="shared" si="148"/>
        <v>0</v>
      </c>
      <c r="K1125" s="155">
        <f t="shared" si="14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50"/>
        <v>0</v>
      </c>
      <c r="O1125" s="155">
        <f t="shared" si="15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853</v>
      </c>
      <c r="D1126" s="213" t="s">
        <v>49</v>
      </c>
      <c r="E1126" s="214" t="s">
        <v>14</v>
      </c>
      <c r="F1126" s="215">
        <v>42240</v>
      </c>
      <c r="G1126" s="215">
        <v>42240</v>
      </c>
      <c r="H1126" s="171"/>
      <c r="I1126" s="88">
        <f t="shared" si="147"/>
        <v>42240</v>
      </c>
      <c r="J1126" s="163">
        <f t="shared" si="148"/>
        <v>0</v>
      </c>
      <c r="K1126" s="155">
        <f t="shared" si="14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50"/>
        <v>0</v>
      </c>
      <c r="O1126" s="155">
        <f t="shared" si="15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854</v>
      </c>
      <c r="D1127" s="213" t="s">
        <v>49</v>
      </c>
      <c r="E1127" s="214" t="s">
        <v>14</v>
      </c>
      <c r="F1127" s="215">
        <v>42240</v>
      </c>
      <c r="G1127" s="215">
        <v>42240</v>
      </c>
      <c r="H1127" s="171"/>
      <c r="I1127" s="88">
        <f t="shared" si="147"/>
        <v>42240</v>
      </c>
      <c r="J1127" s="163">
        <f t="shared" si="148"/>
        <v>0</v>
      </c>
      <c r="K1127" s="155">
        <f t="shared" si="14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50"/>
        <v>0</v>
      </c>
      <c r="O1127" s="155">
        <f t="shared" si="15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855</v>
      </c>
      <c r="D1128" s="213" t="s">
        <v>49</v>
      </c>
      <c r="E1128" s="214" t="s">
        <v>14</v>
      </c>
      <c r="F1128" s="215">
        <v>40260</v>
      </c>
      <c r="G1128" s="215">
        <v>40260</v>
      </c>
      <c r="H1128" s="171"/>
      <c r="I1128" s="88">
        <f t="shared" si="147"/>
        <v>40260</v>
      </c>
      <c r="J1128" s="163">
        <f t="shared" si="148"/>
        <v>0</v>
      </c>
      <c r="K1128" s="155">
        <f t="shared" si="14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50"/>
        <v>0</v>
      </c>
      <c r="O1128" s="155">
        <f t="shared" si="15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856</v>
      </c>
      <c r="D1129" s="213" t="s">
        <v>49</v>
      </c>
      <c r="E1129" s="214" t="s">
        <v>14</v>
      </c>
      <c r="F1129" s="215">
        <v>28020</v>
      </c>
      <c r="G1129" s="215">
        <v>28020</v>
      </c>
      <c r="H1129" s="171"/>
      <c r="I1129" s="88">
        <f t="shared" si="147"/>
        <v>28020</v>
      </c>
      <c r="J1129" s="163">
        <f t="shared" si="148"/>
        <v>0</v>
      </c>
      <c r="K1129" s="155">
        <f t="shared" si="14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50"/>
        <v>0</v>
      </c>
      <c r="O1129" s="155">
        <f t="shared" si="15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857</v>
      </c>
      <c r="D1130" s="213" t="s">
        <v>49</v>
      </c>
      <c r="E1130" s="214" t="s">
        <v>14</v>
      </c>
      <c r="F1130" s="215">
        <v>28020</v>
      </c>
      <c r="G1130" s="215">
        <v>28020</v>
      </c>
      <c r="H1130" s="171"/>
      <c r="I1130" s="88">
        <f t="shared" si="147"/>
        <v>28020</v>
      </c>
      <c r="J1130" s="163">
        <f t="shared" si="148"/>
        <v>0</v>
      </c>
      <c r="K1130" s="155">
        <f t="shared" si="14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50"/>
        <v>0</v>
      </c>
      <c r="O1130" s="155">
        <f t="shared" si="15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858</v>
      </c>
      <c r="D1131" s="213" t="s">
        <v>49</v>
      </c>
      <c r="E1131" s="214" t="s">
        <v>14</v>
      </c>
      <c r="F1131" s="215">
        <v>45360</v>
      </c>
      <c r="G1131" s="215">
        <v>45360</v>
      </c>
      <c r="H1131" s="171"/>
      <c r="I1131" s="88">
        <f t="shared" si="147"/>
        <v>45360</v>
      </c>
      <c r="J1131" s="163">
        <f t="shared" si="148"/>
        <v>0</v>
      </c>
      <c r="K1131" s="155">
        <f t="shared" si="14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50"/>
        <v>0</v>
      </c>
      <c r="O1131" s="155">
        <f t="shared" si="15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859</v>
      </c>
      <c r="D1132" s="213" t="s">
        <v>49</v>
      </c>
      <c r="E1132" s="214" t="s">
        <v>14</v>
      </c>
      <c r="F1132" s="215">
        <v>45360</v>
      </c>
      <c r="G1132" s="215">
        <v>45360</v>
      </c>
      <c r="H1132" s="171"/>
      <c r="I1132" s="88">
        <f t="shared" si="147"/>
        <v>45360</v>
      </c>
      <c r="J1132" s="163">
        <f t="shared" si="148"/>
        <v>0</v>
      </c>
      <c r="K1132" s="155">
        <f t="shared" si="14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50"/>
        <v>0</v>
      </c>
      <c r="O1132" s="155">
        <f t="shared" si="15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860</v>
      </c>
      <c r="D1133" s="213" t="s">
        <v>49</v>
      </c>
      <c r="E1133" s="214" t="s">
        <v>14</v>
      </c>
      <c r="F1133" s="215">
        <v>36060</v>
      </c>
      <c r="G1133" s="215">
        <v>36060</v>
      </c>
      <c r="H1133" s="171"/>
      <c r="I1133" s="88">
        <f t="shared" si="147"/>
        <v>36060</v>
      </c>
      <c r="J1133" s="163">
        <f t="shared" si="148"/>
        <v>0</v>
      </c>
      <c r="K1133" s="155">
        <f t="shared" si="14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50"/>
        <v>0</v>
      </c>
      <c r="O1133" s="155">
        <f t="shared" si="15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861</v>
      </c>
      <c r="D1134" s="213" t="s">
        <v>49</v>
      </c>
      <c r="E1134" s="214" t="s">
        <v>14</v>
      </c>
      <c r="F1134" s="215">
        <v>33660</v>
      </c>
      <c r="G1134" s="215">
        <v>33660</v>
      </c>
      <c r="H1134" s="171"/>
      <c r="I1134" s="88">
        <f t="shared" si="147"/>
        <v>33660</v>
      </c>
      <c r="J1134" s="163">
        <f t="shared" si="148"/>
        <v>0</v>
      </c>
      <c r="K1134" s="155">
        <f t="shared" si="14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50"/>
        <v>0</v>
      </c>
      <c r="O1134" s="155">
        <f t="shared" si="151"/>
        <v>0</v>
      </c>
      <c r="P1134" s="155">
        <f>IF(O1134=1,SUM($O$6:O1134),0)</f>
        <v>0</v>
      </c>
    </row>
    <row r="1135" spans="1:16" ht="15" customHeight="1">
      <c r="A1135" s="15"/>
      <c r="B1135" s="194"/>
      <c r="C1135" s="109" t="s">
        <v>50</v>
      </c>
      <c r="D1135" s="213" t="s">
        <v>50</v>
      </c>
      <c r="E1135" s="214"/>
      <c r="F1135" s="215">
        <v>0</v>
      </c>
      <c r="G1135" s="215">
        <v>0</v>
      </c>
      <c r="H1135" s="171"/>
      <c r="I1135" s="88">
        <f t="shared" si="147"/>
        <v>0</v>
      </c>
      <c r="J1135" s="163">
        <f t="shared" si="148"/>
        <v>0</v>
      </c>
      <c r="K1135" s="155">
        <f t="shared" si="14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50"/>
        <v>0</v>
      </c>
      <c r="O1135" s="155">
        <f t="shared" si="151"/>
        <v>0</v>
      </c>
      <c r="P1135" s="155">
        <f>IF(O1135=1,SUM($O$6:O1135),0)</f>
        <v>0</v>
      </c>
    </row>
    <row r="1136" spans="1:16" ht="15" customHeight="1">
      <c r="A1136" s="15"/>
      <c r="B1136" s="194" t="s">
        <v>1035</v>
      </c>
      <c r="C1136" s="109" t="s">
        <v>679</v>
      </c>
      <c r="D1136" s="213" t="s">
        <v>50</v>
      </c>
      <c r="E1136" s="214"/>
      <c r="F1136" s="215">
        <v>0</v>
      </c>
      <c r="G1136" s="215">
        <v>0</v>
      </c>
      <c r="H1136" s="171"/>
      <c r="I1136" s="88">
        <f t="shared" ref="I1136:I1199" si="152">IF($I$5=$G$4,G1136,(IF($I$5=$F$4,F1136,0)))</f>
        <v>0</v>
      </c>
      <c r="J1136" s="163">
        <f t="shared" si="148"/>
        <v>0</v>
      </c>
      <c r="K1136" s="155">
        <f t="shared" si="14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50"/>
        <v>0</v>
      </c>
      <c r="O1136" s="155">
        <f t="shared" si="15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862</v>
      </c>
      <c r="D1137" s="213" t="s">
        <v>49</v>
      </c>
      <c r="E1137" s="214" t="s">
        <v>14</v>
      </c>
      <c r="F1137" s="215">
        <v>38820</v>
      </c>
      <c r="G1137" s="215">
        <v>38820</v>
      </c>
      <c r="H1137" s="171"/>
      <c r="I1137" s="88">
        <f t="shared" si="152"/>
        <v>38820</v>
      </c>
      <c r="J1137" s="163">
        <f t="shared" si="148"/>
        <v>0</v>
      </c>
      <c r="K1137" s="155">
        <f t="shared" si="14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50"/>
        <v>0</v>
      </c>
      <c r="O1137" s="155">
        <f t="shared" si="15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863</v>
      </c>
      <c r="D1138" s="213" t="s">
        <v>49</v>
      </c>
      <c r="E1138" s="214" t="s">
        <v>14</v>
      </c>
      <c r="F1138" s="215">
        <v>38820</v>
      </c>
      <c r="G1138" s="215">
        <v>38820</v>
      </c>
      <c r="H1138" s="171"/>
      <c r="I1138" s="88">
        <f t="shared" si="152"/>
        <v>38820</v>
      </c>
      <c r="J1138" s="163">
        <f t="shared" si="148"/>
        <v>0</v>
      </c>
      <c r="K1138" s="155">
        <f t="shared" si="14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50"/>
        <v>0</v>
      </c>
      <c r="O1138" s="155">
        <f t="shared" si="15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864</v>
      </c>
      <c r="D1139" s="213" t="s">
        <v>49</v>
      </c>
      <c r="E1139" s="214" t="s">
        <v>14</v>
      </c>
      <c r="F1139" s="215">
        <v>47880</v>
      </c>
      <c r="G1139" s="215">
        <v>47880</v>
      </c>
      <c r="H1139" s="171"/>
      <c r="I1139" s="88">
        <f t="shared" si="152"/>
        <v>47880</v>
      </c>
      <c r="J1139" s="163">
        <f t="shared" si="148"/>
        <v>0</v>
      </c>
      <c r="K1139" s="155">
        <f t="shared" si="14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50"/>
        <v>0</v>
      </c>
      <c r="O1139" s="155">
        <f t="shared" si="15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865</v>
      </c>
      <c r="D1140" s="213" t="s">
        <v>49</v>
      </c>
      <c r="E1140" s="214" t="s">
        <v>14</v>
      </c>
      <c r="F1140" s="215">
        <v>49920</v>
      </c>
      <c r="G1140" s="215">
        <v>49920</v>
      </c>
      <c r="H1140" s="171"/>
      <c r="I1140" s="88">
        <f t="shared" si="152"/>
        <v>49920</v>
      </c>
      <c r="J1140" s="163">
        <f t="shared" si="148"/>
        <v>0</v>
      </c>
      <c r="K1140" s="155">
        <f t="shared" si="14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50"/>
        <v>0</v>
      </c>
      <c r="O1140" s="155">
        <f t="shared" si="15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866</v>
      </c>
      <c r="D1141" s="213" t="s">
        <v>49</v>
      </c>
      <c r="E1141" s="214" t="s">
        <v>14</v>
      </c>
      <c r="F1141" s="215">
        <v>64260</v>
      </c>
      <c r="G1141" s="215">
        <v>64260</v>
      </c>
      <c r="H1141" s="171"/>
      <c r="I1141" s="88">
        <f t="shared" si="152"/>
        <v>64260</v>
      </c>
      <c r="J1141" s="163">
        <f t="shared" si="148"/>
        <v>0</v>
      </c>
      <c r="K1141" s="155">
        <f t="shared" si="14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50"/>
        <v>0</v>
      </c>
      <c r="O1141" s="155">
        <f t="shared" si="15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867</v>
      </c>
      <c r="D1142" s="213" t="s">
        <v>49</v>
      </c>
      <c r="E1142" s="214" t="s">
        <v>14</v>
      </c>
      <c r="F1142" s="215">
        <v>110640</v>
      </c>
      <c r="G1142" s="215">
        <v>110640</v>
      </c>
      <c r="H1142" s="171"/>
      <c r="I1142" s="88">
        <f t="shared" si="152"/>
        <v>110640</v>
      </c>
      <c r="J1142" s="163">
        <f t="shared" si="148"/>
        <v>0</v>
      </c>
      <c r="K1142" s="155">
        <f t="shared" si="14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50"/>
        <v>0</v>
      </c>
      <c r="O1142" s="155">
        <f t="shared" si="151"/>
        <v>0</v>
      </c>
      <c r="P1142" s="155">
        <f>IF(O1142=1,SUM($O$6:O1142),0)</f>
        <v>0</v>
      </c>
    </row>
    <row r="1143" spans="1:16" ht="15" customHeight="1">
      <c r="A1143" s="15"/>
      <c r="B1143" s="194"/>
      <c r="C1143" s="109" t="s">
        <v>50</v>
      </c>
      <c r="D1143" s="213" t="s">
        <v>50</v>
      </c>
      <c r="E1143" s="214"/>
      <c r="F1143" s="215">
        <v>0</v>
      </c>
      <c r="G1143" s="215">
        <v>0</v>
      </c>
      <c r="H1143" s="171"/>
      <c r="I1143" s="88">
        <f t="shared" si="152"/>
        <v>0</v>
      </c>
      <c r="J1143" s="163">
        <f t="shared" si="148"/>
        <v>0</v>
      </c>
      <c r="K1143" s="155">
        <f t="shared" si="14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50"/>
        <v>0</v>
      </c>
      <c r="O1143" s="155">
        <f t="shared" si="151"/>
        <v>0</v>
      </c>
      <c r="P1143" s="155">
        <f>IF(O1143=1,SUM($O$6:O1143),0)</f>
        <v>0</v>
      </c>
    </row>
    <row r="1144" spans="1:16" ht="15" customHeight="1">
      <c r="A1144" s="15"/>
      <c r="B1144" s="194" t="s">
        <v>1035</v>
      </c>
      <c r="C1144" s="109" t="s">
        <v>686</v>
      </c>
      <c r="D1144" s="213" t="s">
        <v>50</v>
      </c>
      <c r="E1144" s="214"/>
      <c r="F1144" s="215">
        <v>0</v>
      </c>
      <c r="G1144" s="215">
        <v>0</v>
      </c>
      <c r="H1144" s="171"/>
      <c r="I1144" s="88">
        <f t="shared" si="152"/>
        <v>0</v>
      </c>
      <c r="J1144" s="163">
        <f t="shared" si="148"/>
        <v>0</v>
      </c>
      <c r="K1144" s="155">
        <f t="shared" si="14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50"/>
        <v>0</v>
      </c>
      <c r="O1144" s="155">
        <f t="shared" si="15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868</v>
      </c>
      <c r="D1145" s="213" t="s">
        <v>49</v>
      </c>
      <c r="E1145" s="214" t="s">
        <v>14</v>
      </c>
      <c r="F1145" s="215">
        <v>45120</v>
      </c>
      <c r="G1145" s="215">
        <v>45120</v>
      </c>
      <c r="H1145" s="171"/>
      <c r="I1145" s="88">
        <f t="shared" si="152"/>
        <v>45120</v>
      </c>
      <c r="J1145" s="163">
        <f t="shared" si="148"/>
        <v>0</v>
      </c>
      <c r="K1145" s="155">
        <f t="shared" si="14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50"/>
        <v>0</v>
      </c>
      <c r="O1145" s="155">
        <f t="shared" si="15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869</v>
      </c>
      <c r="D1146" s="213" t="s">
        <v>49</v>
      </c>
      <c r="E1146" s="214" t="s">
        <v>14</v>
      </c>
      <c r="F1146" s="215">
        <v>45120</v>
      </c>
      <c r="G1146" s="215">
        <v>45120</v>
      </c>
      <c r="H1146" s="171"/>
      <c r="I1146" s="88">
        <f t="shared" si="152"/>
        <v>45120</v>
      </c>
      <c r="J1146" s="163">
        <f t="shared" si="148"/>
        <v>0</v>
      </c>
      <c r="K1146" s="155">
        <f t="shared" si="14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50"/>
        <v>0</v>
      </c>
      <c r="O1146" s="155">
        <f t="shared" si="15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870</v>
      </c>
      <c r="D1147" s="213" t="s">
        <v>49</v>
      </c>
      <c r="E1147" s="214" t="s">
        <v>14</v>
      </c>
      <c r="F1147" s="215">
        <v>44940</v>
      </c>
      <c r="G1147" s="215">
        <v>44940</v>
      </c>
      <c r="H1147" s="171"/>
      <c r="I1147" s="88">
        <f t="shared" si="152"/>
        <v>44940</v>
      </c>
      <c r="J1147" s="163">
        <f t="shared" si="148"/>
        <v>0</v>
      </c>
      <c r="K1147" s="155">
        <f t="shared" si="14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50"/>
        <v>0</v>
      </c>
      <c r="O1147" s="155">
        <f t="shared" si="15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871</v>
      </c>
      <c r="D1148" s="213" t="s">
        <v>49</v>
      </c>
      <c r="E1148" s="214" t="s">
        <v>14</v>
      </c>
      <c r="F1148" s="215">
        <v>47640</v>
      </c>
      <c r="G1148" s="215">
        <v>47640</v>
      </c>
      <c r="H1148" s="171"/>
      <c r="I1148" s="88">
        <f t="shared" si="152"/>
        <v>47640</v>
      </c>
      <c r="J1148" s="163">
        <f t="shared" si="148"/>
        <v>0</v>
      </c>
      <c r="K1148" s="155">
        <f t="shared" si="14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50"/>
        <v>0</v>
      </c>
      <c r="O1148" s="155">
        <f t="shared" si="15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872</v>
      </c>
      <c r="D1149" s="213" t="s">
        <v>49</v>
      </c>
      <c r="E1149" s="214" t="s">
        <v>14</v>
      </c>
      <c r="F1149" s="215">
        <v>50340</v>
      </c>
      <c r="G1149" s="215">
        <v>50340</v>
      </c>
      <c r="H1149" s="171"/>
      <c r="I1149" s="88">
        <f t="shared" si="152"/>
        <v>50340</v>
      </c>
      <c r="J1149" s="163">
        <f t="shared" si="148"/>
        <v>0</v>
      </c>
      <c r="K1149" s="155">
        <f t="shared" si="14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50"/>
        <v>0</v>
      </c>
      <c r="O1149" s="155">
        <f t="shared" si="15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873</v>
      </c>
      <c r="D1150" s="213" t="s">
        <v>49</v>
      </c>
      <c r="E1150" s="214" t="s">
        <v>14</v>
      </c>
      <c r="F1150" s="215">
        <v>43860</v>
      </c>
      <c r="G1150" s="215">
        <v>43860</v>
      </c>
      <c r="H1150" s="171"/>
      <c r="I1150" s="88">
        <f t="shared" si="152"/>
        <v>43860</v>
      </c>
      <c r="J1150" s="163">
        <f t="shared" si="148"/>
        <v>0</v>
      </c>
      <c r="K1150" s="155">
        <f t="shared" si="14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50"/>
        <v>0</v>
      </c>
      <c r="O1150" s="155">
        <f t="shared" si="15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874</v>
      </c>
      <c r="D1151" s="213" t="s">
        <v>49</v>
      </c>
      <c r="E1151" s="214" t="s">
        <v>14</v>
      </c>
      <c r="F1151" s="215">
        <v>50940</v>
      </c>
      <c r="G1151" s="215">
        <v>50940</v>
      </c>
      <c r="H1151" s="171"/>
      <c r="I1151" s="88">
        <f t="shared" si="152"/>
        <v>50940</v>
      </c>
      <c r="J1151" s="163">
        <f t="shared" si="148"/>
        <v>0</v>
      </c>
      <c r="K1151" s="155">
        <f t="shared" si="14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50"/>
        <v>0</v>
      </c>
      <c r="O1151" s="155">
        <f t="shared" si="15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875</v>
      </c>
      <c r="D1152" s="213" t="s">
        <v>49</v>
      </c>
      <c r="E1152" s="214" t="s">
        <v>14</v>
      </c>
      <c r="F1152" s="215">
        <v>50940</v>
      </c>
      <c r="G1152" s="215">
        <v>50940</v>
      </c>
      <c r="H1152" s="171"/>
      <c r="I1152" s="88">
        <f t="shared" si="152"/>
        <v>50940</v>
      </c>
      <c r="J1152" s="163">
        <f t="shared" si="148"/>
        <v>0</v>
      </c>
      <c r="K1152" s="155">
        <f t="shared" si="14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50"/>
        <v>0</v>
      </c>
      <c r="O1152" s="155">
        <f t="shared" si="15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876</v>
      </c>
      <c r="D1153" s="213" t="s">
        <v>49</v>
      </c>
      <c r="E1153" s="214" t="s">
        <v>14</v>
      </c>
      <c r="F1153" s="215">
        <v>48240</v>
      </c>
      <c r="G1153" s="215">
        <v>48240</v>
      </c>
      <c r="H1153" s="171"/>
      <c r="I1153" s="88">
        <f t="shared" si="152"/>
        <v>48240</v>
      </c>
      <c r="J1153" s="163">
        <f t="shared" si="148"/>
        <v>0</v>
      </c>
      <c r="K1153" s="155">
        <f t="shared" si="14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50"/>
        <v>0</v>
      </c>
      <c r="O1153" s="155">
        <f t="shared" si="15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877</v>
      </c>
      <c r="D1154" s="213" t="s">
        <v>49</v>
      </c>
      <c r="E1154" s="214" t="s">
        <v>14</v>
      </c>
      <c r="F1154" s="215">
        <v>47280</v>
      </c>
      <c r="G1154" s="215">
        <v>47280</v>
      </c>
      <c r="H1154" s="171"/>
      <c r="I1154" s="88">
        <f t="shared" si="152"/>
        <v>47280</v>
      </c>
      <c r="J1154" s="163">
        <f t="shared" si="148"/>
        <v>0</v>
      </c>
      <c r="K1154" s="155">
        <f t="shared" si="14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50"/>
        <v>0</v>
      </c>
      <c r="O1154" s="155">
        <f t="shared" si="15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878</v>
      </c>
      <c r="D1155" s="213" t="s">
        <v>49</v>
      </c>
      <c r="E1155" s="214" t="s">
        <v>14</v>
      </c>
      <c r="F1155" s="215">
        <v>59940</v>
      </c>
      <c r="G1155" s="215">
        <v>59940</v>
      </c>
      <c r="H1155" s="171"/>
      <c r="I1155" s="88">
        <f t="shared" si="152"/>
        <v>59940</v>
      </c>
      <c r="J1155" s="163">
        <f t="shared" si="148"/>
        <v>0</v>
      </c>
      <c r="K1155" s="155">
        <f t="shared" si="14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50"/>
        <v>0</v>
      </c>
      <c r="O1155" s="155">
        <f t="shared" si="15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879</v>
      </c>
      <c r="D1156" s="213" t="s">
        <v>49</v>
      </c>
      <c r="E1156" s="214" t="s">
        <v>14</v>
      </c>
      <c r="F1156" s="215">
        <v>55080</v>
      </c>
      <c r="G1156" s="215">
        <v>55080</v>
      </c>
      <c r="H1156" s="171"/>
      <c r="I1156" s="88">
        <f t="shared" si="152"/>
        <v>55080</v>
      </c>
      <c r="J1156" s="163">
        <f t="shared" si="148"/>
        <v>0</v>
      </c>
      <c r="K1156" s="155">
        <f t="shared" si="14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50"/>
        <v>0</v>
      </c>
      <c r="O1156" s="155">
        <f t="shared" si="15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880</v>
      </c>
      <c r="D1157" s="213" t="s">
        <v>49</v>
      </c>
      <c r="E1157" s="214" t="s">
        <v>14</v>
      </c>
      <c r="F1157" s="215">
        <v>44640</v>
      </c>
      <c r="G1157" s="215">
        <v>44640</v>
      </c>
      <c r="H1157" s="171"/>
      <c r="I1157" s="88">
        <f t="shared" si="152"/>
        <v>44640</v>
      </c>
      <c r="J1157" s="163">
        <f t="shared" si="148"/>
        <v>0</v>
      </c>
      <c r="K1157" s="155">
        <f t="shared" si="14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50"/>
        <v>0</v>
      </c>
      <c r="O1157" s="155">
        <f t="shared" si="15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881</v>
      </c>
      <c r="D1158" s="213" t="s">
        <v>49</v>
      </c>
      <c r="E1158" s="214" t="s">
        <v>14</v>
      </c>
      <c r="F1158" s="215">
        <v>58920</v>
      </c>
      <c r="G1158" s="215">
        <v>58920</v>
      </c>
      <c r="H1158" s="171"/>
      <c r="I1158" s="88">
        <f t="shared" si="152"/>
        <v>58920</v>
      </c>
      <c r="J1158" s="163">
        <f t="shared" si="148"/>
        <v>0</v>
      </c>
      <c r="K1158" s="155">
        <f t="shared" si="14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50"/>
        <v>0</v>
      </c>
      <c r="O1158" s="155">
        <f t="shared" si="15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882</v>
      </c>
      <c r="D1159" s="213" t="s">
        <v>49</v>
      </c>
      <c r="E1159" s="214" t="s">
        <v>14</v>
      </c>
      <c r="F1159" s="215">
        <v>58920</v>
      </c>
      <c r="G1159" s="215">
        <v>58920</v>
      </c>
      <c r="H1159" s="171"/>
      <c r="I1159" s="88">
        <f t="shared" si="152"/>
        <v>58920</v>
      </c>
      <c r="J1159" s="163">
        <f t="shared" si="148"/>
        <v>0</v>
      </c>
      <c r="K1159" s="155">
        <f t="shared" si="14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50"/>
        <v>0</v>
      </c>
      <c r="O1159" s="155">
        <f t="shared" si="15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883</v>
      </c>
      <c r="D1160" s="213" t="s">
        <v>49</v>
      </c>
      <c r="E1160" s="214" t="s">
        <v>14</v>
      </c>
      <c r="F1160" s="215">
        <v>58140</v>
      </c>
      <c r="G1160" s="215">
        <v>58140</v>
      </c>
      <c r="H1160" s="171"/>
      <c r="I1160" s="88">
        <f t="shared" si="152"/>
        <v>58140</v>
      </c>
      <c r="J1160" s="163">
        <f t="shared" si="148"/>
        <v>0</v>
      </c>
      <c r="K1160" s="155">
        <f t="shared" si="14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50"/>
        <v>0</v>
      </c>
      <c r="O1160" s="155">
        <f t="shared" si="15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884</v>
      </c>
      <c r="D1161" s="213" t="s">
        <v>49</v>
      </c>
      <c r="E1161" s="214" t="s">
        <v>14</v>
      </c>
      <c r="F1161" s="215">
        <v>58140</v>
      </c>
      <c r="G1161" s="215">
        <v>58140</v>
      </c>
      <c r="H1161" s="171"/>
      <c r="I1161" s="88">
        <f t="shared" si="152"/>
        <v>58140</v>
      </c>
      <c r="J1161" s="163">
        <f t="shared" si="148"/>
        <v>0</v>
      </c>
      <c r="K1161" s="155">
        <f t="shared" si="14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50"/>
        <v>0</v>
      </c>
      <c r="O1161" s="155">
        <f t="shared" si="15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885</v>
      </c>
      <c r="D1162" s="213" t="s">
        <v>49</v>
      </c>
      <c r="E1162" s="214" t="s">
        <v>14</v>
      </c>
      <c r="F1162" s="215">
        <v>56340</v>
      </c>
      <c r="G1162" s="215">
        <v>56340</v>
      </c>
      <c r="H1162" s="171"/>
      <c r="I1162" s="88">
        <f t="shared" si="152"/>
        <v>56340</v>
      </c>
      <c r="J1162" s="163">
        <f t="shared" si="148"/>
        <v>0</v>
      </c>
      <c r="K1162" s="155">
        <f t="shared" si="14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50"/>
        <v>0</v>
      </c>
      <c r="O1162" s="155">
        <f t="shared" si="15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886</v>
      </c>
      <c r="D1163" s="213" t="s">
        <v>49</v>
      </c>
      <c r="E1163" s="214" t="s">
        <v>14</v>
      </c>
      <c r="F1163" s="215">
        <v>105060</v>
      </c>
      <c r="G1163" s="215">
        <v>105060</v>
      </c>
      <c r="H1163" s="171"/>
      <c r="I1163" s="88">
        <f t="shared" si="152"/>
        <v>105060</v>
      </c>
      <c r="J1163" s="163">
        <f t="shared" si="148"/>
        <v>0</v>
      </c>
      <c r="K1163" s="155">
        <f t="shared" si="14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50"/>
        <v>0</v>
      </c>
      <c r="O1163" s="155">
        <f t="shared" si="15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887</v>
      </c>
      <c r="D1164" s="213" t="s">
        <v>49</v>
      </c>
      <c r="E1164" s="214" t="s">
        <v>14</v>
      </c>
      <c r="F1164" s="215">
        <v>57540</v>
      </c>
      <c r="G1164" s="215">
        <v>57540</v>
      </c>
      <c r="H1164" s="171"/>
      <c r="I1164" s="88">
        <f t="shared" si="152"/>
        <v>57540</v>
      </c>
      <c r="J1164" s="163">
        <f t="shared" si="148"/>
        <v>0</v>
      </c>
      <c r="K1164" s="155">
        <f t="shared" si="14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50"/>
        <v>0</v>
      </c>
      <c r="O1164" s="155">
        <f t="shared" si="15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888</v>
      </c>
      <c r="D1165" s="213" t="s">
        <v>49</v>
      </c>
      <c r="E1165" s="214" t="s">
        <v>14</v>
      </c>
      <c r="F1165" s="215">
        <v>61080</v>
      </c>
      <c r="G1165" s="215">
        <v>61080</v>
      </c>
      <c r="H1165" s="171"/>
      <c r="I1165" s="88">
        <f t="shared" si="152"/>
        <v>61080</v>
      </c>
      <c r="J1165" s="163">
        <f t="shared" si="148"/>
        <v>0</v>
      </c>
      <c r="K1165" s="155">
        <f t="shared" si="14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50"/>
        <v>0</v>
      </c>
      <c r="O1165" s="155">
        <f t="shared" si="15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889</v>
      </c>
      <c r="D1166" s="213" t="s">
        <v>49</v>
      </c>
      <c r="E1166" s="214" t="s">
        <v>14</v>
      </c>
      <c r="F1166" s="215">
        <v>71880</v>
      </c>
      <c r="G1166" s="215">
        <v>71880</v>
      </c>
      <c r="H1166" s="171"/>
      <c r="I1166" s="88">
        <f t="shared" si="152"/>
        <v>71880</v>
      </c>
      <c r="J1166" s="163">
        <f t="shared" si="148"/>
        <v>0</v>
      </c>
      <c r="K1166" s="155">
        <f t="shared" si="14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50"/>
        <v>0</v>
      </c>
      <c r="O1166" s="155">
        <f t="shared" si="15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890</v>
      </c>
      <c r="D1167" s="213" t="s">
        <v>49</v>
      </c>
      <c r="E1167" s="214" t="s">
        <v>14</v>
      </c>
      <c r="F1167" s="215">
        <v>61080</v>
      </c>
      <c r="G1167" s="215">
        <v>61080</v>
      </c>
      <c r="H1167" s="171"/>
      <c r="I1167" s="88">
        <f t="shared" si="152"/>
        <v>61080</v>
      </c>
      <c r="J1167" s="163">
        <f t="shared" si="148"/>
        <v>0</v>
      </c>
      <c r="K1167" s="155">
        <f t="shared" si="14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50"/>
        <v>0</v>
      </c>
      <c r="O1167" s="155">
        <f t="shared" si="15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891</v>
      </c>
      <c r="D1168" s="213" t="s">
        <v>49</v>
      </c>
      <c r="E1168" s="214" t="s">
        <v>14</v>
      </c>
      <c r="F1168" s="215">
        <v>55860</v>
      </c>
      <c r="G1168" s="215">
        <v>55860</v>
      </c>
      <c r="H1168" s="171"/>
      <c r="I1168" s="88">
        <f t="shared" si="152"/>
        <v>55860</v>
      </c>
      <c r="J1168" s="163">
        <f t="shared" si="148"/>
        <v>0</v>
      </c>
      <c r="K1168" s="155">
        <f t="shared" si="14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50"/>
        <v>0</v>
      </c>
      <c r="O1168" s="155">
        <f t="shared" si="15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892</v>
      </c>
      <c r="D1169" s="213" t="s">
        <v>49</v>
      </c>
      <c r="E1169" s="214" t="s">
        <v>14</v>
      </c>
      <c r="F1169" s="215">
        <v>58680</v>
      </c>
      <c r="G1169" s="215">
        <v>58680</v>
      </c>
      <c r="H1169" s="171"/>
      <c r="I1169" s="88">
        <f t="shared" si="152"/>
        <v>58680</v>
      </c>
      <c r="J1169" s="163">
        <f t="shared" si="148"/>
        <v>0</v>
      </c>
      <c r="K1169" s="155">
        <f t="shared" si="14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50"/>
        <v>0</v>
      </c>
      <c r="O1169" s="155">
        <f t="shared" si="15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893</v>
      </c>
      <c r="D1170" s="213" t="s">
        <v>49</v>
      </c>
      <c r="E1170" s="214" t="s">
        <v>14</v>
      </c>
      <c r="F1170" s="215">
        <v>115680</v>
      </c>
      <c r="G1170" s="215">
        <v>115680</v>
      </c>
      <c r="H1170" s="171"/>
      <c r="I1170" s="88">
        <f t="shared" si="152"/>
        <v>115680</v>
      </c>
      <c r="J1170" s="163">
        <f t="shared" si="148"/>
        <v>0</v>
      </c>
      <c r="K1170" s="155">
        <f t="shared" si="14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50"/>
        <v>0</v>
      </c>
      <c r="O1170" s="155">
        <f t="shared" si="15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894</v>
      </c>
      <c r="D1171" s="213" t="s">
        <v>49</v>
      </c>
      <c r="E1171" s="214" t="s">
        <v>14</v>
      </c>
      <c r="F1171" s="215">
        <v>118500</v>
      </c>
      <c r="G1171" s="215">
        <v>118500</v>
      </c>
      <c r="H1171" s="171"/>
      <c r="I1171" s="88">
        <f t="shared" si="152"/>
        <v>118500</v>
      </c>
      <c r="J1171" s="163">
        <f t="shared" si="148"/>
        <v>0</v>
      </c>
      <c r="K1171" s="155">
        <f t="shared" si="14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50"/>
        <v>0</v>
      </c>
      <c r="O1171" s="155">
        <f t="shared" si="15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895</v>
      </c>
      <c r="D1172" s="213" t="s">
        <v>49</v>
      </c>
      <c r="E1172" s="214" t="s">
        <v>14</v>
      </c>
      <c r="F1172" s="215">
        <v>118500</v>
      </c>
      <c r="G1172" s="215">
        <v>118500</v>
      </c>
      <c r="H1172" s="171"/>
      <c r="I1172" s="88">
        <f t="shared" si="152"/>
        <v>118500</v>
      </c>
      <c r="J1172" s="163">
        <f t="shared" si="148"/>
        <v>0</v>
      </c>
      <c r="K1172" s="155">
        <f t="shared" si="14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50"/>
        <v>0</v>
      </c>
      <c r="O1172" s="155">
        <f t="shared" si="15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896</v>
      </c>
      <c r="D1173" s="213" t="s">
        <v>49</v>
      </c>
      <c r="E1173" s="214" t="s">
        <v>14</v>
      </c>
      <c r="F1173" s="215">
        <v>117900</v>
      </c>
      <c r="G1173" s="215">
        <v>117900</v>
      </c>
      <c r="H1173" s="171"/>
      <c r="I1173" s="88">
        <f t="shared" si="152"/>
        <v>117900</v>
      </c>
      <c r="J1173" s="163">
        <f t="shared" si="148"/>
        <v>0</v>
      </c>
      <c r="K1173" s="155">
        <f t="shared" si="14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50"/>
        <v>0</v>
      </c>
      <c r="O1173" s="155">
        <f t="shared" si="15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897</v>
      </c>
      <c r="D1174" s="213" t="s">
        <v>49</v>
      </c>
      <c r="E1174" s="214" t="s">
        <v>14</v>
      </c>
      <c r="F1174" s="215">
        <v>120120</v>
      </c>
      <c r="G1174" s="215">
        <v>120120</v>
      </c>
      <c r="H1174" s="171"/>
      <c r="I1174" s="88">
        <f t="shared" si="152"/>
        <v>120120</v>
      </c>
      <c r="J1174" s="163">
        <f t="shared" si="148"/>
        <v>0</v>
      </c>
      <c r="K1174" s="155">
        <f t="shared" si="14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50"/>
        <v>0</v>
      </c>
      <c r="O1174" s="155">
        <f t="shared" si="15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898</v>
      </c>
      <c r="D1175" s="213" t="s">
        <v>49</v>
      </c>
      <c r="E1175" s="214" t="s">
        <v>14</v>
      </c>
      <c r="F1175" s="215">
        <v>50460</v>
      </c>
      <c r="G1175" s="215">
        <v>50460</v>
      </c>
      <c r="H1175" s="171"/>
      <c r="I1175" s="88">
        <f t="shared" si="152"/>
        <v>50460</v>
      </c>
      <c r="J1175" s="163">
        <f t="shared" si="148"/>
        <v>0</v>
      </c>
      <c r="K1175" s="155">
        <f t="shared" si="14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50"/>
        <v>0</v>
      </c>
      <c r="O1175" s="155">
        <f t="shared" si="15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899</v>
      </c>
      <c r="D1176" s="213" t="s">
        <v>49</v>
      </c>
      <c r="E1176" s="214" t="s">
        <v>14</v>
      </c>
      <c r="F1176" s="215">
        <v>50460</v>
      </c>
      <c r="G1176" s="215">
        <v>50460</v>
      </c>
      <c r="H1176" s="171"/>
      <c r="I1176" s="88">
        <f t="shared" si="152"/>
        <v>50460</v>
      </c>
      <c r="J1176" s="163">
        <f t="shared" ref="J1176:J1239" si="153">IF(D1176="MDU-KD",1,0)</f>
        <v>0</v>
      </c>
      <c r="K1176" s="155">
        <f t="shared" ref="K1176:K1239" si="15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155">IF(L1176=0,M1176,L1176)</f>
        <v>0</v>
      </c>
      <c r="O1176" s="155">
        <f t="shared" ref="O1176:O1239" si="15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900</v>
      </c>
      <c r="D1177" s="213" t="s">
        <v>49</v>
      </c>
      <c r="E1177" s="214" t="s">
        <v>14</v>
      </c>
      <c r="F1177" s="215">
        <v>41400</v>
      </c>
      <c r="G1177" s="215">
        <v>41400</v>
      </c>
      <c r="H1177" s="171"/>
      <c r="I1177" s="88">
        <f t="shared" si="152"/>
        <v>41400</v>
      </c>
      <c r="J1177" s="163">
        <f t="shared" si="153"/>
        <v>0</v>
      </c>
      <c r="K1177" s="155">
        <f t="shared" si="15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55"/>
        <v>0</v>
      </c>
      <c r="O1177" s="155">
        <f t="shared" si="15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901</v>
      </c>
      <c r="D1178" s="213" t="s">
        <v>49</v>
      </c>
      <c r="E1178" s="214" t="s">
        <v>14</v>
      </c>
      <c r="F1178" s="215">
        <v>61140</v>
      </c>
      <c r="G1178" s="215">
        <v>61140</v>
      </c>
      <c r="H1178" s="171"/>
      <c r="I1178" s="88">
        <f t="shared" si="152"/>
        <v>61140</v>
      </c>
      <c r="J1178" s="163">
        <f t="shared" si="153"/>
        <v>0</v>
      </c>
      <c r="K1178" s="155">
        <f t="shared" si="15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55"/>
        <v>0</v>
      </c>
      <c r="O1178" s="155">
        <f t="shared" si="15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902</v>
      </c>
      <c r="D1179" s="213" t="s">
        <v>49</v>
      </c>
      <c r="E1179" s="214" t="s">
        <v>14</v>
      </c>
      <c r="F1179" s="215">
        <v>61140</v>
      </c>
      <c r="G1179" s="215">
        <v>61140</v>
      </c>
      <c r="H1179" s="171"/>
      <c r="I1179" s="88">
        <f t="shared" si="152"/>
        <v>61140</v>
      </c>
      <c r="J1179" s="163">
        <f t="shared" si="153"/>
        <v>0</v>
      </c>
      <c r="K1179" s="155">
        <f t="shared" si="15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55"/>
        <v>0</v>
      </c>
      <c r="O1179" s="155">
        <f t="shared" si="15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903</v>
      </c>
      <c r="D1180" s="213" t="s">
        <v>49</v>
      </c>
      <c r="E1180" s="214" t="s">
        <v>14</v>
      </c>
      <c r="F1180" s="215">
        <v>55380</v>
      </c>
      <c r="G1180" s="215">
        <v>55380</v>
      </c>
      <c r="H1180" s="171"/>
      <c r="I1180" s="88">
        <f t="shared" si="152"/>
        <v>55380</v>
      </c>
      <c r="J1180" s="163">
        <f t="shared" si="153"/>
        <v>0</v>
      </c>
      <c r="K1180" s="155">
        <f t="shared" si="15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55"/>
        <v>0</v>
      </c>
      <c r="O1180" s="155">
        <f t="shared" si="15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904</v>
      </c>
      <c r="D1181" s="213" t="s">
        <v>49</v>
      </c>
      <c r="E1181" s="214" t="s">
        <v>14</v>
      </c>
      <c r="F1181" s="215">
        <v>61860</v>
      </c>
      <c r="G1181" s="215">
        <v>61860</v>
      </c>
      <c r="H1181" s="171"/>
      <c r="I1181" s="88">
        <f t="shared" si="152"/>
        <v>61860</v>
      </c>
      <c r="J1181" s="163">
        <f t="shared" si="153"/>
        <v>0</v>
      </c>
      <c r="K1181" s="155">
        <f t="shared" si="15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55"/>
        <v>0</v>
      </c>
      <c r="O1181" s="155">
        <f t="shared" si="15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905</v>
      </c>
      <c r="D1182" s="213" t="s">
        <v>49</v>
      </c>
      <c r="E1182" s="214" t="s">
        <v>14</v>
      </c>
      <c r="F1182" s="215">
        <v>63900</v>
      </c>
      <c r="G1182" s="215">
        <v>63900</v>
      </c>
      <c r="H1182" s="171"/>
      <c r="I1182" s="88">
        <f t="shared" si="152"/>
        <v>63900</v>
      </c>
      <c r="J1182" s="163">
        <f t="shared" si="153"/>
        <v>0</v>
      </c>
      <c r="K1182" s="155">
        <f t="shared" si="15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55"/>
        <v>0</v>
      </c>
      <c r="O1182" s="155">
        <f t="shared" si="15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906</v>
      </c>
      <c r="D1183" s="213" t="s">
        <v>49</v>
      </c>
      <c r="E1183" s="214" t="s">
        <v>14</v>
      </c>
      <c r="F1183" s="215">
        <v>59220</v>
      </c>
      <c r="G1183" s="215">
        <v>59220</v>
      </c>
      <c r="H1183" s="171"/>
      <c r="I1183" s="88">
        <f t="shared" si="152"/>
        <v>59220</v>
      </c>
      <c r="J1183" s="163">
        <f t="shared" si="153"/>
        <v>0</v>
      </c>
      <c r="K1183" s="155">
        <f t="shared" si="15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55"/>
        <v>0</v>
      </c>
      <c r="O1183" s="155">
        <f t="shared" si="156"/>
        <v>0</v>
      </c>
      <c r="P1183" s="155">
        <f>IF(O1183=1,SUM($O$6:O1183),0)</f>
        <v>0</v>
      </c>
    </row>
    <row r="1184" spans="1:16" ht="15" customHeight="1">
      <c r="A1184" s="15"/>
      <c r="B1184" s="194"/>
      <c r="C1184" s="109" t="s">
        <v>50</v>
      </c>
      <c r="D1184" s="213" t="s">
        <v>50</v>
      </c>
      <c r="E1184" s="214"/>
      <c r="F1184" s="215">
        <v>0</v>
      </c>
      <c r="G1184" s="215">
        <v>0</v>
      </c>
      <c r="H1184" s="171"/>
      <c r="I1184" s="88">
        <f t="shared" si="152"/>
        <v>0</v>
      </c>
      <c r="J1184" s="163">
        <f t="shared" si="153"/>
        <v>0</v>
      </c>
      <c r="K1184" s="155">
        <f t="shared" si="15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55"/>
        <v>0</v>
      </c>
      <c r="O1184" s="155">
        <f t="shared" si="156"/>
        <v>0</v>
      </c>
      <c r="P1184" s="155">
        <f>IF(O1184=1,SUM($O$6:O1184),0)</f>
        <v>0</v>
      </c>
    </row>
    <row r="1185" spans="1:16" ht="15" customHeight="1">
      <c r="A1185" s="15"/>
      <c r="B1185" s="194" t="s">
        <v>1035</v>
      </c>
      <c r="C1185" s="109" t="s">
        <v>726</v>
      </c>
      <c r="D1185" s="213" t="s">
        <v>50</v>
      </c>
      <c r="E1185" s="214"/>
      <c r="F1185" s="215">
        <v>0</v>
      </c>
      <c r="G1185" s="215">
        <v>0</v>
      </c>
      <c r="H1185" s="171"/>
      <c r="I1185" s="88">
        <f t="shared" si="152"/>
        <v>0</v>
      </c>
      <c r="J1185" s="163">
        <f t="shared" si="153"/>
        <v>0</v>
      </c>
      <c r="K1185" s="155">
        <f t="shared" si="15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55"/>
        <v>0</v>
      </c>
      <c r="O1185" s="155">
        <f t="shared" si="15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907</v>
      </c>
      <c r="D1186" s="213" t="s">
        <v>49</v>
      </c>
      <c r="E1186" s="214" t="s">
        <v>14</v>
      </c>
      <c r="F1186" s="215">
        <v>89700</v>
      </c>
      <c r="G1186" s="215">
        <v>89700</v>
      </c>
      <c r="H1186" s="171"/>
      <c r="I1186" s="88">
        <f t="shared" si="152"/>
        <v>89700</v>
      </c>
      <c r="J1186" s="163">
        <f t="shared" si="153"/>
        <v>0</v>
      </c>
      <c r="K1186" s="155">
        <f t="shared" si="15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55"/>
        <v>0</v>
      </c>
      <c r="O1186" s="155">
        <f t="shared" si="15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908</v>
      </c>
      <c r="D1187" s="213" t="s">
        <v>49</v>
      </c>
      <c r="E1187" s="214" t="s">
        <v>14</v>
      </c>
      <c r="F1187" s="215">
        <v>91200</v>
      </c>
      <c r="G1187" s="215">
        <v>91200</v>
      </c>
      <c r="H1187" s="171"/>
      <c r="I1187" s="88">
        <f t="shared" si="152"/>
        <v>91200</v>
      </c>
      <c r="J1187" s="163">
        <f t="shared" si="153"/>
        <v>0</v>
      </c>
      <c r="K1187" s="155">
        <f t="shared" si="15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55"/>
        <v>0</v>
      </c>
      <c r="O1187" s="155">
        <f t="shared" si="15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909</v>
      </c>
      <c r="D1188" s="213" t="s">
        <v>49</v>
      </c>
      <c r="E1188" s="214" t="s">
        <v>14</v>
      </c>
      <c r="F1188" s="215">
        <v>95640</v>
      </c>
      <c r="G1188" s="215">
        <v>95640</v>
      </c>
      <c r="H1188" s="171"/>
      <c r="I1188" s="88">
        <f t="shared" si="152"/>
        <v>95640</v>
      </c>
      <c r="J1188" s="163">
        <f t="shared" si="153"/>
        <v>0</v>
      </c>
      <c r="K1188" s="155">
        <f t="shared" si="15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55"/>
        <v>0</v>
      </c>
      <c r="O1188" s="155">
        <f t="shared" si="15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910</v>
      </c>
      <c r="D1189" s="213" t="s">
        <v>49</v>
      </c>
      <c r="E1189" s="214" t="s">
        <v>14</v>
      </c>
      <c r="F1189" s="215">
        <v>95640</v>
      </c>
      <c r="G1189" s="215">
        <v>95640</v>
      </c>
      <c r="H1189" s="171"/>
      <c r="I1189" s="88">
        <f t="shared" si="152"/>
        <v>95640</v>
      </c>
      <c r="J1189" s="163">
        <f t="shared" si="153"/>
        <v>0</v>
      </c>
      <c r="K1189" s="155">
        <f t="shared" si="15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55"/>
        <v>0</v>
      </c>
      <c r="O1189" s="155">
        <f t="shared" si="15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911</v>
      </c>
      <c r="D1190" s="213" t="s">
        <v>49</v>
      </c>
      <c r="E1190" s="214" t="s">
        <v>14</v>
      </c>
      <c r="F1190" s="215">
        <v>116340</v>
      </c>
      <c r="G1190" s="215">
        <v>116340</v>
      </c>
      <c r="H1190" s="171"/>
      <c r="I1190" s="88">
        <f t="shared" si="152"/>
        <v>116340</v>
      </c>
      <c r="J1190" s="163">
        <f t="shared" si="153"/>
        <v>0</v>
      </c>
      <c r="K1190" s="155">
        <f t="shared" si="15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55"/>
        <v>0</v>
      </c>
      <c r="O1190" s="155">
        <f t="shared" si="15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912</v>
      </c>
      <c r="D1191" s="213" t="s">
        <v>49</v>
      </c>
      <c r="E1191" s="214" t="s">
        <v>14</v>
      </c>
      <c r="F1191" s="215">
        <v>115020</v>
      </c>
      <c r="G1191" s="215">
        <v>115020</v>
      </c>
      <c r="H1191" s="171"/>
      <c r="I1191" s="88">
        <f t="shared" si="152"/>
        <v>115020</v>
      </c>
      <c r="J1191" s="163">
        <f t="shared" si="153"/>
        <v>0</v>
      </c>
      <c r="K1191" s="155">
        <f t="shared" si="15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55"/>
        <v>0</v>
      </c>
      <c r="O1191" s="155">
        <f t="shared" si="15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913</v>
      </c>
      <c r="D1192" s="213" t="s">
        <v>49</v>
      </c>
      <c r="E1192" s="214" t="s">
        <v>14</v>
      </c>
      <c r="F1192" s="215">
        <v>115020</v>
      </c>
      <c r="G1192" s="215">
        <v>115020</v>
      </c>
      <c r="H1192" s="171"/>
      <c r="I1192" s="88">
        <f t="shared" si="152"/>
        <v>115020</v>
      </c>
      <c r="J1192" s="163">
        <f t="shared" si="153"/>
        <v>0</v>
      </c>
      <c r="K1192" s="155">
        <f t="shared" si="15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55"/>
        <v>0</v>
      </c>
      <c r="O1192" s="155">
        <f t="shared" si="15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914</v>
      </c>
      <c r="D1193" s="213" t="s">
        <v>49</v>
      </c>
      <c r="E1193" s="214" t="s">
        <v>14</v>
      </c>
      <c r="F1193" s="215">
        <v>115020</v>
      </c>
      <c r="G1193" s="215">
        <v>115020</v>
      </c>
      <c r="H1193" s="171"/>
      <c r="I1193" s="88">
        <f t="shared" si="152"/>
        <v>115020</v>
      </c>
      <c r="J1193" s="163">
        <f t="shared" si="153"/>
        <v>0</v>
      </c>
      <c r="K1193" s="155">
        <f t="shared" si="15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55"/>
        <v>0</v>
      </c>
      <c r="O1193" s="155">
        <f t="shared" si="15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915</v>
      </c>
      <c r="D1194" s="213" t="s">
        <v>49</v>
      </c>
      <c r="E1194" s="214" t="s">
        <v>14</v>
      </c>
      <c r="F1194" s="215">
        <v>117900</v>
      </c>
      <c r="G1194" s="215">
        <v>117900</v>
      </c>
      <c r="H1194" s="171"/>
      <c r="I1194" s="88">
        <f t="shared" si="152"/>
        <v>117900</v>
      </c>
      <c r="J1194" s="163">
        <f t="shared" si="153"/>
        <v>0</v>
      </c>
      <c r="K1194" s="155">
        <f t="shared" si="15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55"/>
        <v>0</v>
      </c>
      <c r="O1194" s="155">
        <f t="shared" si="15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916</v>
      </c>
      <c r="D1195" s="213" t="s">
        <v>49</v>
      </c>
      <c r="E1195" s="214" t="s">
        <v>14</v>
      </c>
      <c r="F1195" s="215">
        <v>136860</v>
      </c>
      <c r="G1195" s="215">
        <v>136860</v>
      </c>
      <c r="H1195" s="171"/>
      <c r="I1195" s="88">
        <f t="shared" si="152"/>
        <v>136860</v>
      </c>
      <c r="J1195" s="163">
        <f t="shared" si="153"/>
        <v>0</v>
      </c>
      <c r="K1195" s="155">
        <f t="shared" si="15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55"/>
        <v>0</v>
      </c>
      <c r="O1195" s="155">
        <f t="shared" si="15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917</v>
      </c>
      <c r="D1196" s="213" t="s">
        <v>49</v>
      </c>
      <c r="E1196" s="214" t="s">
        <v>14</v>
      </c>
      <c r="F1196" s="215">
        <v>220920</v>
      </c>
      <c r="G1196" s="215">
        <v>220920</v>
      </c>
      <c r="H1196" s="171"/>
      <c r="I1196" s="88">
        <f t="shared" si="152"/>
        <v>220920</v>
      </c>
      <c r="J1196" s="163">
        <f t="shared" si="153"/>
        <v>0</v>
      </c>
      <c r="K1196" s="155">
        <f t="shared" si="15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55"/>
        <v>0</v>
      </c>
      <c r="O1196" s="155">
        <f t="shared" si="15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918</v>
      </c>
      <c r="D1197" s="213" t="s">
        <v>49</v>
      </c>
      <c r="E1197" s="214" t="s">
        <v>14</v>
      </c>
      <c r="F1197" s="215">
        <v>220920</v>
      </c>
      <c r="G1197" s="215">
        <v>220920</v>
      </c>
      <c r="H1197" s="171"/>
      <c r="I1197" s="88">
        <f t="shared" si="152"/>
        <v>220920</v>
      </c>
      <c r="J1197" s="163">
        <f t="shared" si="153"/>
        <v>0</v>
      </c>
      <c r="K1197" s="155">
        <f t="shared" si="15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55"/>
        <v>0</v>
      </c>
      <c r="O1197" s="155">
        <f t="shared" si="156"/>
        <v>0</v>
      </c>
      <c r="P1197" s="155">
        <f>IF(O1197=1,SUM($O$6:O1197),0)</f>
        <v>0</v>
      </c>
    </row>
    <row r="1198" spans="1:16" ht="15" customHeight="1">
      <c r="A1198" s="15"/>
      <c r="B1198" s="194"/>
      <c r="C1198" s="109"/>
      <c r="D1198" s="213" t="s">
        <v>50</v>
      </c>
      <c r="E1198" s="214"/>
      <c r="F1198" s="215">
        <v>0</v>
      </c>
      <c r="G1198" s="215">
        <v>0</v>
      </c>
      <c r="H1198" s="171"/>
      <c r="I1198" s="88">
        <f t="shared" si="152"/>
        <v>0</v>
      </c>
      <c r="J1198" s="163">
        <f t="shared" si="153"/>
        <v>0</v>
      </c>
      <c r="K1198" s="155">
        <f t="shared" si="15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55"/>
        <v>0</v>
      </c>
      <c r="O1198" s="155">
        <f t="shared" si="156"/>
        <v>0</v>
      </c>
      <c r="P1198" s="155">
        <f>IF(O1198=1,SUM($O$6:O1198),0)</f>
        <v>0</v>
      </c>
    </row>
    <row r="1199" spans="1:16" ht="15" customHeight="1">
      <c r="A1199" s="15"/>
      <c r="B1199" s="194" t="s">
        <v>1035</v>
      </c>
      <c r="C1199" s="109" t="s">
        <v>1063</v>
      </c>
      <c r="D1199" s="213" t="s">
        <v>50</v>
      </c>
      <c r="E1199" s="214"/>
      <c r="F1199" s="215">
        <v>0</v>
      </c>
      <c r="G1199" s="215">
        <v>0</v>
      </c>
      <c r="H1199" s="171"/>
      <c r="I1199" s="88">
        <f t="shared" si="152"/>
        <v>0</v>
      </c>
      <c r="J1199" s="163">
        <f t="shared" si="153"/>
        <v>0</v>
      </c>
      <c r="K1199" s="155">
        <f t="shared" si="15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55"/>
        <v>0</v>
      </c>
      <c r="O1199" s="155">
        <f t="shared" si="156"/>
        <v>0</v>
      </c>
      <c r="P1199" s="155">
        <f>IF(O1199=1,SUM($O$6:O1199),0)</f>
        <v>0</v>
      </c>
    </row>
    <row r="1200" spans="1:16" ht="15" customHeight="1">
      <c r="A1200" s="15"/>
      <c r="B1200" s="194">
        <v>1</v>
      </c>
      <c r="C1200" s="109" t="s">
        <v>1177</v>
      </c>
      <c r="D1200" s="213" t="s">
        <v>49</v>
      </c>
      <c r="E1200" s="214" t="s">
        <v>14</v>
      </c>
      <c r="F1200" s="215">
        <v>19440</v>
      </c>
      <c r="G1200" s="215">
        <v>19440</v>
      </c>
      <c r="H1200" s="171"/>
      <c r="I1200" s="88">
        <f t="shared" ref="I1200:I1264" si="157">IF($I$5=$G$4,G1200,(IF($I$5=$F$4,F1200,0)))</f>
        <v>19440</v>
      </c>
      <c r="J1200" s="163">
        <f t="shared" si="153"/>
        <v>0</v>
      </c>
      <c r="K1200" s="155">
        <f t="shared" si="15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55"/>
        <v>0</v>
      </c>
      <c r="O1200" s="155">
        <f t="shared" si="156"/>
        <v>0</v>
      </c>
      <c r="P1200" s="155">
        <f>IF(O1200=1,SUM($O$6:O1200),0)</f>
        <v>0</v>
      </c>
    </row>
    <row r="1201" spans="1:16" ht="15" customHeight="1">
      <c r="A1201" s="15"/>
      <c r="B1201" s="194">
        <v>2</v>
      </c>
      <c r="C1201" s="109" t="s">
        <v>1178</v>
      </c>
      <c r="D1201" s="213" t="s">
        <v>49</v>
      </c>
      <c r="E1201" s="214" t="s">
        <v>14</v>
      </c>
      <c r="F1201" s="215">
        <v>28860</v>
      </c>
      <c r="G1201" s="215">
        <v>28860</v>
      </c>
      <c r="H1201" s="171"/>
      <c r="I1201" s="88">
        <f t="shared" si="157"/>
        <v>28860</v>
      </c>
      <c r="J1201" s="163">
        <f t="shared" si="153"/>
        <v>0</v>
      </c>
      <c r="K1201" s="155">
        <f t="shared" si="15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55"/>
        <v>0</v>
      </c>
      <c r="O1201" s="155">
        <f t="shared" si="156"/>
        <v>0</v>
      </c>
      <c r="P1201" s="155">
        <f>IF(O1201=1,SUM($O$6:O1201),0)</f>
        <v>0</v>
      </c>
    </row>
    <row r="1202" spans="1:16" ht="15" customHeight="1">
      <c r="A1202" s="15"/>
      <c r="B1202" s="194">
        <v>3</v>
      </c>
      <c r="C1202" s="109" t="s">
        <v>1179</v>
      </c>
      <c r="D1202" s="213" t="s">
        <v>49</v>
      </c>
      <c r="E1202" s="214" t="s">
        <v>14</v>
      </c>
      <c r="F1202" s="215">
        <v>33180</v>
      </c>
      <c r="G1202" s="215">
        <v>33180</v>
      </c>
      <c r="H1202" s="171"/>
      <c r="I1202" s="88">
        <f t="shared" si="157"/>
        <v>33180</v>
      </c>
      <c r="J1202" s="163">
        <f t="shared" si="153"/>
        <v>0</v>
      </c>
      <c r="K1202" s="155">
        <f t="shared" si="15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55"/>
        <v>0</v>
      </c>
      <c r="O1202" s="155">
        <f t="shared" si="156"/>
        <v>0</v>
      </c>
      <c r="P1202" s="155">
        <f>IF(O1202=1,SUM($O$6:O1202),0)</f>
        <v>0</v>
      </c>
    </row>
    <row r="1203" spans="1:16" ht="15" customHeight="1">
      <c r="A1203" s="15"/>
      <c r="B1203" s="194">
        <v>4</v>
      </c>
      <c r="C1203" s="109" t="s">
        <v>1180</v>
      </c>
      <c r="D1203" s="213" t="s">
        <v>49</v>
      </c>
      <c r="E1203" s="214" t="s">
        <v>14</v>
      </c>
      <c r="F1203" s="215">
        <v>30900</v>
      </c>
      <c r="G1203" s="215">
        <v>30900</v>
      </c>
      <c r="H1203" s="171"/>
      <c r="I1203" s="88">
        <f t="shared" si="157"/>
        <v>30900</v>
      </c>
      <c r="J1203" s="163">
        <f t="shared" si="153"/>
        <v>0</v>
      </c>
      <c r="K1203" s="155">
        <f t="shared" si="15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55"/>
        <v>0</v>
      </c>
      <c r="O1203" s="155">
        <f t="shared" si="156"/>
        <v>0</v>
      </c>
      <c r="P1203" s="155">
        <f>IF(O1203=1,SUM($O$6:O1203),0)</f>
        <v>0</v>
      </c>
    </row>
    <row r="1204" spans="1:16" ht="15" customHeight="1">
      <c r="A1204" s="15"/>
      <c r="B1204" s="194">
        <v>5</v>
      </c>
      <c r="C1204" s="109" t="s">
        <v>1181</v>
      </c>
      <c r="D1204" s="213" t="s">
        <v>49</v>
      </c>
      <c r="E1204" s="214" t="s">
        <v>14</v>
      </c>
      <c r="F1204" s="215">
        <v>40740</v>
      </c>
      <c r="G1204" s="215">
        <v>40740</v>
      </c>
      <c r="H1204" s="171"/>
      <c r="I1204" s="88">
        <f t="shared" si="157"/>
        <v>40740</v>
      </c>
      <c r="J1204" s="163">
        <f t="shared" si="153"/>
        <v>0</v>
      </c>
      <c r="K1204" s="155">
        <f t="shared" si="15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55"/>
        <v>0</v>
      </c>
      <c r="O1204" s="155">
        <f t="shared" si="156"/>
        <v>0</v>
      </c>
      <c r="P1204" s="155">
        <f>IF(O1204=1,SUM($O$6:O1204),0)</f>
        <v>0</v>
      </c>
    </row>
    <row r="1205" spans="1:16" ht="15" customHeight="1">
      <c r="A1205" s="15"/>
      <c r="B1205" s="194">
        <v>6</v>
      </c>
      <c r="C1205" s="109" t="s">
        <v>1182</v>
      </c>
      <c r="D1205" s="213" t="s">
        <v>49</v>
      </c>
      <c r="E1205" s="214" t="s">
        <v>14</v>
      </c>
      <c r="F1205" s="215">
        <v>34020</v>
      </c>
      <c r="G1205" s="215">
        <v>34020</v>
      </c>
      <c r="H1205" s="171"/>
      <c r="I1205" s="88">
        <f t="shared" si="157"/>
        <v>34020</v>
      </c>
      <c r="J1205" s="163">
        <f t="shared" si="153"/>
        <v>0</v>
      </c>
      <c r="K1205" s="155">
        <f t="shared" si="15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55"/>
        <v>0</v>
      </c>
      <c r="O1205" s="155">
        <f t="shared" si="156"/>
        <v>0</v>
      </c>
      <c r="P1205" s="155">
        <f>IF(O1205=1,SUM($O$6:O1205),0)</f>
        <v>0</v>
      </c>
    </row>
    <row r="1206" spans="1:16" ht="15" customHeight="1">
      <c r="A1206" s="15"/>
      <c r="B1206" s="194">
        <v>7</v>
      </c>
      <c r="C1206" s="109" t="s">
        <v>1183</v>
      </c>
      <c r="D1206" s="213" t="s">
        <v>49</v>
      </c>
      <c r="E1206" s="214" t="s">
        <v>14</v>
      </c>
      <c r="F1206" s="215">
        <v>358140</v>
      </c>
      <c r="G1206" s="215">
        <v>358140</v>
      </c>
      <c r="H1206" s="171"/>
      <c r="I1206" s="88">
        <f t="shared" si="157"/>
        <v>358140</v>
      </c>
      <c r="J1206" s="163">
        <f t="shared" si="153"/>
        <v>0</v>
      </c>
      <c r="K1206" s="155">
        <f t="shared" si="15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55"/>
        <v>0</v>
      </c>
      <c r="O1206" s="155">
        <f t="shared" si="156"/>
        <v>0</v>
      </c>
      <c r="P1206" s="155">
        <f>IF(O1206=1,SUM($O$6:O1206),0)</f>
        <v>0</v>
      </c>
    </row>
    <row r="1207" spans="1:16" ht="15" customHeight="1">
      <c r="A1207" s="15"/>
      <c r="B1207" s="194">
        <v>8</v>
      </c>
      <c r="C1207" s="109" t="s">
        <v>1184</v>
      </c>
      <c r="D1207" s="213" t="s">
        <v>49</v>
      </c>
      <c r="E1207" s="214" t="s">
        <v>14</v>
      </c>
      <c r="F1207" s="215">
        <v>240900</v>
      </c>
      <c r="G1207" s="215">
        <v>240900</v>
      </c>
      <c r="H1207" s="171"/>
      <c r="I1207" s="88">
        <f t="shared" si="157"/>
        <v>240900</v>
      </c>
      <c r="J1207" s="163">
        <f t="shared" si="153"/>
        <v>0</v>
      </c>
      <c r="K1207" s="155">
        <f t="shared" si="15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55"/>
        <v>0</v>
      </c>
      <c r="O1207" s="155">
        <f t="shared" si="156"/>
        <v>0</v>
      </c>
      <c r="P1207" s="155">
        <f>IF(O1207=1,SUM($O$6:O1207),0)</f>
        <v>0</v>
      </c>
    </row>
    <row r="1208" spans="1:16" ht="15" customHeight="1">
      <c r="A1208" s="15"/>
      <c r="B1208" s="194"/>
      <c r="C1208" s="109"/>
      <c r="D1208" s="213" t="s">
        <v>50</v>
      </c>
      <c r="E1208" s="214"/>
      <c r="F1208" s="215">
        <v>0</v>
      </c>
      <c r="G1208" s="215">
        <v>0</v>
      </c>
      <c r="H1208" s="171"/>
      <c r="I1208" s="88">
        <f t="shared" si="157"/>
        <v>0</v>
      </c>
      <c r="J1208" s="163">
        <f t="shared" si="153"/>
        <v>0</v>
      </c>
      <c r="K1208" s="155">
        <f t="shared" si="15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55"/>
        <v>0</v>
      </c>
      <c r="O1208" s="155">
        <f t="shared" si="156"/>
        <v>0</v>
      </c>
      <c r="P1208" s="155">
        <f>IF(O1208=1,SUM($O$6:O1208),0)</f>
        <v>0</v>
      </c>
    </row>
    <row r="1209" spans="1:16" ht="15" customHeight="1">
      <c r="A1209" s="15"/>
      <c r="B1209" s="194" t="s">
        <v>1035</v>
      </c>
      <c r="C1209" s="109" t="s">
        <v>738</v>
      </c>
      <c r="D1209" s="213" t="s">
        <v>50</v>
      </c>
      <c r="E1209" s="214"/>
      <c r="F1209" s="215">
        <v>0</v>
      </c>
      <c r="G1209" s="215">
        <v>0</v>
      </c>
      <c r="H1209" s="171"/>
      <c r="I1209" s="88">
        <f t="shared" si="157"/>
        <v>0</v>
      </c>
      <c r="J1209" s="163">
        <f t="shared" si="153"/>
        <v>0</v>
      </c>
      <c r="K1209" s="155">
        <f t="shared" si="15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55"/>
        <v>0</v>
      </c>
      <c r="O1209" s="155">
        <f t="shared" si="156"/>
        <v>0</v>
      </c>
      <c r="P1209" s="155">
        <f>IF(O1209=1,SUM($O$6:O1209),0)</f>
        <v>0</v>
      </c>
    </row>
    <row r="1210" spans="1:16" ht="15" customHeight="1">
      <c r="A1210" s="15"/>
      <c r="B1210" s="194">
        <v>1</v>
      </c>
      <c r="C1210" s="109" t="s">
        <v>919</v>
      </c>
      <c r="D1210" s="213" t="s">
        <v>49</v>
      </c>
      <c r="E1210" s="214" t="s">
        <v>14</v>
      </c>
      <c r="F1210" s="215">
        <v>33840</v>
      </c>
      <c r="G1210" s="215">
        <v>33840</v>
      </c>
      <c r="H1210" s="171"/>
      <c r="I1210" s="88">
        <f t="shared" si="157"/>
        <v>33840</v>
      </c>
      <c r="J1210" s="163">
        <f t="shared" si="153"/>
        <v>0</v>
      </c>
      <c r="K1210" s="155">
        <f t="shared" si="15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55"/>
        <v>0</v>
      </c>
      <c r="O1210" s="155">
        <f t="shared" si="156"/>
        <v>0</v>
      </c>
      <c r="P1210" s="155">
        <f>IF(O1210=1,SUM($O$6:O1210),0)</f>
        <v>0</v>
      </c>
    </row>
    <row r="1211" spans="1:16" ht="15" customHeight="1">
      <c r="A1211" s="15"/>
      <c r="B1211" s="194">
        <v>2</v>
      </c>
      <c r="C1211" s="109" t="s">
        <v>920</v>
      </c>
      <c r="D1211" s="213" t="s">
        <v>49</v>
      </c>
      <c r="E1211" s="214" t="s">
        <v>14</v>
      </c>
      <c r="F1211" s="215">
        <v>39240</v>
      </c>
      <c r="G1211" s="215">
        <v>39240</v>
      </c>
      <c r="H1211" s="171"/>
      <c r="I1211" s="88">
        <f t="shared" si="157"/>
        <v>39240</v>
      </c>
      <c r="J1211" s="163">
        <f t="shared" si="153"/>
        <v>0</v>
      </c>
      <c r="K1211" s="155">
        <f t="shared" si="15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55"/>
        <v>0</v>
      </c>
      <c r="O1211" s="155">
        <f t="shared" si="156"/>
        <v>0</v>
      </c>
      <c r="P1211" s="155">
        <f>IF(O1211=1,SUM($O$6:O1211),0)</f>
        <v>0</v>
      </c>
    </row>
    <row r="1212" spans="1:16" ht="15" customHeight="1">
      <c r="A1212" s="15"/>
      <c r="B1212" s="194">
        <v>3</v>
      </c>
      <c r="C1212" s="109" t="s">
        <v>921</v>
      </c>
      <c r="D1212" s="213" t="s">
        <v>49</v>
      </c>
      <c r="E1212" s="214" t="s">
        <v>14</v>
      </c>
      <c r="F1212" s="215">
        <v>7320</v>
      </c>
      <c r="G1212" s="215">
        <v>7320</v>
      </c>
      <c r="H1212" s="171"/>
      <c r="I1212" s="88">
        <f t="shared" si="157"/>
        <v>7320</v>
      </c>
      <c r="J1212" s="163">
        <f t="shared" si="153"/>
        <v>0</v>
      </c>
      <c r="K1212" s="155">
        <f t="shared" si="15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55"/>
        <v>0</v>
      </c>
      <c r="O1212" s="155">
        <f t="shared" si="156"/>
        <v>0</v>
      </c>
      <c r="P1212" s="155">
        <f>IF(O1212=1,SUM($O$6:O1212),0)</f>
        <v>0</v>
      </c>
    </row>
    <row r="1213" spans="1:16" ht="15" customHeight="1">
      <c r="A1213" s="15"/>
      <c r="B1213" s="194">
        <v>4</v>
      </c>
      <c r="C1213" s="109" t="s">
        <v>922</v>
      </c>
      <c r="D1213" s="213" t="s">
        <v>49</v>
      </c>
      <c r="E1213" s="214" t="s">
        <v>14</v>
      </c>
      <c r="F1213" s="215">
        <v>9600</v>
      </c>
      <c r="G1213" s="215">
        <v>9600</v>
      </c>
      <c r="H1213" s="171"/>
      <c r="I1213" s="88">
        <f t="shared" si="157"/>
        <v>9600</v>
      </c>
      <c r="J1213" s="163">
        <f t="shared" si="153"/>
        <v>0</v>
      </c>
      <c r="K1213" s="155">
        <f t="shared" si="15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55"/>
        <v>0</v>
      </c>
      <c r="O1213" s="155">
        <f t="shared" si="156"/>
        <v>0</v>
      </c>
      <c r="P1213" s="155">
        <f>IF(O1213=1,SUM($O$6:O1213),0)</f>
        <v>0</v>
      </c>
    </row>
    <row r="1214" spans="1:16" ht="15" customHeight="1">
      <c r="A1214" s="15"/>
      <c r="B1214" s="194">
        <v>5</v>
      </c>
      <c r="C1214" s="109" t="s">
        <v>923</v>
      </c>
      <c r="D1214" s="213" t="s">
        <v>49</v>
      </c>
      <c r="E1214" s="214" t="s">
        <v>14</v>
      </c>
      <c r="F1214" s="215">
        <v>103860</v>
      </c>
      <c r="G1214" s="215">
        <v>103860</v>
      </c>
      <c r="H1214" s="171"/>
      <c r="I1214" s="88">
        <f t="shared" si="157"/>
        <v>103860</v>
      </c>
      <c r="J1214" s="163">
        <f t="shared" si="153"/>
        <v>0</v>
      </c>
      <c r="K1214" s="155">
        <f t="shared" si="15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55"/>
        <v>0</v>
      </c>
      <c r="O1214" s="155">
        <f t="shared" si="156"/>
        <v>0</v>
      </c>
      <c r="P1214" s="155">
        <f>IF(O1214=1,SUM($O$6:O1214),0)</f>
        <v>0</v>
      </c>
    </row>
    <row r="1215" spans="1:16" ht="15" customHeight="1">
      <c r="A1215" s="15"/>
      <c r="B1215" s="194">
        <v>6</v>
      </c>
      <c r="C1215" s="109" t="s">
        <v>924</v>
      </c>
      <c r="D1215" s="213" t="s">
        <v>49</v>
      </c>
      <c r="E1215" s="214" t="s">
        <v>14</v>
      </c>
      <c r="F1215" s="215">
        <v>923940</v>
      </c>
      <c r="G1215" s="215">
        <v>923940</v>
      </c>
      <c r="H1215" s="171"/>
      <c r="I1215" s="88">
        <f t="shared" si="157"/>
        <v>923940</v>
      </c>
      <c r="J1215" s="163">
        <f t="shared" si="153"/>
        <v>0</v>
      </c>
      <c r="K1215" s="155">
        <f t="shared" si="15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55"/>
        <v>0</v>
      </c>
      <c r="O1215" s="155">
        <f t="shared" si="156"/>
        <v>0</v>
      </c>
      <c r="P1215" s="155">
        <f>IF(O1215=1,SUM($O$6:O1215),0)</f>
        <v>0</v>
      </c>
    </row>
    <row r="1216" spans="1:16" ht="15" customHeight="1">
      <c r="A1216" s="15"/>
      <c r="B1216" s="194">
        <v>7</v>
      </c>
      <c r="C1216" s="109" t="s">
        <v>925</v>
      </c>
      <c r="D1216" s="213" t="s">
        <v>49</v>
      </c>
      <c r="E1216" s="214" t="s">
        <v>14</v>
      </c>
      <c r="F1216" s="215">
        <v>14160</v>
      </c>
      <c r="G1216" s="215">
        <v>14160</v>
      </c>
      <c r="H1216" s="171"/>
      <c r="I1216" s="88">
        <f t="shared" si="157"/>
        <v>14160</v>
      </c>
      <c r="J1216" s="163">
        <f t="shared" si="153"/>
        <v>0</v>
      </c>
      <c r="K1216" s="155">
        <f t="shared" si="15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55"/>
        <v>0</v>
      </c>
      <c r="O1216" s="155">
        <f t="shared" si="156"/>
        <v>0</v>
      </c>
      <c r="P1216" s="155">
        <f>IF(O1216=1,SUM($O$6:O1216),0)</f>
        <v>0</v>
      </c>
    </row>
    <row r="1217" spans="1:16" ht="15" customHeight="1">
      <c r="A1217" s="15"/>
      <c r="B1217" s="194">
        <v>8</v>
      </c>
      <c r="C1217" s="109" t="s">
        <v>926</v>
      </c>
      <c r="D1217" s="213" t="s">
        <v>49</v>
      </c>
      <c r="E1217" s="214" t="s">
        <v>14</v>
      </c>
      <c r="F1217" s="215">
        <v>12060</v>
      </c>
      <c r="G1217" s="215">
        <v>12060</v>
      </c>
      <c r="H1217" s="171"/>
      <c r="I1217" s="88">
        <f t="shared" si="157"/>
        <v>12060</v>
      </c>
      <c r="J1217" s="163">
        <f t="shared" si="153"/>
        <v>0</v>
      </c>
      <c r="K1217" s="155">
        <f t="shared" si="15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55"/>
        <v>0</v>
      </c>
      <c r="O1217" s="155">
        <f t="shared" si="156"/>
        <v>0</v>
      </c>
      <c r="P1217" s="155">
        <f>IF(O1217=1,SUM($O$6:O1217),0)</f>
        <v>0</v>
      </c>
    </row>
    <row r="1218" spans="1:16" ht="15" customHeight="1">
      <c r="A1218" s="15"/>
      <c r="B1218" s="194">
        <v>9</v>
      </c>
      <c r="C1218" s="109" t="s">
        <v>927</v>
      </c>
      <c r="D1218" s="213" t="s">
        <v>49</v>
      </c>
      <c r="E1218" s="214" t="s">
        <v>14</v>
      </c>
      <c r="F1218" s="215">
        <v>14160</v>
      </c>
      <c r="G1218" s="215">
        <v>14160</v>
      </c>
      <c r="H1218" s="171"/>
      <c r="I1218" s="88">
        <f t="shared" si="157"/>
        <v>14160</v>
      </c>
      <c r="J1218" s="163">
        <f t="shared" si="153"/>
        <v>0</v>
      </c>
      <c r="K1218" s="155">
        <f t="shared" si="15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55"/>
        <v>0</v>
      </c>
      <c r="O1218" s="155">
        <f t="shared" si="156"/>
        <v>0</v>
      </c>
      <c r="P1218" s="155">
        <f>IF(O1218=1,SUM($O$6:O1218),0)</f>
        <v>0</v>
      </c>
    </row>
    <row r="1219" spans="1:16" ht="15" customHeight="1">
      <c r="A1219" s="15"/>
      <c r="B1219" s="194">
        <v>10</v>
      </c>
      <c r="C1219" s="109" t="s">
        <v>928</v>
      </c>
      <c r="D1219" s="213" t="s">
        <v>49</v>
      </c>
      <c r="E1219" s="214" t="s">
        <v>14</v>
      </c>
      <c r="F1219" s="215">
        <v>14160</v>
      </c>
      <c r="G1219" s="215">
        <v>14160</v>
      </c>
      <c r="H1219" s="171"/>
      <c r="I1219" s="88">
        <f t="shared" si="157"/>
        <v>14160</v>
      </c>
      <c r="J1219" s="163">
        <f t="shared" si="153"/>
        <v>0</v>
      </c>
      <c r="K1219" s="155">
        <f t="shared" si="15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55"/>
        <v>0</v>
      </c>
      <c r="O1219" s="155">
        <f t="shared" si="156"/>
        <v>0</v>
      </c>
      <c r="P1219" s="155">
        <f>IF(O1219=1,SUM($O$6:O1219),0)</f>
        <v>0</v>
      </c>
    </row>
    <row r="1220" spans="1:16" ht="15" customHeight="1">
      <c r="A1220" s="15"/>
      <c r="B1220" s="194">
        <v>11</v>
      </c>
      <c r="C1220" s="109" t="s">
        <v>929</v>
      </c>
      <c r="D1220" s="213" t="s">
        <v>49</v>
      </c>
      <c r="E1220" s="214" t="s">
        <v>14</v>
      </c>
      <c r="F1220" s="215">
        <v>35040</v>
      </c>
      <c r="G1220" s="215">
        <v>35040</v>
      </c>
      <c r="H1220" s="171"/>
      <c r="I1220" s="88">
        <f t="shared" si="157"/>
        <v>35040</v>
      </c>
      <c r="J1220" s="163">
        <f t="shared" si="153"/>
        <v>0</v>
      </c>
      <c r="K1220" s="155">
        <f t="shared" si="15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55"/>
        <v>0</v>
      </c>
      <c r="O1220" s="155">
        <f t="shared" si="156"/>
        <v>0</v>
      </c>
      <c r="P1220" s="155">
        <f>IF(O1220=1,SUM($O$6:O1220),0)</f>
        <v>0</v>
      </c>
    </row>
    <row r="1221" spans="1:16" ht="15" customHeight="1">
      <c r="A1221" s="15"/>
      <c r="B1221" s="194">
        <v>12</v>
      </c>
      <c r="C1221" s="109" t="s">
        <v>930</v>
      </c>
      <c r="D1221" s="213" t="s">
        <v>49</v>
      </c>
      <c r="E1221" s="214" t="s">
        <v>14</v>
      </c>
      <c r="F1221" s="215">
        <v>25860</v>
      </c>
      <c r="G1221" s="215">
        <v>25860</v>
      </c>
      <c r="H1221" s="171"/>
      <c r="I1221" s="88">
        <f t="shared" si="157"/>
        <v>25860</v>
      </c>
      <c r="J1221" s="163">
        <f t="shared" si="153"/>
        <v>0</v>
      </c>
      <c r="K1221" s="155">
        <f t="shared" si="15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55"/>
        <v>0</v>
      </c>
      <c r="O1221" s="155">
        <f t="shared" si="156"/>
        <v>0</v>
      </c>
      <c r="P1221" s="155">
        <f>IF(O1221=1,SUM($O$6:O1221),0)</f>
        <v>0</v>
      </c>
    </row>
    <row r="1222" spans="1:16" ht="15" customHeight="1">
      <c r="A1222" s="15"/>
      <c r="B1222" s="194">
        <v>13</v>
      </c>
      <c r="C1222" s="109" t="s">
        <v>931</v>
      </c>
      <c r="D1222" s="213" t="s">
        <v>49</v>
      </c>
      <c r="E1222" s="214" t="s">
        <v>14</v>
      </c>
      <c r="F1222" s="215">
        <v>35040</v>
      </c>
      <c r="G1222" s="215">
        <v>35040</v>
      </c>
      <c r="H1222" s="171"/>
      <c r="I1222" s="88">
        <f t="shared" si="157"/>
        <v>35040</v>
      </c>
      <c r="J1222" s="163">
        <f t="shared" si="153"/>
        <v>0</v>
      </c>
      <c r="K1222" s="155">
        <f t="shared" si="15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55"/>
        <v>0</v>
      </c>
      <c r="O1222" s="155">
        <f t="shared" si="156"/>
        <v>0</v>
      </c>
      <c r="P1222" s="155">
        <f>IF(O1222=1,SUM($O$6:O1222),0)</f>
        <v>0</v>
      </c>
    </row>
    <row r="1223" spans="1:16" ht="15" customHeight="1">
      <c r="A1223" s="15"/>
      <c r="B1223" s="194">
        <v>14</v>
      </c>
      <c r="C1223" s="109" t="s">
        <v>932</v>
      </c>
      <c r="D1223" s="213" t="s">
        <v>49</v>
      </c>
      <c r="E1223" s="214" t="s">
        <v>14</v>
      </c>
      <c r="F1223" s="215">
        <v>35040</v>
      </c>
      <c r="G1223" s="215">
        <v>35040</v>
      </c>
      <c r="H1223" s="171"/>
      <c r="I1223" s="88">
        <f t="shared" si="157"/>
        <v>35040</v>
      </c>
      <c r="J1223" s="163">
        <f t="shared" si="153"/>
        <v>0</v>
      </c>
      <c r="K1223" s="155">
        <f t="shared" si="15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55"/>
        <v>0</v>
      </c>
      <c r="O1223" s="155">
        <f t="shared" si="156"/>
        <v>0</v>
      </c>
      <c r="P1223" s="155">
        <f>IF(O1223=1,SUM($O$6:O1223),0)</f>
        <v>0</v>
      </c>
    </row>
    <row r="1224" spans="1:16" ht="15" customHeight="1">
      <c r="A1224" s="15"/>
      <c r="B1224" s="194">
        <v>15</v>
      </c>
      <c r="C1224" s="109" t="s">
        <v>933</v>
      </c>
      <c r="D1224" s="213" t="s">
        <v>49</v>
      </c>
      <c r="E1224" s="214" t="s">
        <v>14</v>
      </c>
      <c r="F1224" s="215">
        <v>25860</v>
      </c>
      <c r="G1224" s="215">
        <v>25860</v>
      </c>
      <c r="H1224" s="171"/>
      <c r="I1224" s="88">
        <f t="shared" si="157"/>
        <v>25860</v>
      </c>
      <c r="J1224" s="163">
        <f t="shared" si="153"/>
        <v>0</v>
      </c>
      <c r="K1224" s="155">
        <f t="shared" si="15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55"/>
        <v>0</v>
      </c>
      <c r="O1224" s="155">
        <f t="shared" si="156"/>
        <v>0</v>
      </c>
      <c r="P1224" s="155">
        <f>IF(O1224=1,SUM($O$6:O1224),0)</f>
        <v>0</v>
      </c>
    </row>
    <row r="1225" spans="1:16" ht="15" customHeight="1">
      <c r="A1225" s="15"/>
      <c r="B1225" s="194">
        <v>16</v>
      </c>
      <c r="C1225" s="109" t="s">
        <v>934</v>
      </c>
      <c r="D1225" s="213" t="s">
        <v>49</v>
      </c>
      <c r="E1225" s="214" t="s">
        <v>14</v>
      </c>
      <c r="F1225" s="215">
        <v>25860</v>
      </c>
      <c r="G1225" s="215">
        <v>25860</v>
      </c>
      <c r="H1225" s="171"/>
      <c r="I1225" s="88">
        <f t="shared" si="157"/>
        <v>25860</v>
      </c>
      <c r="J1225" s="163">
        <f t="shared" si="153"/>
        <v>0</v>
      </c>
      <c r="K1225" s="155">
        <f t="shared" si="15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55"/>
        <v>0</v>
      </c>
      <c r="O1225" s="155">
        <f t="shared" si="156"/>
        <v>0</v>
      </c>
      <c r="P1225" s="155">
        <f>IF(O1225=1,SUM($O$6:O1225),0)</f>
        <v>0</v>
      </c>
    </row>
    <row r="1226" spans="1:16" ht="15" customHeight="1">
      <c r="A1226" s="15"/>
      <c r="B1226" s="194">
        <v>17</v>
      </c>
      <c r="C1226" s="109" t="s">
        <v>935</v>
      </c>
      <c r="D1226" s="213" t="s">
        <v>49</v>
      </c>
      <c r="E1226" s="214" t="s">
        <v>14</v>
      </c>
      <c r="F1226" s="215">
        <v>30960</v>
      </c>
      <c r="G1226" s="215">
        <v>30960</v>
      </c>
      <c r="H1226" s="171"/>
      <c r="I1226" s="88">
        <f t="shared" si="157"/>
        <v>30960</v>
      </c>
      <c r="J1226" s="163">
        <f t="shared" si="153"/>
        <v>0</v>
      </c>
      <c r="K1226" s="155">
        <f t="shared" si="15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55"/>
        <v>0</v>
      </c>
      <c r="O1226" s="155">
        <f t="shared" si="156"/>
        <v>0</v>
      </c>
      <c r="P1226" s="155">
        <f>IF(O1226=1,SUM($O$6:O1226),0)</f>
        <v>0</v>
      </c>
    </row>
    <row r="1227" spans="1:16" ht="15" customHeight="1">
      <c r="A1227" s="15"/>
      <c r="B1227" s="194">
        <v>18</v>
      </c>
      <c r="C1227" s="109" t="s">
        <v>936</v>
      </c>
      <c r="D1227" s="213" t="s">
        <v>49</v>
      </c>
      <c r="E1227" s="214" t="s">
        <v>14</v>
      </c>
      <c r="F1227" s="215">
        <v>25860</v>
      </c>
      <c r="G1227" s="215">
        <v>25860</v>
      </c>
      <c r="H1227" s="171"/>
      <c r="I1227" s="88">
        <f t="shared" si="157"/>
        <v>25860</v>
      </c>
      <c r="J1227" s="163">
        <f t="shared" si="153"/>
        <v>0</v>
      </c>
      <c r="K1227" s="155">
        <f t="shared" si="15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55"/>
        <v>0</v>
      </c>
      <c r="O1227" s="155">
        <f t="shared" si="156"/>
        <v>0</v>
      </c>
      <c r="P1227" s="155">
        <f>IF(O1227=1,SUM($O$6:O1227),0)</f>
        <v>0</v>
      </c>
    </row>
    <row r="1228" spans="1:16" ht="15" customHeight="1">
      <c r="A1228" s="15"/>
      <c r="B1228" s="194">
        <v>19</v>
      </c>
      <c r="C1228" s="109" t="s">
        <v>937</v>
      </c>
      <c r="D1228" s="213" t="s">
        <v>49</v>
      </c>
      <c r="E1228" s="214" t="s">
        <v>14</v>
      </c>
      <c r="F1228" s="215">
        <v>2305860</v>
      </c>
      <c r="G1228" s="215">
        <v>2305860</v>
      </c>
      <c r="H1228" s="171"/>
      <c r="I1228" s="88">
        <f t="shared" si="157"/>
        <v>2305860</v>
      </c>
      <c r="J1228" s="163">
        <f t="shared" si="153"/>
        <v>0</v>
      </c>
      <c r="K1228" s="155">
        <f t="shared" si="15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55"/>
        <v>0</v>
      </c>
      <c r="O1228" s="155">
        <f t="shared" si="156"/>
        <v>0</v>
      </c>
      <c r="P1228" s="155">
        <f>IF(O1228=1,SUM($O$6:O1228),0)</f>
        <v>0</v>
      </c>
    </row>
    <row r="1229" spans="1:16" ht="15" customHeight="1">
      <c r="A1229" s="15"/>
      <c r="B1229" s="194">
        <v>20</v>
      </c>
      <c r="C1229" s="109" t="s">
        <v>938</v>
      </c>
      <c r="D1229" s="213" t="s">
        <v>49</v>
      </c>
      <c r="E1229" s="214" t="s">
        <v>14</v>
      </c>
      <c r="F1229" s="215">
        <v>18780</v>
      </c>
      <c r="G1229" s="215">
        <v>18780</v>
      </c>
      <c r="H1229" s="171"/>
      <c r="I1229" s="88">
        <f t="shared" si="157"/>
        <v>18780</v>
      </c>
      <c r="J1229" s="163">
        <f t="shared" si="153"/>
        <v>0</v>
      </c>
      <c r="K1229" s="155">
        <f t="shared" si="15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55"/>
        <v>0</v>
      </c>
      <c r="O1229" s="155">
        <f t="shared" si="156"/>
        <v>0</v>
      </c>
      <c r="P1229" s="155">
        <f>IF(O1229=1,SUM($O$6:O1229),0)</f>
        <v>0</v>
      </c>
    </row>
    <row r="1230" spans="1:16" ht="15" customHeight="1">
      <c r="A1230" s="15"/>
      <c r="B1230" s="194">
        <v>21</v>
      </c>
      <c r="C1230" s="109" t="s">
        <v>939</v>
      </c>
      <c r="D1230" s="213" t="s">
        <v>49</v>
      </c>
      <c r="E1230" s="214" t="s">
        <v>14</v>
      </c>
      <c r="F1230" s="215">
        <v>27360</v>
      </c>
      <c r="G1230" s="215">
        <v>27360</v>
      </c>
      <c r="H1230" s="175"/>
      <c r="I1230" s="88">
        <f t="shared" si="157"/>
        <v>27360</v>
      </c>
      <c r="J1230" s="163">
        <f t="shared" si="153"/>
        <v>0</v>
      </c>
      <c r="K1230" s="155">
        <f t="shared" si="15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55"/>
        <v>0</v>
      </c>
      <c r="O1230" s="155">
        <f t="shared" si="156"/>
        <v>0</v>
      </c>
      <c r="P1230" s="155">
        <f>IF(O1230=1,SUM($O$6:O1230),0)</f>
        <v>0</v>
      </c>
    </row>
    <row r="1231" spans="1:16" ht="15" customHeight="1">
      <c r="A1231" s="15"/>
      <c r="B1231" s="194">
        <v>22</v>
      </c>
      <c r="C1231" s="109" t="s">
        <v>940</v>
      </c>
      <c r="D1231" s="213" t="s">
        <v>49</v>
      </c>
      <c r="E1231" s="214" t="s">
        <v>14</v>
      </c>
      <c r="F1231" s="215">
        <v>18780</v>
      </c>
      <c r="G1231" s="215">
        <v>18780</v>
      </c>
      <c r="H1231" s="175"/>
      <c r="I1231" s="88">
        <f t="shared" si="157"/>
        <v>18780</v>
      </c>
      <c r="J1231" s="163">
        <f t="shared" si="153"/>
        <v>0</v>
      </c>
      <c r="K1231" s="155">
        <f t="shared" si="15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55"/>
        <v>0</v>
      </c>
      <c r="O1231" s="155">
        <f t="shared" si="156"/>
        <v>0</v>
      </c>
      <c r="P1231" s="155">
        <f>IF(O1231=1,SUM($O$6:O1231),0)</f>
        <v>0</v>
      </c>
    </row>
    <row r="1232" spans="1:16" ht="15" customHeight="1">
      <c r="A1232" s="15"/>
      <c r="B1232" s="194">
        <v>23</v>
      </c>
      <c r="C1232" s="109" t="s">
        <v>941</v>
      </c>
      <c r="D1232" s="213" t="s">
        <v>49</v>
      </c>
      <c r="E1232" s="214" t="s">
        <v>14</v>
      </c>
      <c r="F1232" s="215">
        <v>27360</v>
      </c>
      <c r="G1232" s="215">
        <v>27360</v>
      </c>
      <c r="H1232" s="175"/>
      <c r="I1232" s="88">
        <f t="shared" si="157"/>
        <v>27360</v>
      </c>
      <c r="J1232" s="163">
        <f t="shared" si="153"/>
        <v>0</v>
      </c>
      <c r="K1232" s="155">
        <f t="shared" si="15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55"/>
        <v>0</v>
      </c>
      <c r="O1232" s="155">
        <f t="shared" si="156"/>
        <v>0</v>
      </c>
      <c r="P1232" s="155">
        <f>IF(O1232=1,SUM($O$6:O1232),0)</f>
        <v>0</v>
      </c>
    </row>
    <row r="1233" spans="1:16" ht="15" customHeight="1">
      <c r="A1233" s="15"/>
      <c r="B1233" s="194">
        <v>24</v>
      </c>
      <c r="C1233" s="109" t="s">
        <v>942</v>
      </c>
      <c r="D1233" s="213" t="s">
        <v>49</v>
      </c>
      <c r="E1233" s="214" t="s">
        <v>14</v>
      </c>
      <c r="F1233" s="215">
        <v>18720</v>
      </c>
      <c r="G1233" s="215">
        <v>18720</v>
      </c>
      <c r="H1233" s="175"/>
      <c r="I1233" s="88">
        <f t="shared" si="157"/>
        <v>18720</v>
      </c>
      <c r="J1233" s="163">
        <f t="shared" si="153"/>
        <v>0</v>
      </c>
      <c r="K1233" s="155">
        <f t="shared" si="15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55"/>
        <v>0</v>
      </c>
      <c r="O1233" s="155">
        <f t="shared" si="156"/>
        <v>0</v>
      </c>
      <c r="P1233" s="155">
        <f>IF(O1233=1,SUM($O$6:O1233),0)</f>
        <v>0</v>
      </c>
    </row>
    <row r="1234" spans="1:16" ht="15" customHeight="1">
      <c r="A1234" s="15"/>
      <c r="B1234" s="194">
        <v>25</v>
      </c>
      <c r="C1234" s="109" t="s">
        <v>943</v>
      </c>
      <c r="D1234" s="213" t="s">
        <v>49</v>
      </c>
      <c r="E1234" s="214" t="s">
        <v>14</v>
      </c>
      <c r="F1234" s="215">
        <v>18720</v>
      </c>
      <c r="G1234" s="215">
        <v>18720</v>
      </c>
      <c r="H1234" s="175"/>
      <c r="I1234" s="88">
        <f t="shared" si="157"/>
        <v>18720</v>
      </c>
      <c r="J1234" s="163">
        <f t="shared" si="153"/>
        <v>0</v>
      </c>
      <c r="K1234" s="155">
        <f t="shared" si="15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55"/>
        <v>0</v>
      </c>
      <c r="O1234" s="155">
        <f t="shared" si="156"/>
        <v>0</v>
      </c>
      <c r="P1234" s="155">
        <f>IF(O1234=1,SUM($O$6:O1234),0)</f>
        <v>0</v>
      </c>
    </row>
    <row r="1235" spans="1:16" ht="15" customHeight="1">
      <c r="A1235" s="15"/>
      <c r="B1235" s="194">
        <v>26</v>
      </c>
      <c r="C1235" s="109" t="s">
        <v>944</v>
      </c>
      <c r="D1235" s="213" t="s">
        <v>49</v>
      </c>
      <c r="E1235" s="214" t="s">
        <v>14</v>
      </c>
      <c r="F1235" s="215">
        <v>18720</v>
      </c>
      <c r="G1235" s="215">
        <v>18720</v>
      </c>
      <c r="H1235" s="175"/>
      <c r="I1235" s="88">
        <f t="shared" si="157"/>
        <v>18720</v>
      </c>
      <c r="J1235" s="163">
        <f t="shared" si="153"/>
        <v>0</v>
      </c>
      <c r="K1235" s="155">
        <f t="shared" si="15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55"/>
        <v>0</v>
      </c>
      <c r="O1235" s="155">
        <f t="shared" si="156"/>
        <v>0</v>
      </c>
      <c r="P1235" s="155">
        <f>IF(O1235=1,SUM($O$6:O1235),0)</f>
        <v>0</v>
      </c>
    </row>
    <row r="1236" spans="1:16" ht="15" customHeight="1">
      <c r="A1236" s="15"/>
      <c r="B1236" s="194">
        <v>27</v>
      </c>
      <c r="C1236" s="109" t="s">
        <v>945</v>
      </c>
      <c r="D1236" s="213" t="s">
        <v>49</v>
      </c>
      <c r="E1236" s="214" t="s">
        <v>14</v>
      </c>
      <c r="F1236" s="215">
        <v>25260</v>
      </c>
      <c r="G1236" s="215">
        <v>25260</v>
      </c>
      <c r="H1236" s="175"/>
      <c r="I1236" s="88">
        <f t="shared" si="157"/>
        <v>25260</v>
      </c>
      <c r="J1236" s="163">
        <f t="shared" si="153"/>
        <v>0</v>
      </c>
      <c r="K1236" s="155">
        <f t="shared" si="15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55"/>
        <v>0</v>
      </c>
      <c r="O1236" s="155">
        <f t="shared" si="156"/>
        <v>0</v>
      </c>
      <c r="P1236" s="155">
        <f>IF(O1236=1,SUM($O$6:O1236),0)</f>
        <v>0</v>
      </c>
    </row>
    <row r="1237" spans="1:16" ht="15" customHeight="1">
      <c r="A1237" s="15"/>
      <c r="B1237" s="194">
        <v>28</v>
      </c>
      <c r="C1237" s="109" t="s">
        <v>946</v>
      </c>
      <c r="D1237" s="213" t="s">
        <v>49</v>
      </c>
      <c r="E1237" s="214" t="s">
        <v>14</v>
      </c>
      <c r="F1237" s="215">
        <v>25260</v>
      </c>
      <c r="G1237" s="215">
        <v>25260</v>
      </c>
      <c r="H1237" s="175"/>
      <c r="I1237" s="88">
        <f t="shared" si="157"/>
        <v>25260</v>
      </c>
      <c r="J1237" s="163">
        <f t="shared" si="153"/>
        <v>0</v>
      </c>
      <c r="K1237" s="155">
        <f t="shared" si="15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55"/>
        <v>0</v>
      </c>
      <c r="O1237" s="155">
        <f t="shared" si="156"/>
        <v>0</v>
      </c>
      <c r="P1237" s="155">
        <f>IF(O1237=1,SUM($O$6:O1237),0)</f>
        <v>0</v>
      </c>
    </row>
    <row r="1238" spans="1:16" ht="15" customHeight="1">
      <c r="A1238" s="15"/>
      <c r="B1238" s="194">
        <v>29</v>
      </c>
      <c r="C1238" s="109" t="s">
        <v>947</v>
      </c>
      <c r="D1238" s="213" t="s">
        <v>49</v>
      </c>
      <c r="E1238" s="214" t="s">
        <v>14</v>
      </c>
      <c r="F1238" s="215">
        <v>22860</v>
      </c>
      <c r="G1238" s="215">
        <v>22860</v>
      </c>
      <c r="H1238" s="175"/>
      <c r="I1238" s="88">
        <f t="shared" si="157"/>
        <v>22860</v>
      </c>
      <c r="J1238" s="163">
        <f t="shared" si="153"/>
        <v>0</v>
      </c>
      <c r="K1238" s="155">
        <f t="shared" si="15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5"/>
        <v>0</v>
      </c>
      <c r="O1238" s="155">
        <f t="shared" si="156"/>
        <v>0</v>
      </c>
      <c r="P1238" s="155">
        <f>IF(O1238=1,SUM($O$6:O1238),0)</f>
        <v>0</v>
      </c>
    </row>
    <row r="1239" spans="1:16" ht="15" customHeight="1">
      <c r="A1239" s="15"/>
      <c r="B1239" s="194">
        <v>30</v>
      </c>
      <c r="C1239" s="109" t="s">
        <v>948</v>
      </c>
      <c r="D1239" s="213" t="s">
        <v>49</v>
      </c>
      <c r="E1239" s="214" t="s">
        <v>14</v>
      </c>
      <c r="F1239" s="215">
        <v>74340</v>
      </c>
      <c r="G1239" s="215">
        <v>74340</v>
      </c>
      <c r="H1239" s="175"/>
      <c r="I1239" s="88">
        <f t="shared" si="157"/>
        <v>74340</v>
      </c>
      <c r="J1239" s="163">
        <f t="shared" si="153"/>
        <v>0</v>
      </c>
      <c r="K1239" s="155">
        <f t="shared" si="15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5"/>
        <v>0</v>
      </c>
      <c r="O1239" s="155">
        <f t="shared" si="156"/>
        <v>0</v>
      </c>
      <c r="P1239" s="155">
        <f>IF(O1239=1,SUM($O$6:O1239),0)</f>
        <v>0</v>
      </c>
    </row>
    <row r="1240" spans="1:16" ht="15" customHeight="1">
      <c r="A1240" s="15"/>
      <c r="B1240" s="194">
        <v>31</v>
      </c>
      <c r="C1240" s="109" t="s">
        <v>949</v>
      </c>
      <c r="D1240" s="213" t="s">
        <v>49</v>
      </c>
      <c r="E1240" s="214" t="s">
        <v>14</v>
      </c>
      <c r="F1240" s="215">
        <v>74340</v>
      </c>
      <c r="G1240" s="215">
        <v>74340</v>
      </c>
      <c r="H1240" s="175"/>
      <c r="I1240" s="88">
        <f t="shared" si="157"/>
        <v>74340</v>
      </c>
      <c r="J1240" s="163">
        <f t="shared" ref="J1240:J1303" si="158">IF(D1240="MDU-KD",1,0)</f>
        <v>0</v>
      </c>
      <c r="K1240" s="155">
        <f t="shared" ref="K1240:K1303" si="15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60">IF(L1240=0,M1240,L1240)</f>
        <v>0</v>
      </c>
      <c r="O1240" s="155">
        <f t="shared" ref="O1240:O1303" si="16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94">
        <v>32</v>
      </c>
      <c r="C1241" s="109" t="s">
        <v>950</v>
      </c>
      <c r="D1241" s="213" t="s">
        <v>49</v>
      </c>
      <c r="E1241" s="214" t="s">
        <v>14</v>
      </c>
      <c r="F1241" s="215">
        <v>27540</v>
      </c>
      <c r="G1241" s="215">
        <v>27540</v>
      </c>
      <c r="H1241" s="175"/>
      <c r="I1241" s="88">
        <f t="shared" si="157"/>
        <v>27540</v>
      </c>
      <c r="J1241" s="163">
        <f t="shared" si="158"/>
        <v>0</v>
      </c>
      <c r="K1241" s="155">
        <f t="shared" si="15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60"/>
        <v>0</v>
      </c>
      <c r="O1241" s="155">
        <f t="shared" si="161"/>
        <v>0</v>
      </c>
      <c r="P1241" s="155">
        <f>IF(O1241=1,SUM($O$6:O1241),0)</f>
        <v>0</v>
      </c>
    </row>
    <row r="1242" spans="1:16" ht="15" customHeight="1">
      <c r="A1242" s="15"/>
      <c r="B1242" s="194">
        <v>33</v>
      </c>
      <c r="C1242" s="109" t="s">
        <v>951</v>
      </c>
      <c r="D1242" s="213" t="s">
        <v>49</v>
      </c>
      <c r="E1242" s="214" t="s">
        <v>14</v>
      </c>
      <c r="F1242" s="215">
        <v>21480</v>
      </c>
      <c r="G1242" s="215">
        <v>21480</v>
      </c>
      <c r="H1242" s="175"/>
      <c r="I1242" s="88">
        <f t="shared" si="157"/>
        <v>21480</v>
      </c>
      <c r="J1242" s="163">
        <f t="shared" si="158"/>
        <v>0</v>
      </c>
      <c r="K1242" s="155">
        <f t="shared" si="15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60"/>
        <v>0</v>
      </c>
      <c r="O1242" s="155">
        <f t="shared" si="161"/>
        <v>0</v>
      </c>
      <c r="P1242" s="155">
        <f>IF(O1242=1,SUM($O$6:O1242),0)</f>
        <v>0</v>
      </c>
    </row>
    <row r="1243" spans="1:16" ht="15" customHeight="1">
      <c r="A1243" s="15"/>
      <c r="B1243" s="194">
        <v>34</v>
      </c>
      <c r="C1243" s="109" t="s">
        <v>952</v>
      </c>
      <c r="D1243" s="213" t="s">
        <v>49</v>
      </c>
      <c r="E1243" s="214" t="s">
        <v>14</v>
      </c>
      <c r="F1243" s="215">
        <v>25560</v>
      </c>
      <c r="G1243" s="215">
        <v>25560</v>
      </c>
      <c r="H1243" s="175"/>
      <c r="I1243" s="88">
        <f t="shared" si="157"/>
        <v>25560</v>
      </c>
      <c r="J1243" s="163">
        <f t="shared" si="158"/>
        <v>0</v>
      </c>
      <c r="K1243" s="155">
        <f t="shared" si="15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60"/>
        <v>0</v>
      </c>
      <c r="O1243" s="155">
        <f t="shared" si="161"/>
        <v>0</v>
      </c>
      <c r="P1243" s="155">
        <f>IF(O1243=1,SUM($O$6:O1243),0)</f>
        <v>0</v>
      </c>
    </row>
    <row r="1244" spans="1:16" ht="15" customHeight="1">
      <c r="A1244" s="15"/>
      <c r="B1244" s="194">
        <v>35</v>
      </c>
      <c r="C1244" s="109" t="s">
        <v>953</v>
      </c>
      <c r="D1244" s="213" t="s">
        <v>49</v>
      </c>
      <c r="E1244" s="214" t="s">
        <v>14</v>
      </c>
      <c r="F1244" s="215">
        <v>457260</v>
      </c>
      <c r="G1244" s="215">
        <v>457260</v>
      </c>
      <c r="H1244" s="175"/>
      <c r="I1244" s="88">
        <f t="shared" si="157"/>
        <v>457260</v>
      </c>
      <c r="J1244" s="163">
        <f t="shared" si="158"/>
        <v>0</v>
      </c>
      <c r="K1244" s="155">
        <f t="shared" si="15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60"/>
        <v>0</v>
      </c>
      <c r="O1244" s="155">
        <f t="shared" si="161"/>
        <v>0</v>
      </c>
      <c r="P1244" s="155">
        <f>IF(O1244=1,SUM($O$6:O1244),0)</f>
        <v>0</v>
      </c>
    </row>
    <row r="1245" spans="1:16" ht="15" customHeight="1">
      <c r="A1245" s="15"/>
      <c r="B1245" s="194">
        <v>36</v>
      </c>
      <c r="C1245" s="109" t="s">
        <v>380</v>
      </c>
      <c r="D1245" s="213" t="s">
        <v>49</v>
      </c>
      <c r="E1245" s="214" t="s">
        <v>14</v>
      </c>
      <c r="F1245" s="215">
        <v>6360</v>
      </c>
      <c r="G1245" s="215">
        <v>6360</v>
      </c>
      <c r="H1245" s="175"/>
      <c r="I1245" s="88">
        <f t="shared" si="157"/>
        <v>6360</v>
      </c>
      <c r="J1245" s="163">
        <f t="shared" si="158"/>
        <v>0</v>
      </c>
      <c r="K1245" s="155">
        <f t="shared" si="15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60"/>
        <v>0</v>
      </c>
      <c r="O1245" s="155">
        <f t="shared" si="161"/>
        <v>0</v>
      </c>
      <c r="P1245" s="155">
        <f>IF(O1245=1,SUM($O$6:O1245),0)</f>
        <v>0</v>
      </c>
    </row>
    <row r="1246" spans="1:16" ht="15" customHeight="1">
      <c r="A1246" s="15"/>
      <c r="B1246" s="194">
        <v>38</v>
      </c>
      <c r="C1246" s="109" t="s">
        <v>1185</v>
      </c>
      <c r="D1246" s="213" t="s">
        <v>49</v>
      </c>
      <c r="E1246" s="214" t="s">
        <v>14</v>
      </c>
      <c r="F1246" s="215">
        <v>368820</v>
      </c>
      <c r="G1246" s="215">
        <v>368820</v>
      </c>
      <c r="H1246" s="175"/>
      <c r="I1246" s="88">
        <f t="shared" si="157"/>
        <v>368820</v>
      </c>
      <c r="J1246" s="163">
        <f t="shared" si="158"/>
        <v>0</v>
      </c>
      <c r="K1246" s="155">
        <f t="shared" si="15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60"/>
        <v>0</v>
      </c>
      <c r="O1246" s="155">
        <f t="shared" si="161"/>
        <v>0</v>
      </c>
      <c r="P1246" s="155">
        <f>IF(O1246=1,SUM($O$6:O1246),0)</f>
        <v>0</v>
      </c>
    </row>
    <row r="1247" spans="1:16" ht="15" customHeight="1">
      <c r="A1247" s="15"/>
      <c r="B1247" s="194">
        <v>39</v>
      </c>
      <c r="C1247" s="109" t="s">
        <v>1186</v>
      </c>
      <c r="D1247" s="213" t="s">
        <v>49</v>
      </c>
      <c r="E1247" s="214" t="s">
        <v>14</v>
      </c>
      <c r="F1247" s="215">
        <v>497400</v>
      </c>
      <c r="G1247" s="215">
        <v>497400</v>
      </c>
      <c r="H1247" s="175"/>
      <c r="I1247" s="88">
        <f t="shared" si="157"/>
        <v>497400</v>
      </c>
      <c r="J1247" s="163">
        <f t="shared" si="158"/>
        <v>0</v>
      </c>
      <c r="K1247" s="155">
        <f t="shared" si="15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60"/>
        <v>0</v>
      </c>
      <c r="O1247" s="155">
        <f t="shared" si="161"/>
        <v>0</v>
      </c>
      <c r="P1247" s="155">
        <f>IF(O1247=1,SUM($O$6:O1247),0)</f>
        <v>0</v>
      </c>
    </row>
    <row r="1248" spans="1:16" ht="15" customHeight="1">
      <c r="A1248" s="15"/>
      <c r="B1248" s="194">
        <v>41</v>
      </c>
      <c r="C1248" s="109" t="s">
        <v>1026</v>
      </c>
      <c r="D1248" s="213" t="s">
        <v>49</v>
      </c>
      <c r="E1248" s="214" t="s">
        <v>14</v>
      </c>
      <c r="F1248" s="215">
        <v>107520</v>
      </c>
      <c r="G1248" s="215">
        <v>107520</v>
      </c>
      <c r="H1248" s="175"/>
      <c r="I1248" s="88">
        <f t="shared" si="157"/>
        <v>107520</v>
      </c>
      <c r="J1248" s="163">
        <f t="shared" si="158"/>
        <v>0</v>
      </c>
      <c r="K1248" s="155">
        <f t="shared" si="15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60"/>
        <v>0</v>
      </c>
      <c r="O1248" s="155">
        <f t="shared" si="161"/>
        <v>0</v>
      </c>
      <c r="P1248" s="155">
        <f>IF(O1248=1,SUM($O$6:O1248),0)</f>
        <v>0</v>
      </c>
    </row>
    <row r="1249" spans="1:16" ht="15" customHeight="1">
      <c r="A1249" s="15"/>
      <c r="B1249" s="194">
        <v>42</v>
      </c>
      <c r="C1249" s="109" t="s">
        <v>1187</v>
      </c>
      <c r="D1249" s="213" t="s">
        <v>49</v>
      </c>
      <c r="E1249" s="214" t="s">
        <v>476</v>
      </c>
      <c r="F1249" s="215">
        <v>8622.4599999999991</v>
      </c>
      <c r="G1249" s="215">
        <v>8622.4599999999991</v>
      </c>
      <c r="H1249" s="175"/>
      <c r="I1249" s="88">
        <f t="shared" si="157"/>
        <v>8622.4599999999991</v>
      </c>
      <c r="J1249" s="163">
        <f t="shared" si="158"/>
        <v>0</v>
      </c>
      <c r="K1249" s="155">
        <f t="shared" si="15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60"/>
        <v>0</v>
      </c>
      <c r="O1249" s="155">
        <f t="shared" si="161"/>
        <v>0</v>
      </c>
      <c r="P1249" s="155">
        <f>IF(O1249=1,SUM($O$6:O1249),0)</f>
        <v>0</v>
      </c>
    </row>
    <row r="1250" spans="1:16" ht="15" customHeight="1">
      <c r="A1250" s="15"/>
      <c r="B1250" s="194"/>
      <c r="C1250" s="109"/>
      <c r="D1250" s="213" t="s">
        <v>50</v>
      </c>
      <c r="E1250" s="214"/>
      <c r="F1250" s="215">
        <v>0</v>
      </c>
      <c r="G1250" s="215">
        <v>0</v>
      </c>
      <c r="H1250" s="175"/>
      <c r="I1250" s="88">
        <f t="shared" si="157"/>
        <v>0</v>
      </c>
      <c r="J1250" s="163">
        <f t="shared" si="158"/>
        <v>0</v>
      </c>
      <c r="K1250" s="155">
        <f t="shared" si="15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60"/>
        <v>0</v>
      </c>
      <c r="O1250" s="155">
        <f t="shared" si="161"/>
        <v>0</v>
      </c>
      <c r="P1250" s="155">
        <f>IF(O1250=1,SUM($O$6:O1250),0)</f>
        <v>0</v>
      </c>
    </row>
    <row r="1251" spans="1:16" ht="15" customHeight="1">
      <c r="A1251" s="15"/>
      <c r="B1251" s="194" t="s">
        <v>1035</v>
      </c>
      <c r="C1251" s="109" t="s">
        <v>1172</v>
      </c>
      <c r="D1251" s="213" t="s">
        <v>50</v>
      </c>
      <c r="E1251" s="214"/>
      <c r="F1251" s="215">
        <v>0</v>
      </c>
      <c r="G1251" s="215">
        <v>0</v>
      </c>
      <c r="H1251" s="175"/>
      <c r="I1251" s="88">
        <f t="shared" si="157"/>
        <v>0</v>
      </c>
      <c r="J1251" s="163">
        <f t="shared" si="158"/>
        <v>0</v>
      </c>
      <c r="K1251" s="155">
        <f t="shared" si="15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60"/>
        <v>0</v>
      </c>
      <c r="O1251" s="155">
        <f t="shared" si="161"/>
        <v>0</v>
      </c>
      <c r="P1251" s="155">
        <f>IF(O1251=1,SUM($O$6:O1251),0)</f>
        <v>0</v>
      </c>
    </row>
    <row r="1252" spans="1:16" ht="15" customHeight="1">
      <c r="A1252" s="15"/>
      <c r="B1252" s="194">
        <v>1</v>
      </c>
      <c r="C1252" s="109" t="s">
        <v>1188</v>
      </c>
      <c r="D1252" s="213" t="s">
        <v>49</v>
      </c>
      <c r="E1252" s="214" t="s">
        <v>14</v>
      </c>
      <c r="F1252" s="215">
        <v>940920</v>
      </c>
      <c r="G1252" s="215">
        <v>940920</v>
      </c>
      <c r="H1252" s="171"/>
      <c r="I1252" s="88">
        <f t="shared" si="157"/>
        <v>940920</v>
      </c>
      <c r="J1252" s="163">
        <f t="shared" si="158"/>
        <v>0</v>
      </c>
      <c r="K1252" s="155">
        <f t="shared" si="15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60"/>
        <v>0</v>
      </c>
      <c r="O1252" s="155">
        <f t="shared" si="161"/>
        <v>0</v>
      </c>
      <c r="P1252" s="155">
        <f>IF(O1252=1,SUM($O$6:O1252),0)</f>
        <v>0</v>
      </c>
    </row>
    <row r="1253" spans="1:16" ht="15" customHeight="1">
      <c r="A1253" s="15"/>
      <c r="B1253" s="194">
        <v>2</v>
      </c>
      <c r="C1253" s="109" t="s">
        <v>1189</v>
      </c>
      <c r="D1253" s="213" t="s">
        <v>49</v>
      </c>
      <c r="E1253" s="214" t="s">
        <v>14</v>
      </c>
      <c r="F1253" s="215">
        <v>2080260</v>
      </c>
      <c r="G1253" s="215">
        <v>2080260</v>
      </c>
      <c r="H1253" s="175"/>
      <c r="I1253" s="88">
        <f t="shared" si="157"/>
        <v>2080260</v>
      </c>
      <c r="J1253" s="163">
        <f t="shared" si="158"/>
        <v>0</v>
      </c>
      <c r="K1253" s="155">
        <f t="shared" si="15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60"/>
        <v>0</v>
      </c>
      <c r="O1253" s="155">
        <f t="shared" si="161"/>
        <v>0</v>
      </c>
      <c r="P1253" s="155">
        <f>IF(O1253=1,SUM($O$6:O1253),0)</f>
        <v>0</v>
      </c>
    </row>
    <row r="1254" spans="1:16" ht="15" customHeight="1">
      <c r="A1254" s="15"/>
      <c r="B1254" s="194">
        <v>3</v>
      </c>
      <c r="C1254" s="109" t="s">
        <v>1190</v>
      </c>
      <c r="D1254" s="213" t="s">
        <v>49</v>
      </c>
      <c r="E1254" s="214" t="s">
        <v>14</v>
      </c>
      <c r="F1254" s="215">
        <v>2080260</v>
      </c>
      <c r="G1254" s="215">
        <v>2080260</v>
      </c>
      <c r="H1254" s="175"/>
      <c r="I1254" s="88">
        <f t="shared" si="157"/>
        <v>2080260</v>
      </c>
      <c r="J1254" s="163">
        <f t="shared" si="158"/>
        <v>0</v>
      </c>
      <c r="K1254" s="155">
        <f t="shared" si="15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60"/>
        <v>0</v>
      </c>
      <c r="O1254" s="155">
        <f t="shared" si="161"/>
        <v>0</v>
      </c>
      <c r="P1254" s="155">
        <f>IF(O1254=1,SUM($O$6:O1254),0)</f>
        <v>0</v>
      </c>
    </row>
    <row r="1255" spans="1:16" ht="15" customHeight="1">
      <c r="A1255" s="15"/>
      <c r="B1255" s="194">
        <v>4</v>
      </c>
      <c r="C1255" s="109" t="s">
        <v>1191</v>
      </c>
      <c r="D1255" s="213" t="s">
        <v>49</v>
      </c>
      <c r="E1255" s="214" t="s">
        <v>14</v>
      </c>
      <c r="F1255" s="215">
        <v>909420</v>
      </c>
      <c r="G1255" s="215">
        <v>909420</v>
      </c>
      <c r="H1255" s="175"/>
      <c r="I1255" s="88">
        <f t="shared" si="157"/>
        <v>909420</v>
      </c>
      <c r="J1255" s="163">
        <f t="shared" si="158"/>
        <v>0</v>
      </c>
      <c r="K1255" s="155">
        <f t="shared" si="15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60"/>
        <v>0</v>
      </c>
      <c r="O1255" s="155">
        <f t="shared" si="161"/>
        <v>0</v>
      </c>
      <c r="P1255" s="155">
        <f>IF(O1255=1,SUM($O$6:O1255),0)</f>
        <v>0</v>
      </c>
    </row>
    <row r="1256" spans="1:16" ht="15" customHeight="1">
      <c r="A1256" s="15"/>
      <c r="B1256" s="194"/>
      <c r="C1256" s="109"/>
      <c r="D1256" s="213"/>
      <c r="E1256" s="214"/>
      <c r="F1256" s="215">
        <v>0</v>
      </c>
      <c r="G1256" s="215">
        <v>0</v>
      </c>
      <c r="H1256" s="175"/>
      <c r="I1256" s="88">
        <f t="shared" si="157"/>
        <v>0</v>
      </c>
      <c r="J1256" s="163">
        <f t="shared" si="158"/>
        <v>0</v>
      </c>
      <c r="K1256" s="155">
        <f t="shared" si="15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60"/>
        <v>0</v>
      </c>
      <c r="O1256" s="155">
        <f t="shared" si="161"/>
        <v>0</v>
      </c>
      <c r="P1256" s="155">
        <f>IF(O1256=1,SUM($O$6:O1256),0)</f>
        <v>0</v>
      </c>
    </row>
    <row r="1257" spans="1:16" ht="15" customHeight="1">
      <c r="A1257" s="15"/>
      <c r="B1257" s="194" t="s">
        <v>1035</v>
      </c>
      <c r="C1257" s="109" t="s">
        <v>774</v>
      </c>
      <c r="D1257" s="213" t="s">
        <v>50</v>
      </c>
      <c r="E1257" s="214"/>
      <c r="F1257" s="215">
        <v>0</v>
      </c>
      <c r="G1257" s="215">
        <v>0</v>
      </c>
      <c r="H1257" s="175"/>
      <c r="I1257" s="88">
        <f t="shared" si="157"/>
        <v>0</v>
      </c>
      <c r="J1257" s="163">
        <f t="shared" si="158"/>
        <v>0</v>
      </c>
      <c r="K1257" s="155">
        <f t="shared" si="15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60"/>
        <v>0</v>
      </c>
      <c r="O1257" s="155">
        <f t="shared" si="161"/>
        <v>0</v>
      </c>
      <c r="P1257" s="155">
        <f>IF(O1257=1,SUM($O$6:O1257),0)</f>
        <v>0</v>
      </c>
    </row>
    <row r="1258" spans="1:16" ht="15" customHeight="1">
      <c r="A1258" s="15"/>
      <c r="B1258" s="194">
        <v>1</v>
      </c>
      <c r="C1258" s="109" t="s">
        <v>954</v>
      </c>
      <c r="D1258" s="213" t="s">
        <v>49</v>
      </c>
      <c r="E1258" s="214" t="s">
        <v>300</v>
      </c>
      <c r="F1258" s="215">
        <v>285420</v>
      </c>
      <c r="G1258" s="215">
        <v>285420</v>
      </c>
      <c r="H1258" s="175"/>
      <c r="I1258" s="88">
        <f t="shared" si="157"/>
        <v>285420</v>
      </c>
      <c r="J1258" s="163">
        <f t="shared" si="158"/>
        <v>0</v>
      </c>
      <c r="K1258" s="155">
        <f t="shared" si="15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60"/>
        <v>0</v>
      </c>
      <c r="O1258" s="155">
        <f t="shared" si="161"/>
        <v>0</v>
      </c>
      <c r="P1258" s="155">
        <f>IF(O1258=1,SUM($O$6:O1258),0)</f>
        <v>0</v>
      </c>
    </row>
    <row r="1259" spans="1:16" ht="15" customHeight="1">
      <c r="A1259" s="15"/>
      <c r="B1259" s="194">
        <v>2</v>
      </c>
      <c r="C1259" s="109" t="s">
        <v>381</v>
      </c>
      <c r="D1259" s="213" t="s">
        <v>49</v>
      </c>
      <c r="E1259" s="214" t="s">
        <v>300</v>
      </c>
      <c r="F1259" s="215">
        <v>285420</v>
      </c>
      <c r="G1259" s="215">
        <v>285420</v>
      </c>
      <c r="H1259" s="175"/>
      <c r="I1259" s="88">
        <f t="shared" si="157"/>
        <v>285420</v>
      </c>
      <c r="J1259" s="163">
        <f t="shared" si="158"/>
        <v>0</v>
      </c>
      <c r="K1259" s="155">
        <f t="shared" si="15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60"/>
        <v>0</v>
      </c>
      <c r="O1259" s="155">
        <f t="shared" si="161"/>
        <v>0</v>
      </c>
      <c r="P1259" s="155">
        <f>IF(O1259=1,SUM($O$6:O1259),0)</f>
        <v>0</v>
      </c>
    </row>
    <row r="1260" spans="1:16" ht="15" customHeight="1">
      <c r="A1260" s="15"/>
      <c r="B1260" s="194">
        <v>3</v>
      </c>
      <c r="C1260" s="109" t="s">
        <v>382</v>
      </c>
      <c r="D1260" s="213" t="s">
        <v>49</v>
      </c>
      <c r="E1260" s="214" t="s">
        <v>300</v>
      </c>
      <c r="F1260" s="215">
        <v>222780</v>
      </c>
      <c r="G1260" s="215">
        <v>222780</v>
      </c>
      <c r="H1260" s="175"/>
      <c r="I1260" s="88">
        <f t="shared" si="157"/>
        <v>222780</v>
      </c>
      <c r="J1260" s="163">
        <f t="shared" si="158"/>
        <v>0</v>
      </c>
      <c r="K1260" s="155">
        <f t="shared" si="15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60"/>
        <v>0</v>
      </c>
      <c r="O1260" s="155">
        <f t="shared" si="161"/>
        <v>0</v>
      </c>
      <c r="P1260" s="155">
        <f>IF(O1260=1,SUM($O$6:O1260),0)</f>
        <v>0</v>
      </c>
    </row>
    <row r="1261" spans="1:16" ht="15" customHeight="1">
      <c r="A1261" s="15"/>
      <c r="B1261" s="194">
        <v>4</v>
      </c>
      <c r="C1261" s="109" t="s">
        <v>383</v>
      </c>
      <c r="D1261" s="213" t="s">
        <v>49</v>
      </c>
      <c r="E1261" s="214" t="s">
        <v>300</v>
      </c>
      <c r="F1261" s="215">
        <v>211020</v>
      </c>
      <c r="G1261" s="215">
        <v>211020</v>
      </c>
      <c r="H1261" s="175"/>
      <c r="I1261" s="88">
        <f t="shared" si="157"/>
        <v>211020</v>
      </c>
      <c r="J1261" s="163">
        <f t="shared" si="158"/>
        <v>0</v>
      </c>
      <c r="K1261" s="155">
        <f t="shared" si="15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60"/>
        <v>0</v>
      </c>
      <c r="O1261" s="155">
        <f t="shared" si="161"/>
        <v>0</v>
      </c>
      <c r="P1261" s="155">
        <f>IF(O1261=1,SUM($O$6:O1261),0)</f>
        <v>0</v>
      </c>
    </row>
    <row r="1262" spans="1:16" ht="15" customHeight="1">
      <c r="A1262" s="15"/>
      <c r="B1262" s="194">
        <v>5</v>
      </c>
      <c r="C1262" s="109" t="s">
        <v>384</v>
      </c>
      <c r="D1262" s="213" t="s">
        <v>49</v>
      </c>
      <c r="E1262" s="214" t="s">
        <v>300</v>
      </c>
      <c r="F1262" s="215">
        <v>180060</v>
      </c>
      <c r="G1262" s="215">
        <v>180060</v>
      </c>
      <c r="H1262" s="175"/>
      <c r="I1262" s="88">
        <f t="shared" si="157"/>
        <v>180060</v>
      </c>
      <c r="J1262" s="163">
        <f t="shared" si="158"/>
        <v>0</v>
      </c>
      <c r="K1262" s="155">
        <f t="shared" si="15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60"/>
        <v>0</v>
      </c>
      <c r="O1262" s="155">
        <f t="shared" si="161"/>
        <v>0</v>
      </c>
      <c r="P1262" s="155">
        <f>IF(O1262=1,SUM($O$6:O1262),0)</f>
        <v>0</v>
      </c>
    </row>
    <row r="1263" spans="1:16" ht="15" customHeight="1">
      <c r="A1263" s="15"/>
      <c r="B1263" s="194">
        <v>6</v>
      </c>
      <c r="C1263" s="109" t="s">
        <v>385</v>
      </c>
      <c r="D1263" s="213" t="s">
        <v>49</v>
      </c>
      <c r="E1263" s="214" t="s">
        <v>300</v>
      </c>
      <c r="F1263" s="215">
        <v>174540</v>
      </c>
      <c r="G1263" s="215">
        <v>174540</v>
      </c>
      <c r="H1263" s="175"/>
      <c r="I1263" s="88">
        <f t="shared" si="157"/>
        <v>174540</v>
      </c>
      <c r="J1263" s="163">
        <f t="shared" si="158"/>
        <v>0</v>
      </c>
      <c r="K1263" s="155">
        <f t="shared" si="15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60"/>
        <v>0</v>
      </c>
      <c r="O1263" s="155">
        <f t="shared" si="161"/>
        <v>0</v>
      </c>
      <c r="P1263" s="155">
        <f>IF(O1263=1,SUM($O$6:O1263),0)</f>
        <v>0</v>
      </c>
    </row>
    <row r="1264" spans="1:16" ht="15" customHeight="1">
      <c r="A1264" s="15"/>
      <c r="B1264" s="194">
        <v>7</v>
      </c>
      <c r="C1264" s="109" t="s">
        <v>386</v>
      </c>
      <c r="D1264" s="213" t="s">
        <v>49</v>
      </c>
      <c r="E1264" s="214" t="s">
        <v>300</v>
      </c>
      <c r="F1264" s="215">
        <v>174360</v>
      </c>
      <c r="G1264" s="215">
        <v>174360</v>
      </c>
      <c r="H1264" s="175"/>
      <c r="I1264" s="88">
        <f t="shared" si="157"/>
        <v>174360</v>
      </c>
      <c r="J1264" s="163">
        <f t="shared" si="158"/>
        <v>0</v>
      </c>
      <c r="K1264" s="155">
        <f t="shared" si="15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60"/>
        <v>0</v>
      </c>
      <c r="O1264" s="155">
        <f t="shared" si="161"/>
        <v>0</v>
      </c>
      <c r="P1264" s="155">
        <f>IF(O1264=1,SUM($O$6:O1264),0)</f>
        <v>0</v>
      </c>
    </row>
    <row r="1265" spans="1:16" ht="15" customHeight="1">
      <c r="A1265" s="15"/>
      <c r="B1265" s="194">
        <v>8</v>
      </c>
      <c r="C1265" s="109" t="s">
        <v>387</v>
      </c>
      <c r="D1265" s="213" t="s">
        <v>49</v>
      </c>
      <c r="E1265" s="214" t="s">
        <v>300</v>
      </c>
      <c r="F1265" s="215">
        <v>148200</v>
      </c>
      <c r="G1265" s="215">
        <v>148200</v>
      </c>
      <c r="H1265" s="175"/>
      <c r="I1265" s="88">
        <f t="shared" ref="I1265:I1329" si="162">IF($I$5=$G$4,G1265,(IF($I$5=$F$4,F1265,0)))</f>
        <v>148200</v>
      </c>
      <c r="J1265" s="163">
        <f t="shared" si="158"/>
        <v>0</v>
      </c>
      <c r="K1265" s="155">
        <f t="shared" si="15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60"/>
        <v>0</v>
      </c>
      <c r="O1265" s="155">
        <f t="shared" si="161"/>
        <v>0</v>
      </c>
      <c r="P1265" s="155">
        <f>IF(O1265=1,SUM($O$6:O1265),0)</f>
        <v>0</v>
      </c>
    </row>
    <row r="1266" spans="1:16" ht="15" customHeight="1">
      <c r="A1266" s="15"/>
      <c r="B1266" s="194">
        <v>9</v>
      </c>
      <c r="C1266" s="109" t="s">
        <v>388</v>
      </c>
      <c r="D1266" s="213" t="s">
        <v>49</v>
      </c>
      <c r="E1266" s="214" t="s">
        <v>300</v>
      </c>
      <c r="F1266" s="215">
        <v>165600</v>
      </c>
      <c r="G1266" s="215">
        <v>165600</v>
      </c>
      <c r="H1266" s="175"/>
      <c r="I1266" s="88">
        <f t="shared" si="162"/>
        <v>165600</v>
      </c>
      <c r="J1266" s="163">
        <f t="shared" si="158"/>
        <v>0</v>
      </c>
      <c r="K1266" s="155">
        <f t="shared" si="15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60"/>
        <v>0</v>
      </c>
      <c r="O1266" s="155">
        <f t="shared" si="161"/>
        <v>0</v>
      </c>
      <c r="P1266" s="155">
        <f>IF(O1266=1,SUM($O$6:O1266),0)</f>
        <v>0</v>
      </c>
    </row>
    <row r="1267" spans="1:16" ht="15" customHeight="1">
      <c r="A1267" s="15"/>
      <c r="B1267" s="194">
        <v>10</v>
      </c>
      <c r="C1267" s="109" t="s">
        <v>389</v>
      </c>
      <c r="D1267" s="213" t="s">
        <v>49</v>
      </c>
      <c r="E1267" s="214" t="s">
        <v>300</v>
      </c>
      <c r="F1267" s="215">
        <v>160860</v>
      </c>
      <c r="G1267" s="215">
        <v>160860</v>
      </c>
      <c r="H1267" s="175"/>
      <c r="I1267" s="88">
        <f t="shared" si="162"/>
        <v>160860</v>
      </c>
      <c r="J1267" s="163">
        <f t="shared" si="158"/>
        <v>0</v>
      </c>
      <c r="K1267" s="155">
        <f t="shared" si="15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60"/>
        <v>0</v>
      </c>
      <c r="O1267" s="155">
        <f t="shared" si="161"/>
        <v>0</v>
      </c>
      <c r="P1267" s="155">
        <f>IF(O1267=1,SUM($O$6:O1267),0)</f>
        <v>0</v>
      </c>
    </row>
    <row r="1268" spans="1:16" ht="15" customHeight="1">
      <c r="A1268" s="15"/>
      <c r="B1268" s="194">
        <v>11</v>
      </c>
      <c r="C1268" s="109" t="s">
        <v>390</v>
      </c>
      <c r="D1268" s="213" t="s">
        <v>49</v>
      </c>
      <c r="E1268" s="214" t="s">
        <v>300</v>
      </c>
      <c r="F1268" s="215">
        <v>133440</v>
      </c>
      <c r="G1268" s="215">
        <v>133440</v>
      </c>
      <c r="H1268" s="175"/>
      <c r="I1268" s="88">
        <f t="shared" si="162"/>
        <v>133440</v>
      </c>
      <c r="J1268" s="163">
        <f t="shared" si="158"/>
        <v>0</v>
      </c>
      <c r="K1268" s="155">
        <f t="shared" si="15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60"/>
        <v>0</v>
      </c>
      <c r="O1268" s="155">
        <f t="shared" si="161"/>
        <v>0</v>
      </c>
      <c r="P1268" s="155">
        <f>IF(O1268=1,SUM($O$6:O1268),0)</f>
        <v>0</v>
      </c>
    </row>
    <row r="1269" spans="1:16" ht="15" customHeight="1">
      <c r="A1269" s="15"/>
      <c r="B1269" s="194">
        <v>12</v>
      </c>
      <c r="C1269" s="109" t="s">
        <v>391</v>
      </c>
      <c r="D1269" s="213" t="s">
        <v>49</v>
      </c>
      <c r="E1269" s="214" t="s">
        <v>300</v>
      </c>
      <c r="F1269" s="215">
        <v>133440</v>
      </c>
      <c r="G1269" s="215">
        <v>133440</v>
      </c>
      <c r="H1269" s="175"/>
      <c r="I1269" s="88">
        <f t="shared" si="162"/>
        <v>133440</v>
      </c>
      <c r="J1269" s="163">
        <f t="shared" si="158"/>
        <v>0</v>
      </c>
      <c r="K1269" s="155">
        <f t="shared" si="15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60"/>
        <v>0</v>
      </c>
      <c r="O1269" s="155">
        <f t="shared" si="161"/>
        <v>0</v>
      </c>
      <c r="P1269" s="155">
        <f>IF(O1269=1,SUM($O$6:O1269),0)</f>
        <v>0</v>
      </c>
    </row>
    <row r="1270" spans="1:16" ht="15" customHeight="1">
      <c r="A1270" s="15"/>
      <c r="B1270" s="194">
        <v>13</v>
      </c>
      <c r="C1270" s="109" t="s">
        <v>392</v>
      </c>
      <c r="D1270" s="213" t="s">
        <v>49</v>
      </c>
      <c r="E1270" s="214" t="s">
        <v>300</v>
      </c>
      <c r="F1270" s="215">
        <v>118380</v>
      </c>
      <c r="G1270" s="215">
        <v>118380</v>
      </c>
      <c r="H1270" s="175"/>
      <c r="I1270" s="88">
        <f t="shared" si="162"/>
        <v>118380</v>
      </c>
      <c r="J1270" s="163">
        <f t="shared" si="158"/>
        <v>0</v>
      </c>
      <c r="K1270" s="155">
        <f t="shared" si="15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60"/>
        <v>0</v>
      </c>
      <c r="O1270" s="155">
        <f t="shared" si="161"/>
        <v>0</v>
      </c>
      <c r="P1270" s="155">
        <f>IF(O1270=1,SUM($O$6:O1270),0)</f>
        <v>0</v>
      </c>
    </row>
    <row r="1271" spans="1:16" ht="15" customHeight="1">
      <c r="A1271" s="15"/>
      <c r="B1271" s="194">
        <v>14</v>
      </c>
      <c r="C1271" s="109" t="s">
        <v>393</v>
      </c>
      <c r="D1271" s="213" t="s">
        <v>49</v>
      </c>
      <c r="E1271" s="214" t="s">
        <v>300</v>
      </c>
      <c r="F1271" s="215">
        <v>89520</v>
      </c>
      <c r="G1271" s="215">
        <v>89520</v>
      </c>
      <c r="H1271" s="175"/>
      <c r="I1271" s="88">
        <f t="shared" si="162"/>
        <v>89520</v>
      </c>
      <c r="J1271" s="163">
        <f t="shared" si="158"/>
        <v>0</v>
      </c>
      <c r="K1271" s="155">
        <f t="shared" si="15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60"/>
        <v>0</v>
      </c>
      <c r="O1271" s="155">
        <f t="shared" si="161"/>
        <v>0</v>
      </c>
      <c r="P1271" s="155">
        <f>IF(O1271=1,SUM($O$6:O1271),0)</f>
        <v>0</v>
      </c>
    </row>
    <row r="1272" spans="1:16" ht="15" customHeight="1">
      <c r="A1272" s="15"/>
      <c r="B1272" s="194">
        <v>15</v>
      </c>
      <c r="C1272" s="109" t="s">
        <v>394</v>
      </c>
      <c r="D1272" s="213" t="s">
        <v>49</v>
      </c>
      <c r="E1272" s="214" t="s">
        <v>300</v>
      </c>
      <c r="F1272" s="215">
        <v>234120</v>
      </c>
      <c r="G1272" s="215">
        <v>234120</v>
      </c>
      <c r="H1272" s="175"/>
      <c r="I1272" s="88">
        <f t="shared" si="162"/>
        <v>234120</v>
      </c>
      <c r="J1272" s="163">
        <f t="shared" si="158"/>
        <v>0</v>
      </c>
      <c r="K1272" s="155">
        <f t="shared" si="15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60"/>
        <v>0</v>
      </c>
      <c r="O1272" s="155">
        <f t="shared" si="161"/>
        <v>0</v>
      </c>
      <c r="P1272" s="155">
        <f>IF(O1272=1,SUM($O$6:O1272),0)</f>
        <v>0</v>
      </c>
    </row>
    <row r="1273" spans="1:16" ht="15" customHeight="1">
      <c r="A1273" s="15"/>
      <c r="B1273" s="194">
        <v>16</v>
      </c>
      <c r="C1273" s="109" t="s">
        <v>396</v>
      </c>
      <c r="D1273" s="213" t="s">
        <v>49</v>
      </c>
      <c r="E1273" s="214" t="s">
        <v>300</v>
      </c>
      <c r="F1273" s="215">
        <v>184560</v>
      </c>
      <c r="G1273" s="215">
        <v>184560</v>
      </c>
      <c r="H1273" s="175"/>
      <c r="I1273" s="88">
        <f t="shared" si="162"/>
        <v>184560</v>
      </c>
      <c r="J1273" s="163">
        <f t="shared" si="158"/>
        <v>0</v>
      </c>
      <c r="K1273" s="155">
        <f t="shared" si="15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60"/>
        <v>0</v>
      </c>
      <c r="O1273" s="155">
        <f t="shared" si="161"/>
        <v>0</v>
      </c>
      <c r="P1273" s="155">
        <f>IF(O1273=1,SUM($O$6:O1273),0)</f>
        <v>0</v>
      </c>
    </row>
    <row r="1274" spans="1:16" ht="15" customHeight="1">
      <c r="A1274" s="15"/>
      <c r="B1274" s="194">
        <v>17</v>
      </c>
      <c r="C1274" s="109" t="s">
        <v>398</v>
      </c>
      <c r="D1274" s="213" t="s">
        <v>49</v>
      </c>
      <c r="E1274" s="214" t="s">
        <v>300</v>
      </c>
      <c r="F1274" s="215">
        <v>156960</v>
      </c>
      <c r="G1274" s="215">
        <v>156960</v>
      </c>
      <c r="H1274" s="175"/>
      <c r="I1274" s="88">
        <f t="shared" si="162"/>
        <v>156960</v>
      </c>
      <c r="J1274" s="163">
        <f t="shared" si="158"/>
        <v>0</v>
      </c>
      <c r="K1274" s="155">
        <f t="shared" si="15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60"/>
        <v>0</v>
      </c>
      <c r="O1274" s="155">
        <f t="shared" si="161"/>
        <v>0</v>
      </c>
      <c r="P1274" s="155">
        <f>IF(O1274=1,SUM($O$6:O1274),0)</f>
        <v>0</v>
      </c>
    </row>
    <row r="1275" spans="1:16" ht="15" customHeight="1">
      <c r="A1275" s="15"/>
      <c r="B1275" s="194">
        <v>18</v>
      </c>
      <c r="C1275" s="109" t="s">
        <v>400</v>
      </c>
      <c r="D1275" s="213" t="s">
        <v>49</v>
      </c>
      <c r="E1275" s="214" t="s">
        <v>300</v>
      </c>
      <c r="F1275" s="215">
        <v>119220</v>
      </c>
      <c r="G1275" s="215">
        <v>119220</v>
      </c>
      <c r="H1275" s="171"/>
      <c r="I1275" s="88">
        <f t="shared" si="162"/>
        <v>119220</v>
      </c>
      <c r="J1275" s="163">
        <f t="shared" si="158"/>
        <v>0</v>
      </c>
      <c r="K1275" s="155">
        <f t="shared" si="15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60"/>
        <v>0</v>
      </c>
      <c r="O1275" s="155">
        <f t="shared" si="161"/>
        <v>0</v>
      </c>
      <c r="P1275" s="155">
        <f>IF(O1275=1,SUM($O$6:O1275),0)</f>
        <v>0</v>
      </c>
    </row>
    <row r="1276" spans="1:16" ht="15" customHeight="1">
      <c r="A1276" s="15"/>
      <c r="B1276" s="194">
        <v>19</v>
      </c>
      <c r="C1276" s="109" t="s">
        <v>395</v>
      </c>
      <c r="D1276" s="213" t="s">
        <v>49</v>
      </c>
      <c r="E1276" s="214" t="s">
        <v>300</v>
      </c>
      <c r="F1276" s="215">
        <v>163560</v>
      </c>
      <c r="G1276" s="215">
        <v>163560</v>
      </c>
      <c r="H1276" s="171"/>
      <c r="I1276" s="88">
        <f t="shared" si="162"/>
        <v>163560</v>
      </c>
      <c r="J1276" s="163">
        <f t="shared" si="158"/>
        <v>0</v>
      </c>
      <c r="K1276" s="155">
        <f t="shared" si="15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60"/>
        <v>0</v>
      </c>
      <c r="O1276" s="155">
        <f t="shared" si="161"/>
        <v>0</v>
      </c>
      <c r="P1276" s="155">
        <f>IF(O1276=1,SUM($O$6:O1276),0)</f>
        <v>0</v>
      </c>
    </row>
    <row r="1277" spans="1:16" ht="15" customHeight="1">
      <c r="A1277" s="15"/>
      <c r="B1277" s="194">
        <v>20</v>
      </c>
      <c r="C1277" s="109" t="s">
        <v>397</v>
      </c>
      <c r="D1277" s="213" t="s">
        <v>49</v>
      </c>
      <c r="E1277" s="214" t="s">
        <v>300</v>
      </c>
      <c r="F1277" s="215">
        <v>146040</v>
      </c>
      <c r="G1277" s="215">
        <v>146040</v>
      </c>
      <c r="H1277" s="171"/>
      <c r="I1277" s="88">
        <f t="shared" si="162"/>
        <v>146040</v>
      </c>
      <c r="J1277" s="163">
        <f t="shared" si="158"/>
        <v>0</v>
      </c>
      <c r="K1277" s="155">
        <f t="shared" si="15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60"/>
        <v>0</v>
      </c>
      <c r="O1277" s="155">
        <f t="shared" si="161"/>
        <v>0</v>
      </c>
      <c r="P1277" s="155">
        <f>IF(O1277=1,SUM($O$6:O1277),0)</f>
        <v>0</v>
      </c>
    </row>
    <row r="1278" spans="1:16" ht="15" customHeight="1">
      <c r="A1278" s="15"/>
      <c r="B1278" s="194">
        <v>21</v>
      </c>
      <c r="C1278" s="109" t="s">
        <v>399</v>
      </c>
      <c r="D1278" s="213" t="s">
        <v>49</v>
      </c>
      <c r="E1278" s="214" t="s">
        <v>300</v>
      </c>
      <c r="F1278" s="215">
        <v>107580</v>
      </c>
      <c r="G1278" s="215">
        <v>107580</v>
      </c>
      <c r="H1278" s="171"/>
      <c r="I1278" s="88">
        <f t="shared" si="162"/>
        <v>107580</v>
      </c>
      <c r="J1278" s="163">
        <f t="shared" si="158"/>
        <v>0</v>
      </c>
      <c r="K1278" s="155">
        <f t="shared" si="15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60"/>
        <v>0</v>
      </c>
      <c r="O1278" s="155">
        <f t="shared" si="161"/>
        <v>0</v>
      </c>
      <c r="P1278" s="155">
        <f>IF(O1278=1,SUM($O$6:O1278),0)</f>
        <v>0</v>
      </c>
    </row>
    <row r="1279" spans="1:16" ht="15" customHeight="1">
      <c r="A1279" s="15"/>
      <c r="B1279" s="194">
        <v>22</v>
      </c>
      <c r="C1279" s="109" t="s">
        <v>401</v>
      </c>
      <c r="D1279" s="213" t="s">
        <v>49</v>
      </c>
      <c r="E1279" s="214" t="s">
        <v>300</v>
      </c>
      <c r="F1279" s="215">
        <v>91140</v>
      </c>
      <c r="G1279" s="215">
        <v>91140</v>
      </c>
      <c r="H1279" s="171"/>
      <c r="I1279" s="88">
        <f t="shared" si="162"/>
        <v>91140</v>
      </c>
      <c r="J1279" s="163">
        <f t="shared" si="158"/>
        <v>0</v>
      </c>
      <c r="K1279" s="155">
        <f t="shared" si="15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60"/>
        <v>0</v>
      </c>
      <c r="O1279" s="155">
        <f t="shared" si="161"/>
        <v>0</v>
      </c>
      <c r="P1279" s="155">
        <f>IF(O1279=1,SUM($O$6:O1279),0)</f>
        <v>0</v>
      </c>
    </row>
    <row r="1280" spans="1:16" ht="15" customHeight="1">
      <c r="A1280" s="15"/>
      <c r="B1280" s="194">
        <v>23</v>
      </c>
      <c r="C1280" s="109" t="s">
        <v>955</v>
      </c>
      <c r="D1280" s="213" t="s">
        <v>49</v>
      </c>
      <c r="E1280" s="214" t="s">
        <v>300</v>
      </c>
      <c r="F1280" s="215">
        <v>81891.065868368882</v>
      </c>
      <c r="G1280" s="215">
        <v>81891.065868368882</v>
      </c>
      <c r="H1280" s="171"/>
      <c r="I1280" s="88">
        <f t="shared" si="162"/>
        <v>81891.065868368882</v>
      </c>
      <c r="J1280" s="163">
        <f t="shared" si="158"/>
        <v>0</v>
      </c>
      <c r="K1280" s="155">
        <f t="shared" si="15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60"/>
        <v>0</v>
      </c>
      <c r="O1280" s="155">
        <f t="shared" si="161"/>
        <v>0</v>
      </c>
      <c r="P1280" s="155">
        <f>IF(O1280=1,SUM($O$6:O1280),0)</f>
        <v>0</v>
      </c>
    </row>
    <row r="1281" spans="1:16" ht="15" customHeight="1">
      <c r="A1281" s="15"/>
      <c r="B1281" s="194">
        <v>24</v>
      </c>
      <c r="C1281" s="109" t="s">
        <v>956</v>
      </c>
      <c r="D1281" s="213" t="s">
        <v>49</v>
      </c>
      <c r="E1281" s="214" t="s">
        <v>300</v>
      </c>
      <c r="F1281" s="215">
        <v>75288.699780185358</v>
      </c>
      <c r="G1281" s="215">
        <v>75288.699780185358</v>
      </c>
      <c r="H1281" s="171"/>
      <c r="I1281" s="88">
        <f t="shared" si="162"/>
        <v>75288.699780185358</v>
      </c>
      <c r="J1281" s="163">
        <f t="shared" si="158"/>
        <v>0</v>
      </c>
      <c r="K1281" s="155">
        <f t="shared" si="15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60"/>
        <v>0</v>
      </c>
      <c r="O1281" s="155">
        <f t="shared" si="161"/>
        <v>0</v>
      </c>
      <c r="P1281" s="155">
        <f>IF(O1281=1,SUM($O$6:O1281),0)</f>
        <v>0</v>
      </c>
    </row>
    <row r="1282" spans="1:16" ht="15" customHeight="1">
      <c r="A1282" s="15"/>
      <c r="B1282" s="194">
        <v>25</v>
      </c>
      <c r="C1282" s="109" t="s">
        <v>957</v>
      </c>
      <c r="D1282" s="213" t="s">
        <v>49</v>
      </c>
      <c r="E1282" s="214" t="s">
        <v>300</v>
      </c>
      <c r="F1282" s="215">
        <v>69120</v>
      </c>
      <c r="G1282" s="215">
        <v>69120</v>
      </c>
      <c r="H1282" s="171"/>
      <c r="I1282" s="88">
        <f t="shared" si="162"/>
        <v>69120</v>
      </c>
      <c r="J1282" s="163">
        <f t="shared" si="158"/>
        <v>0</v>
      </c>
      <c r="K1282" s="155">
        <f t="shared" si="15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60"/>
        <v>0</v>
      </c>
      <c r="O1282" s="155">
        <f t="shared" si="161"/>
        <v>0</v>
      </c>
      <c r="P1282" s="155">
        <f>IF(O1282=1,SUM($O$6:O1282),0)</f>
        <v>0</v>
      </c>
    </row>
    <row r="1283" spans="1:16" ht="15" customHeight="1">
      <c r="A1283" s="15"/>
      <c r="B1283" s="194">
        <v>26</v>
      </c>
      <c r="C1283" s="109" t="s">
        <v>958</v>
      </c>
      <c r="D1283" s="213" t="s">
        <v>49</v>
      </c>
      <c r="E1283" s="214" t="s">
        <v>300</v>
      </c>
      <c r="F1283" s="215">
        <v>69000</v>
      </c>
      <c r="G1283" s="215">
        <v>69000</v>
      </c>
      <c r="H1283" s="171"/>
      <c r="I1283" s="88">
        <f t="shared" si="162"/>
        <v>69000</v>
      </c>
      <c r="J1283" s="163">
        <f t="shared" si="158"/>
        <v>0</v>
      </c>
      <c r="K1283" s="155">
        <f t="shared" si="15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60"/>
        <v>0</v>
      </c>
      <c r="O1283" s="155">
        <f t="shared" si="161"/>
        <v>0</v>
      </c>
      <c r="P1283" s="155">
        <f>IF(O1283=1,SUM($O$6:O1283),0)</f>
        <v>0</v>
      </c>
    </row>
    <row r="1284" spans="1:16" ht="15" customHeight="1">
      <c r="A1284" s="15"/>
      <c r="B1284" s="194">
        <v>27</v>
      </c>
      <c r="C1284" s="109" t="s">
        <v>959</v>
      </c>
      <c r="D1284" s="213" t="s">
        <v>49</v>
      </c>
      <c r="E1284" s="214" t="s">
        <v>300</v>
      </c>
      <c r="F1284" s="215">
        <v>61080</v>
      </c>
      <c r="G1284" s="215">
        <v>61080</v>
      </c>
      <c r="H1284" s="171"/>
      <c r="I1284" s="88">
        <f t="shared" si="162"/>
        <v>61080</v>
      </c>
      <c r="J1284" s="163">
        <f t="shared" si="158"/>
        <v>0</v>
      </c>
      <c r="K1284" s="155">
        <f t="shared" si="15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60"/>
        <v>0</v>
      </c>
      <c r="O1284" s="155">
        <f t="shared" si="161"/>
        <v>0</v>
      </c>
      <c r="P1284" s="155">
        <f>IF(O1284=1,SUM($O$6:O1284),0)</f>
        <v>0</v>
      </c>
    </row>
    <row r="1285" spans="1:16" ht="15" customHeight="1">
      <c r="A1285" s="15"/>
      <c r="B1285" s="194">
        <v>28</v>
      </c>
      <c r="C1285" s="109" t="s">
        <v>402</v>
      </c>
      <c r="D1285" s="213" t="s">
        <v>49</v>
      </c>
      <c r="E1285" s="214" t="s">
        <v>300</v>
      </c>
      <c r="F1285" s="215">
        <v>313962</v>
      </c>
      <c r="G1285" s="215">
        <v>313962</v>
      </c>
      <c r="H1285" s="171"/>
      <c r="I1285" s="88">
        <f t="shared" si="162"/>
        <v>313962</v>
      </c>
      <c r="J1285" s="163">
        <f t="shared" si="158"/>
        <v>0</v>
      </c>
      <c r="K1285" s="155">
        <f t="shared" si="15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60"/>
        <v>0</v>
      </c>
      <c r="O1285" s="155">
        <f t="shared" si="161"/>
        <v>0</v>
      </c>
      <c r="P1285" s="155">
        <f>IF(O1285=1,SUM($O$6:O1285),0)</f>
        <v>0</v>
      </c>
    </row>
    <row r="1286" spans="1:16" ht="15" customHeight="1">
      <c r="A1286" s="15"/>
      <c r="B1286" s="194">
        <v>29</v>
      </c>
      <c r="C1286" s="109" t="s">
        <v>403</v>
      </c>
      <c r="D1286" s="213" t="s">
        <v>49</v>
      </c>
      <c r="E1286" s="214" t="s">
        <v>300</v>
      </c>
      <c r="F1286" s="215">
        <v>313962</v>
      </c>
      <c r="G1286" s="215">
        <v>313962</v>
      </c>
      <c r="H1286" s="171"/>
      <c r="I1286" s="88">
        <f t="shared" si="162"/>
        <v>313962</v>
      </c>
      <c r="J1286" s="163">
        <f t="shared" si="158"/>
        <v>0</v>
      </c>
      <c r="K1286" s="155">
        <f t="shared" si="15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60"/>
        <v>0</v>
      </c>
      <c r="O1286" s="155">
        <f t="shared" si="161"/>
        <v>0</v>
      </c>
      <c r="P1286" s="155">
        <f>IF(O1286=1,SUM($O$6:O1286),0)</f>
        <v>0</v>
      </c>
    </row>
    <row r="1287" spans="1:16" ht="15" customHeight="1">
      <c r="A1287" s="15"/>
      <c r="B1287" s="194">
        <v>30</v>
      </c>
      <c r="C1287" s="109" t="s">
        <v>404</v>
      </c>
      <c r="D1287" s="213" t="s">
        <v>49</v>
      </c>
      <c r="E1287" s="214" t="s">
        <v>300</v>
      </c>
      <c r="F1287" s="215">
        <v>245058.00000000003</v>
      </c>
      <c r="G1287" s="215">
        <v>245058.00000000003</v>
      </c>
      <c r="H1287" s="171"/>
      <c r="I1287" s="88">
        <f t="shared" si="162"/>
        <v>245058.00000000003</v>
      </c>
      <c r="J1287" s="163">
        <f t="shared" si="158"/>
        <v>0</v>
      </c>
      <c r="K1287" s="155">
        <f t="shared" si="15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60"/>
        <v>0</v>
      </c>
      <c r="O1287" s="155">
        <f t="shared" si="161"/>
        <v>0</v>
      </c>
      <c r="P1287" s="155">
        <f>IF(O1287=1,SUM($O$6:O1287),0)</f>
        <v>0</v>
      </c>
    </row>
    <row r="1288" spans="1:16" ht="15" customHeight="1">
      <c r="A1288" s="15"/>
      <c r="B1288" s="194">
        <v>31</v>
      </c>
      <c r="C1288" s="109" t="s">
        <v>405</v>
      </c>
      <c r="D1288" s="213" t="s">
        <v>49</v>
      </c>
      <c r="E1288" s="214" t="s">
        <v>300</v>
      </c>
      <c r="F1288" s="215">
        <v>232122.00000000003</v>
      </c>
      <c r="G1288" s="215">
        <v>232122.00000000003</v>
      </c>
      <c r="H1288" s="171"/>
      <c r="I1288" s="88">
        <f t="shared" si="162"/>
        <v>232122.00000000003</v>
      </c>
      <c r="J1288" s="163">
        <f t="shared" si="158"/>
        <v>0</v>
      </c>
      <c r="K1288" s="155">
        <f t="shared" si="15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60"/>
        <v>0</v>
      </c>
      <c r="O1288" s="155">
        <f t="shared" si="161"/>
        <v>0</v>
      </c>
      <c r="P1288" s="155">
        <f>IF(O1288=1,SUM($O$6:O1288),0)</f>
        <v>0</v>
      </c>
    </row>
    <row r="1289" spans="1:16" ht="15" customHeight="1">
      <c r="A1289" s="15"/>
      <c r="B1289" s="194">
        <v>32</v>
      </c>
      <c r="C1289" s="109" t="s">
        <v>406</v>
      </c>
      <c r="D1289" s="213" t="s">
        <v>49</v>
      </c>
      <c r="E1289" s="214" t="s">
        <v>300</v>
      </c>
      <c r="F1289" s="215">
        <v>198066</v>
      </c>
      <c r="G1289" s="215">
        <v>198066</v>
      </c>
      <c r="H1289" s="171"/>
      <c r="I1289" s="88">
        <f t="shared" si="162"/>
        <v>198066</v>
      </c>
      <c r="J1289" s="163">
        <f t="shared" si="158"/>
        <v>0</v>
      </c>
      <c r="K1289" s="155">
        <f t="shared" si="15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60"/>
        <v>0</v>
      </c>
      <c r="O1289" s="155">
        <f t="shared" si="161"/>
        <v>0</v>
      </c>
      <c r="P1289" s="155">
        <f>IF(O1289=1,SUM($O$6:O1289),0)</f>
        <v>0</v>
      </c>
    </row>
    <row r="1290" spans="1:16" ht="15" customHeight="1">
      <c r="A1290" s="15"/>
      <c r="B1290" s="194">
        <v>33</v>
      </c>
      <c r="C1290" s="109" t="s">
        <v>407</v>
      </c>
      <c r="D1290" s="213" t="s">
        <v>49</v>
      </c>
      <c r="E1290" s="214" t="s">
        <v>300</v>
      </c>
      <c r="F1290" s="215">
        <v>191994</v>
      </c>
      <c r="G1290" s="215">
        <v>191994</v>
      </c>
      <c r="H1290" s="171"/>
      <c r="I1290" s="88">
        <f t="shared" si="162"/>
        <v>191994</v>
      </c>
      <c r="J1290" s="163">
        <f t="shared" si="158"/>
        <v>0</v>
      </c>
      <c r="K1290" s="155">
        <f t="shared" si="15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60"/>
        <v>0</v>
      </c>
      <c r="O1290" s="155">
        <f t="shared" si="161"/>
        <v>0</v>
      </c>
      <c r="P1290" s="155">
        <f>IF(O1290=1,SUM($O$6:O1290),0)</f>
        <v>0</v>
      </c>
    </row>
    <row r="1291" spans="1:16" ht="15" customHeight="1">
      <c r="A1291" s="15"/>
      <c r="B1291" s="194">
        <v>34</v>
      </c>
      <c r="C1291" s="109" t="s">
        <v>408</v>
      </c>
      <c r="D1291" s="213" t="s">
        <v>49</v>
      </c>
      <c r="E1291" s="214" t="s">
        <v>300</v>
      </c>
      <c r="F1291" s="215">
        <v>191796</v>
      </c>
      <c r="G1291" s="215">
        <v>191796</v>
      </c>
      <c r="H1291" s="171"/>
      <c r="I1291" s="88">
        <f t="shared" si="162"/>
        <v>191796</v>
      </c>
      <c r="J1291" s="163">
        <f t="shared" si="158"/>
        <v>0</v>
      </c>
      <c r="K1291" s="155">
        <f t="shared" si="15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60"/>
        <v>0</v>
      </c>
      <c r="O1291" s="155">
        <f t="shared" si="161"/>
        <v>0</v>
      </c>
      <c r="P1291" s="155">
        <f>IF(O1291=1,SUM($O$6:O1291),0)</f>
        <v>0</v>
      </c>
    </row>
    <row r="1292" spans="1:16" ht="15" customHeight="1">
      <c r="A1292" s="15"/>
      <c r="B1292" s="194">
        <v>35</v>
      </c>
      <c r="C1292" s="109" t="s">
        <v>409</v>
      </c>
      <c r="D1292" s="213" t="s">
        <v>49</v>
      </c>
      <c r="E1292" s="214" t="s">
        <v>300</v>
      </c>
      <c r="F1292" s="215">
        <v>163020</v>
      </c>
      <c r="G1292" s="215">
        <v>163020</v>
      </c>
      <c r="H1292" s="171"/>
      <c r="I1292" s="88">
        <f t="shared" si="162"/>
        <v>163020</v>
      </c>
      <c r="J1292" s="163">
        <f t="shared" si="158"/>
        <v>0</v>
      </c>
      <c r="K1292" s="155">
        <f t="shared" si="15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60"/>
        <v>0</v>
      </c>
      <c r="O1292" s="155">
        <f t="shared" si="161"/>
        <v>0</v>
      </c>
      <c r="P1292" s="155">
        <f>IF(O1292=1,SUM($O$6:O1292),0)</f>
        <v>0</v>
      </c>
    </row>
    <row r="1293" spans="1:16" ht="15" customHeight="1">
      <c r="A1293" s="15"/>
      <c r="B1293" s="194">
        <v>36</v>
      </c>
      <c r="C1293" s="109" t="s">
        <v>410</v>
      </c>
      <c r="D1293" s="213" t="s">
        <v>49</v>
      </c>
      <c r="E1293" s="214" t="s">
        <v>300</v>
      </c>
      <c r="F1293" s="215">
        <v>182160</v>
      </c>
      <c r="G1293" s="215">
        <v>182160</v>
      </c>
      <c r="H1293" s="171"/>
      <c r="I1293" s="88">
        <f t="shared" si="162"/>
        <v>182160</v>
      </c>
      <c r="J1293" s="163">
        <f t="shared" si="158"/>
        <v>0</v>
      </c>
      <c r="K1293" s="155">
        <f t="shared" si="15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60"/>
        <v>0</v>
      </c>
      <c r="O1293" s="155">
        <f t="shared" si="161"/>
        <v>0</v>
      </c>
      <c r="P1293" s="155">
        <f>IF(O1293=1,SUM($O$6:O1293),0)</f>
        <v>0</v>
      </c>
    </row>
    <row r="1294" spans="1:16" ht="15" customHeight="1">
      <c r="A1294" s="15"/>
      <c r="B1294" s="194">
        <v>37</v>
      </c>
      <c r="C1294" s="109" t="s">
        <v>411</v>
      </c>
      <c r="D1294" s="213" t="s">
        <v>49</v>
      </c>
      <c r="E1294" s="214" t="s">
        <v>300</v>
      </c>
      <c r="F1294" s="215">
        <v>176946</v>
      </c>
      <c r="G1294" s="215">
        <v>176946</v>
      </c>
      <c r="H1294" s="171"/>
      <c r="I1294" s="88">
        <f>IF($I$5=$G$4,G1294,(IF($I$5=$F$4,F1294,0)))</f>
        <v>176946</v>
      </c>
      <c r="J1294" s="163">
        <f t="shared" si="158"/>
        <v>0</v>
      </c>
      <c r="K1294" s="155">
        <f t="shared" si="15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60"/>
        <v>0</v>
      </c>
      <c r="O1294" s="155">
        <f t="shared" si="161"/>
        <v>0</v>
      </c>
      <c r="P1294" s="155">
        <f>IF(O1294=1,SUM($O$6:O1294),0)</f>
        <v>0</v>
      </c>
    </row>
    <row r="1295" spans="1:16" ht="15" customHeight="1">
      <c r="A1295" s="15"/>
      <c r="B1295" s="194">
        <v>38</v>
      </c>
      <c r="C1295" s="109" t="s">
        <v>412</v>
      </c>
      <c r="D1295" s="213" t="s">
        <v>49</v>
      </c>
      <c r="E1295" s="214" t="s">
        <v>300</v>
      </c>
      <c r="F1295" s="215">
        <v>146784</v>
      </c>
      <c r="G1295" s="215">
        <v>146784</v>
      </c>
      <c r="H1295" s="171"/>
      <c r="I1295" s="88">
        <f t="shared" si="162"/>
        <v>146784</v>
      </c>
      <c r="J1295" s="163">
        <f t="shared" si="158"/>
        <v>0</v>
      </c>
      <c r="K1295" s="155">
        <f t="shared" si="15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60"/>
        <v>0</v>
      </c>
      <c r="O1295" s="155">
        <f t="shared" si="161"/>
        <v>0</v>
      </c>
      <c r="P1295" s="155">
        <f>IF(O1295=1,SUM($O$6:O1295),0)</f>
        <v>0</v>
      </c>
    </row>
    <row r="1296" spans="1:16" ht="15" customHeight="1">
      <c r="A1296" s="15"/>
      <c r="B1296" s="194">
        <v>39</v>
      </c>
      <c r="C1296" s="109" t="s">
        <v>413</v>
      </c>
      <c r="D1296" s="213" t="s">
        <v>49</v>
      </c>
      <c r="E1296" s="214" t="s">
        <v>300</v>
      </c>
      <c r="F1296" s="215">
        <v>146784</v>
      </c>
      <c r="G1296" s="215">
        <v>146784</v>
      </c>
      <c r="H1296" s="171"/>
      <c r="I1296" s="88">
        <f t="shared" si="162"/>
        <v>146784</v>
      </c>
      <c r="J1296" s="163">
        <f t="shared" si="158"/>
        <v>0</v>
      </c>
      <c r="K1296" s="155">
        <f t="shared" si="15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60"/>
        <v>0</v>
      </c>
      <c r="O1296" s="155">
        <f t="shared" si="161"/>
        <v>0</v>
      </c>
      <c r="P1296" s="155">
        <f>IF(O1296=1,SUM($O$6:O1296),0)</f>
        <v>0</v>
      </c>
    </row>
    <row r="1297" spans="1:16" ht="15" customHeight="1">
      <c r="A1297" s="15"/>
      <c r="B1297" s="194">
        <v>40</v>
      </c>
      <c r="C1297" s="109" t="s">
        <v>414</v>
      </c>
      <c r="D1297" s="213" t="s">
        <v>49</v>
      </c>
      <c r="E1297" s="214" t="s">
        <v>300</v>
      </c>
      <c r="F1297" s="215">
        <v>130218.00000000001</v>
      </c>
      <c r="G1297" s="215">
        <v>130218.00000000001</v>
      </c>
      <c r="H1297" s="171"/>
      <c r="I1297" s="88">
        <f t="shared" si="162"/>
        <v>130218.00000000001</v>
      </c>
      <c r="J1297" s="163">
        <f t="shared" si="158"/>
        <v>0</v>
      </c>
      <c r="K1297" s="155">
        <f t="shared" si="15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60"/>
        <v>0</v>
      </c>
      <c r="O1297" s="155">
        <f t="shared" si="161"/>
        <v>0</v>
      </c>
      <c r="P1297" s="155">
        <f>IF(O1297=1,SUM($O$6:O1297),0)</f>
        <v>0</v>
      </c>
    </row>
    <row r="1298" spans="1:16" ht="15" customHeight="1">
      <c r="A1298" s="15"/>
      <c r="B1298" s="194">
        <v>41</v>
      </c>
      <c r="C1298" s="109" t="s">
        <v>415</v>
      </c>
      <c r="D1298" s="213" t="s">
        <v>49</v>
      </c>
      <c r="E1298" s="214" t="s">
        <v>300</v>
      </c>
      <c r="F1298" s="215">
        <v>98472</v>
      </c>
      <c r="G1298" s="215">
        <v>98472</v>
      </c>
      <c r="H1298" s="171"/>
      <c r="I1298" s="88">
        <f t="shared" si="162"/>
        <v>98472</v>
      </c>
      <c r="J1298" s="163">
        <f t="shared" si="158"/>
        <v>0</v>
      </c>
      <c r="K1298" s="155">
        <f t="shared" si="15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60"/>
        <v>0</v>
      </c>
      <c r="O1298" s="155">
        <f t="shared" si="161"/>
        <v>0</v>
      </c>
      <c r="P1298" s="155">
        <f>IF(O1298=1,SUM($O$6:O1298),0)</f>
        <v>0</v>
      </c>
    </row>
    <row r="1299" spans="1:16" ht="15" customHeight="1">
      <c r="A1299" s="15"/>
      <c r="B1299" s="194">
        <v>42</v>
      </c>
      <c r="C1299" s="109" t="s">
        <v>416</v>
      </c>
      <c r="D1299" s="213" t="s">
        <v>49</v>
      </c>
      <c r="E1299" s="214" t="s">
        <v>300</v>
      </c>
      <c r="F1299" s="215">
        <v>257532.00000000003</v>
      </c>
      <c r="G1299" s="215">
        <v>257532.00000000003</v>
      </c>
      <c r="H1299" s="171"/>
      <c r="I1299" s="88">
        <f t="shared" si="162"/>
        <v>257532.00000000003</v>
      </c>
      <c r="J1299" s="163">
        <f t="shared" si="158"/>
        <v>0</v>
      </c>
      <c r="K1299" s="155">
        <f t="shared" si="15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60"/>
        <v>0</v>
      </c>
      <c r="O1299" s="155">
        <f t="shared" si="161"/>
        <v>0</v>
      </c>
      <c r="P1299" s="155">
        <f>IF(O1299=1,SUM($O$6:O1299),0)</f>
        <v>0</v>
      </c>
    </row>
    <row r="1300" spans="1:16" ht="15" customHeight="1">
      <c r="A1300" s="15"/>
      <c r="B1300" s="194">
        <v>43</v>
      </c>
      <c r="C1300" s="109" t="s">
        <v>418</v>
      </c>
      <c r="D1300" s="213" t="s">
        <v>49</v>
      </c>
      <c r="E1300" s="214" t="s">
        <v>300</v>
      </c>
      <c r="F1300" s="215">
        <v>203016</v>
      </c>
      <c r="G1300" s="215">
        <v>203016</v>
      </c>
      <c r="H1300" s="171"/>
      <c r="I1300" s="88">
        <f t="shared" si="162"/>
        <v>203016</v>
      </c>
      <c r="J1300" s="163">
        <f t="shared" si="158"/>
        <v>0</v>
      </c>
      <c r="K1300" s="155">
        <f t="shared" si="15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60"/>
        <v>0</v>
      </c>
      <c r="O1300" s="155">
        <f t="shared" si="161"/>
        <v>0</v>
      </c>
      <c r="P1300" s="155">
        <f>IF(O1300=1,SUM($O$6:O1300),0)</f>
        <v>0</v>
      </c>
    </row>
    <row r="1301" spans="1:16" ht="15" customHeight="1">
      <c r="A1301" s="15"/>
      <c r="B1301" s="194">
        <v>44</v>
      </c>
      <c r="C1301" s="109" t="s">
        <v>420</v>
      </c>
      <c r="D1301" s="213" t="s">
        <v>49</v>
      </c>
      <c r="E1301" s="214" t="s">
        <v>300</v>
      </c>
      <c r="F1301" s="215">
        <v>172656</v>
      </c>
      <c r="G1301" s="215">
        <v>172656</v>
      </c>
      <c r="H1301" s="171"/>
      <c r="I1301" s="88">
        <f t="shared" si="162"/>
        <v>172656</v>
      </c>
      <c r="J1301" s="163">
        <f t="shared" si="158"/>
        <v>0</v>
      </c>
      <c r="K1301" s="155">
        <f t="shared" si="15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60"/>
        <v>0</v>
      </c>
      <c r="O1301" s="155">
        <f t="shared" si="161"/>
        <v>0</v>
      </c>
      <c r="P1301" s="155">
        <f>IF(O1301=1,SUM($O$6:O1301),0)</f>
        <v>0</v>
      </c>
    </row>
    <row r="1302" spans="1:16" ht="15" customHeight="1">
      <c r="A1302" s="15"/>
      <c r="B1302" s="194">
        <v>45</v>
      </c>
      <c r="C1302" s="109" t="s">
        <v>422</v>
      </c>
      <c r="D1302" s="213" t="s">
        <v>49</v>
      </c>
      <c r="E1302" s="214" t="s">
        <v>300</v>
      </c>
      <c r="F1302" s="215">
        <v>131142</v>
      </c>
      <c r="G1302" s="215">
        <v>131142</v>
      </c>
      <c r="H1302" s="171"/>
      <c r="I1302" s="88">
        <f t="shared" si="162"/>
        <v>131142</v>
      </c>
      <c r="J1302" s="163">
        <f t="shared" si="158"/>
        <v>0</v>
      </c>
      <c r="K1302" s="155">
        <f t="shared" si="15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60"/>
        <v>0</v>
      </c>
      <c r="O1302" s="155">
        <f t="shared" si="161"/>
        <v>0</v>
      </c>
      <c r="P1302" s="155">
        <f>IF(O1302=1,SUM($O$6:O1302),0)</f>
        <v>0</v>
      </c>
    </row>
    <row r="1303" spans="1:16" ht="15" customHeight="1">
      <c r="A1303" s="15"/>
      <c r="B1303" s="194">
        <v>46</v>
      </c>
      <c r="C1303" s="109" t="s">
        <v>417</v>
      </c>
      <c r="D1303" s="213" t="s">
        <v>49</v>
      </c>
      <c r="E1303" s="214" t="s">
        <v>300</v>
      </c>
      <c r="F1303" s="215">
        <v>179916</v>
      </c>
      <c r="G1303" s="215">
        <v>179916</v>
      </c>
      <c r="H1303" s="171"/>
      <c r="I1303" s="88">
        <f t="shared" si="162"/>
        <v>179916</v>
      </c>
      <c r="J1303" s="163">
        <f t="shared" si="158"/>
        <v>0</v>
      </c>
      <c r="K1303" s="155">
        <f t="shared" si="15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60"/>
        <v>0</v>
      </c>
      <c r="O1303" s="155">
        <f t="shared" si="161"/>
        <v>0</v>
      </c>
      <c r="P1303" s="155">
        <f>IF(O1303=1,SUM($O$6:O1303),0)</f>
        <v>0</v>
      </c>
    </row>
    <row r="1304" spans="1:16" ht="15" customHeight="1">
      <c r="A1304" s="15"/>
      <c r="B1304" s="194">
        <v>47</v>
      </c>
      <c r="C1304" s="109" t="s">
        <v>419</v>
      </c>
      <c r="D1304" s="213" t="s">
        <v>49</v>
      </c>
      <c r="E1304" s="214" t="s">
        <v>300</v>
      </c>
      <c r="F1304" s="215">
        <v>160644</v>
      </c>
      <c r="G1304" s="215">
        <v>160644</v>
      </c>
      <c r="H1304" s="171"/>
      <c r="I1304" s="88">
        <f t="shared" si="162"/>
        <v>160644</v>
      </c>
      <c r="J1304" s="163">
        <f t="shared" ref="J1304:J1367" si="163">IF(D1304="MDU-KD",1,0)</f>
        <v>0</v>
      </c>
      <c r="K1304" s="155">
        <f t="shared" ref="K1304:K1367" si="16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65">IF(L1304=0,M1304,L1304)</f>
        <v>0</v>
      </c>
      <c r="O1304" s="155">
        <f t="shared" ref="O1304:O1367" si="16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94">
        <v>48</v>
      </c>
      <c r="C1305" s="109" t="s">
        <v>421</v>
      </c>
      <c r="D1305" s="213" t="s">
        <v>49</v>
      </c>
      <c r="E1305" s="214" t="s">
        <v>300</v>
      </c>
      <c r="F1305" s="215">
        <v>118338.00000000001</v>
      </c>
      <c r="G1305" s="215">
        <v>118338.00000000001</v>
      </c>
      <c r="H1305" s="171"/>
      <c r="I1305" s="88">
        <f t="shared" si="162"/>
        <v>118338.00000000001</v>
      </c>
      <c r="J1305" s="163">
        <f t="shared" si="163"/>
        <v>0</v>
      </c>
      <c r="K1305" s="155">
        <f t="shared" si="16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65"/>
        <v>0</v>
      </c>
      <c r="O1305" s="155">
        <f t="shared" si="166"/>
        <v>0</v>
      </c>
      <c r="P1305" s="155">
        <f>IF(O1305=1,SUM($O$6:O1305),0)</f>
        <v>0</v>
      </c>
    </row>
    <row r="1306" spans="1:16" ht="15" customHeight="1">
      <c r="A1306" s="15"/>
      <c r="B1306" s="194">
        <v>49</v>
      </c>
      <c r="C1306" s="109" t="s">
        <v>423</v>
      </c>
      <c r="D1306" s="213" t="s">
        <v>49</v>
      </c>
      <c r="E1306" s="214" t="s">
        <v>300</v>
      </c>
      <c r="F1306" s="215">
        <v>100254</v>
      </c>
      <c r="G1306" s="215">
        <v>100254</v>
      </c>
      <c r="H1306" s="171"/>
      <c r="I1306" s="88">
        <f t="shared" si="162"/>
        <v>100254</v>
      </c>
      <c r="J1306" s="163">
        <f t="shared" si="163"/>
        <v>0</v>
      </c>
      <c r="K1306" s="155">
        <f t="shared" si="16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65"/>
        <v>0</v>
      </c>
      <c r="O1306" s="155">
        <f t="shared" si="166"/>
        <v>0</v>
      </c>
      <c r="P1306" s="155">
        <f>IF(O1306=1,SUM($O$6:O1306),0)</f>
        <v>0</v>
      </c>
    </row>
    <row r="1307" spans="1:16" ht="15" customHeight="1">
      <c r="A1307" s="15"/>
      <c r="B1307" s="194">
        <v>50</v>
      </c>
      <c r="C1307" s="109" t="s">
        <v>960</v>
      </c>
      <c r="D1307" s="213" t="s">
        <v>49</v>
      </c>
      <c r="E1307" s="214" t="s">
        <v>300</v>
      </c>
      <c r="F1307" s="215">
        <v>90080.172455205786</v>
      </c>
      <c r="G1307" s="215">
        <v>90080.172455205786</v>
      </c>
      <c r="H1307" s="171"/>
      <c r="I1307" s="88">
        <f t="shared" si="162"/>
        <v>90080.172455205786</v>
      </c>
      <c r="J1307" s="163">
        <f t="shared" si="163"/>
        <v>0</v>
      </c>
      <c r="K1307" s="155">
        <f t="shared" si="16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65"/>
        <v>0</v>
      </c>
      <c r="O1307" s="155">
        <f t="shared" si="166"/>
        <v>0</v>
      </c>
      <c r="P1307" s="155">
        <f>IF(O1307=1,SUM($O$6:O1307),0)</f>
        <v>0</v>
      </c>
    </row>
    <row r="1308" spans="1:16" ht="15" customHeight="1">
      <c r="A1308" s="15"/>
      <c r="B1308" s="194">
        <v>51</v>
      </c>
      <c r="C1308" s="109" t="s">
        <v>961</v>
      </c>
      <c r="D1308" s="213" t="s">
        <v>49</v>
      </c>
      <c r="E1308" s="214" t="s">
        <v>300</v>
      </c>
      <c r="F1308" s="215">
        <v>82817.569758203899</v>
      </c>
      <c r="G1308" s="215">
        <v>82817.569758203899</v>
      </c>
      <c r="H1308" s="171"/>
      <c r="I1308" s="88">
        <f t="shared" si="162"/>
        <v>82817.569758203899</v>
      </c>
      <c r="J1308" s="163">
        <f t="shared" si="163"/>
        <v>0</v>
      </c>
      <c r="K1308" s="155">
        <f t="shared" si="16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65"/>
        <v>0</v>
      </c>
      <c r="O1308" s="155">
        <f t="shared" si="166"/>
        <v>0</v>
      </c>
      <c r="P1308" s="155">
        <f>IF(O1308=1,SUM($O$6:O1308),0)</f>
        <v>0</v>
      </c>
    </row>
    <row r="1309" spans="1:16" ht="15" customHeight="1">
      <c r="A1309" s="15"/>
      <c r="B1309" s="194">
        <v>52</v>
      </c>
      <c r="C1309" s="109" t="s">
        <v>962</v>
      </c>
      <c r="D1309" s="213" t="s">
        <v>49</v>
      </c>
      <c r="E1309" s="214" t="s">
        <v>300</v>
      </c>
      <c r="F1309" s="215">
        <v>76032</v>
      </c>
      <c r="G1309" s="215">
        <v>76032</v>
      </c>
      <c r="H1309" s="171"/>
      <c r="I1309" s="88">
        <f t="shared" si="162"/>
        <v>76032</v>
      </c>
      <c r="J1309" s="163">
        <f t="shared" si="163"/>
        <v>0</v>
      </c>
      <c r="K1309" s="155">
        <f t="shared" si="16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65"/>
        <v>0</v>
      </c>
      <c r="O1309" s="155">
        <f t="shared" si="166"/>
        <v>0</v>
      </c>
      <c r="P1309" s="155">
        <f>IF(O1309=1,SUM($O$6:O1309),0)</f>
        <v>0</v>
      </c>
    </row>
    <row r="1310" spans="1:16" ht="15" customHeight="1">
      <c r="A1310" s="15"/>
      <c r="B1310" s="194">
        <v>53</v>
      </c>
      <c r="C1310" s="109" t="s">
        <v>963</v>
      </c>
      <c r="D1310" s="213" t="s">
        <v>49</v>
      </c>
      <c r="E1310" s="214" t="s">
        <v>300</v>
      </c>
      <c r="F1310" s="215">
        <v>75900</v>
      </c>
      <c r="G1310" s="215">
        <v>75900</v>
      </c>
      <c r="H1310" s="171"/>
      <c r="I1310" s="88">
        <f t="shared" si="162"/>
        <v>75900</v>
      </c>
      <c r="J1310" s="163">
        <f t="shared" si="163"/>
        <v>0</v>
      </c>
      <c r="K1310" s="155">
        <f t="shared" si="16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65"/>
        <v>0</v>
      </c>
      <c r="O1310" s="155">
        <f t="shared" si="166"/>
        <v>0</v>
      </c>
      <c r="P1310" s="155">
        <f>IF(O1310=1,SUM($O$6:O1310),0)</f>
        <v>0</v>
      </c>
    </row>
    <row r="1311" spans="1:16" ht="15" customHeight="1">
      <c r="A1311" s="15"/>
      <c r="B1311" s="194">
        <v>54</v>
      </c>
      <c r="C1311" s="109" t="s">
        <v>964</v>
      </c>
      <c r="D1311" s="213" t="s">
        <v>49</v>
      </c>
      <c r="E1311" s="214" t="s">
        <v>300</v>
      </c>
      <c r="F1311" s="215">
        <v>67188</v>
      </c>
      <c r="G1311" s="215">
        <v>67188</v>
      </c>
      <c r="H1311" s="171"/>
      <c r="I1311" s="88">
        <f t="shared" si="162"/>
        <v>67188</v>
      </c>
      <c r="J1311" s="163">
        <f t="shared" si="163"/>
        <v>0</v>
      </c>
      <c r="K1311" s="155">
        <f t="shared" si="16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65"/>
        <v>0</v>
      </c>
      <c r="O1311" s="155">
        <f t="shared" si="166"/>
        <v>0</v>
      </c>
      <c r="P1311" s="155">
        <f>IF(O1311=1,SUM($O$6:O1311),0)</f>
        <v>0</v>
      </c>
    </row>
    <row r="1312" spans="1:16" ht="15" customHeight="1">
      <c r="A1312" s="15"/>
      <c r="B1312" s="194">
        <v>55</v>
      </c>
      <c r="C1312" s="109" t="s">
        <v>1130</v>
      </c>
      <c r="D1312" s="213" t="s">
        <v>49</v>
      </c>
      <c r="E1312" s="214" t="s">
        <v>300</v>
      </c>
      <c r="F1312" s="215">
        <v>397284.97886456642</v>
      </c>
      <c r="G1312" s="215">
        <v>397284.97886456642</v>
      </c>
      <c r="H1312" s="171"/>
      <c r="I1312" s="88">
        <f t="shared" si="162"/>
        <v>397284.97886456642</v>
      </c>
      <c r="J1312" s="163">
        <f t="shared" si="163"/>
        <v>0</v>
      </c>
      <c r="K1312" s="155">
        <f t="shared" si="16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65"/>
        <v>0</v>
      </c>
      <c r="O1312" s="155">
        <f t="shared" si="166"/>
        <v>0</v>
      </c>
      <c r="P1312" s="155">
        <f>IF(O1312=1,SUM($O$6:O1312),0)</f>
        <v>0</v>
      </c>
    </row>
    <row r="1313" spans="1:16" ht="15" customHeight="1">
      <c r="A1313" s="15"/>
      <c r="B1313" s="194"/>
      <c r="C1313" s="109"/>
      <c r="D1313" s="213" t="s">
        <v>50</v>
      </c>
      <c r="E1313" s="214"/>
      <c r="F1313" s="215">
        <v>0</v>
      </c>
      <c r="G1313" s="215">
        <v>0</v>
      </c>
      <c r="H1313" s="171"/>
      <c r="I1313" s="88">
        <f t="shared" si="162"/>
        <v>0</v>
      </c>
      <c r="J1313" s="163">
        <f t="shared" si="163"/>
        <v>0</v>
      </c>
      <c r="K1313" s="155">
        <f t="shared" si="16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65"/>
        <v>0</v>
      </c>
      <c r="O1313" s="155">
        <f t="shared" si="166"/>
        <v>0</v>
      </c>
      <c r="P1313" s="155">
        <f>IF(O1313=1,SUM($O$6:O1313),0)</f>
        <v>0</v>
      </c>
    </row>
    <row r="1314" spans="1:16" ht="15" customHeight="1">
      <c r="A1314" s="15"/>
      <c r="B1314" s="194" t="s">
        <v>1035</v>
      </c>
      <c r="C1314" s="109" t="s">
        <v>783</v>
      </c>
      <c r="D1314" s="213" t="s">
        <v>50</v>
      </c>
      <c r="E1314" s="214"/>
      <c r="F1314" s="215">
        <v>0</v>
      </c>
      <c r="G1314" s="215">
        <v>0</v>
      </c>
      <c r="H1314" s="171"/>
      <c r="I1314" s="88">
        <f t="shared" si="162"/>
        <v>0</v>
      </c>
      <c r="J1314" s="163">
        <f t="shared" si="163"/>
        <v>0</v>
      </c>
      <c r="K1314" s="155">
        <f t="shared" si="16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65"/>
        <v>0</v>
      </c>
      <c r="O1314" s="155">
        <f t="shared" si="166"/>
        <v>0</v>
      </c>
      <c r="P1314" s="155">
        <f>IF(O1314=1,SUM($O$6:O1314),0)</f>
        <v>0</v>
      </c>
    </row>
    <row r="1315" spans="1:16" ht="15" customHeight="1">
      <c r="A1315" s="15"/>
      <c r="B1315" s="194">
        <v>1</v>
      </c>
      <c r="C1315" s="109" t="s">
        <v>424</v>
      </c>
      <c r="D1315" s="213" t="s">
        <v>49</v>
      </c>
      <c r="E1315" s="214" t="s">
        <v>300</v>
      </c>
      <c r="F1315" s="215">
        <v>171300</v>
      </c>
      <c r="G1315" s="215">
        <v>171300</v>
      </c>
      <c r="H1315" s="171"/>
      <c r="I1315" s="88">
        <f t="shared" si="162"/>
        <v>171300</v>
      </c>
      <c r="J1315" s="163">
        <f t="shared" si="163"/>
        <v>0</v>
      </c>
      <c r="K1315" s="155">
        <f t="shared" si="16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65"/>
        <v>0</v>
      </c>
      <c r="O1315" s="155">
        <f t="shared" si="166"/>
        <v>0</v>
      </c>
      <c r="P1315" s="155">
        <f>IF(O1315=1,SUM($O$6:O1315),0)</f>
        <v>0</v>
      </c>
    </row>
    <row r="1316" spans="1:16" ht="15" customHeight="1">
      <c r="A1316" s="15"/>
      <c r="B1316" s="194">
        <v>2</v>
      </c>
      <c r="C1316" s="109" t="s">
        <v>425</v>
      </c>
      <c r="D1316" s="213" t="s">
        <v>49</v>
      </c>
      <c r="E1316" s="214" t="s">
        <v>300</v>
      </c>
      <c r="F1316" s="215">
        <v>144000</v>
      </c>
      <c r="G1316" s="215">
        <v>144000</v>
      </c>
      <c r="H1316" s="171"/>
      <c r="I1316" s="88">
        <f t="shared" si="162"/>
        <v>144000</v>
      </c>
      <c r="J1316" s="163">
        <f t="shared" si="163"/>
        <v>0</v>
      </c>
      <c r="K1316" s="155">
        <f t="shared" si="16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65"/>
        <v>0</v>
      </c>
      <c r="O1316" s="155">
        <f t="shared" si="166"/>
        <v>0</v>
      </c>
      <c r="P1316" s="155">
        <f>IF(O1316=1,SUM($O$6:O1316),0)</f>
        <v>0</v>
      </c>
    </row>
    <row r="1317" spans="1:16" ht="15" customHeight="1">
      <c r="A1317" s="15"/>
      <c r="B1317" s="194">
        <v>3</v>
      </c>
      <c r="C1317" s="109" t="s">
        <v>426</v>
      </c>
      <c r="D1317" s="213" t="s">
        <v>49</v>
      </c>
      <c r="E1317" s="214" t="s">
        <v>300</v>
      </c>
      <c r="F1317" s="215">
        <v>132480</v>
      </c>
      <c r="G1317" s="215">
        <v>132480</v>
      </c>
      <c r="H1317" s="171"/>
      <c r="I1317" s="88">
        <f t="shared" si="162"/>
        <v>132480</v>
      </c>
      <c r="J1317" s="163">
        <f t="shared" si="163"/>
        <v>0</v>
      </c>
      <c r="K1317" s="155">
        <f t="shared" si="16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65"/>
        <v>0</v>
      </c>
      <c r="O1317" s="155">
        <f t="shared" si="166"/>
        <v>0</v>
      </c>
      <c r="P1317" s="155">
        <f>IF(O1317=1,SUM($O$6:O1317),0)</f>
        <v>0</v>
      </c>
    </row>
    <row r="1318" spans="1:16" ht="15" customHeight="1">
      <c r="A1318" s="15"/>
      <c r="B1318" s="194">
        <v>4</v>
      </c>
      <c r="C1318" s="109" t="s">
        <v>427</v>
      </c>
      <c r="D1318" s="213" t="s">
        <v>49</v>
      </c>
      <c r="E1318" s="214" t="s">
        <v>300</v>
      </c>
      <c r="F1318" s="215">
        <v>98580</v>
      </c>
      <c r="G1318" s="215">
        <v>98580</v>
      </c>
      <c r="H1318" s="171"/>
      <c r="I1318" s="88">
        <f t="shared" si="162"/>
        <v>98580</v>
      </c>
      <c r="J1318" s="163">
        <f t="shared" si="163"/>
        <v>0</v>
      </c>
      <c r="K1318" s="155">
        <f t="shared" si="16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65"/>
        <v>0</v>
      </c>
      <c r="O1318" s="155">
        <f t="shared" si="166"/>
        <v>0</v>
      </c>
      <c r="P1318" s="155">
        <f>IF(O1318=1,SUM($O$6:O1318),0)</f>
        <v>0</v>
      </c>
    </row>
    <row r="1319" spans="1:16" ht="15" customHeight="1">
      <c r="A1319" s="15"/>
      <c r="B1319" s="194">
        <v>5</v>
      </c>
      <c r="C1319" s="109" t="s">
        <v>428</v>
      </c>
      <c r="D1319" s="213" t="s">
        <v>49</v>
      </c>
      <c r="E1319" s="214" t="s">
        <v>300</v>
      </c>
      <c r="F1319" s="215">
        <v>67020</v>
      </c>
      <c r="G1319" s="215">
        <v>67020</v>
      </c>
      <c r="H1319" s="171"/>
      <c r="I1319" s="88">
        <f t="shared" si="162"/>
        <v>67020</v>
      </c>
      <c r="J1319" s="163">
        <f t="shared" si="163"/>
        <v>0</v>
      </c>
      <c r="K1319" s="155">
        <f t="shared" si="16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65"/>
        <v>0</v>
      </c>
      <c r="O1319" s="155">
        <f t="shared" si="166"/>
        <v>0</v>
      </c>
      <c r="P1319" s="155">
        <f>IF(O1319=1,SUM($O$6:O1319),0)</f>
        <v>0</v>
      </c>
    </row>
    <row r="1320" spans="1:16" ht="15" customHeight="1">
      <c r="A1320" s="15"/>
      <c r="B1320" s="194">
        <v>6</v>
      </c>
      <c r="C1320" s="109" t="s">
        <v>429</v>
      </c>
      <c r="D1320" s="213" t="s">
        <v>49</v>
      </c>
      <c r="E1320" s="214" t="s">
        <v>300</v>
      </c>
      <c r="F1320" s="215">
        <v>134100</v>
      </c>
      <c r="G1320" s="215">
        <v>134100</v>
      </c>
      <c r="H1320" s="171"/>
      <c r="I1320" s="88">
        <f t="shared" si="162"/>
        <v>134100</v>
      </c>
      <c r="J1320" s="163">
        <f t="shared" si="163"/>
        <v>0</v>
      </c>
      <c r="K1320" s="155">
        <f t="shared" si="16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65"/>
        <v>0</v>
      </c>
      <c r="O1320" s="155">
        <f t="shared" si="166"/>
        <v>0</v>
      </c>
      <c r="P1320" s="155">
        <f>IF(O1320=1,SUM($O$6:O1320),0)</f>
        <v>0</v>
      </c>
    </row>
    <row r="1321" spans="1:16" ht="15" customHeight="1">
      <c r="A1321" s="15"/>
      <c r="B1321" s="194">
        <v>7</v>
      </c>
      <c r="C1321" s="109" t="s">
        <v>430</v>
      </c>
      <c r="D1321" s="213" t="s">
        <v>49</v>
      </c>
      <c r="E1321" s="214" t="s">
        <v>300</v>
      </c>
      <c r="F1321" s="215">
        <v>107400</v>
      </c>
      <c r="G1321" s="215">
        <v>107400</v>
      </c>
      <c r="H1321" s="171"/>
      <c r="I1321" s="88">
        <f t="shared" si="162"/>
        <v>107400</v>
      </c>
      <c r="J1321" s="163">
        <f t="shared" si="163"/>
        <v>0</v>
      </c>
      <c r="K1321" s="155">
        <f t="shared" si="16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65"/>
        <v>0</v>
      </c>
      <c r="O1321" s="155">
        <f t="shared" si="166"/>
        <v>0</v>
      </c>
      <c r="P1321" s="155">
        <f>IF(O1321=1,SUM($O$6:O1321),0)</f>
        <v>0</v>
      </c>
    </row>
    <row r="1322" spans="1:16" ht="15" customHeight="1">
      <c r="A1322" s="15"/>
      <c r="B1322" s="194"/>
      <c r="C1322" s="109"/>
      <c r="D1322" s="213" t="s">
        <v>50</v>
      </c>
      <c r="E1322" s="214"/>
      <c r="F1322" s="215">
        <v>0</v>
      </c>
      <c r="G1322" s="215">
        <v>0</v>
      </c>
      <c r="H1322" s="171"/>
      <c r="I1322" s="88">
        <f t="shared" si="162"/>
        <v>0</v>
      </c>
      <c r="J1322" s="163">
        <f t="shared" si="163"/>
        <v>0</v>
      </c>
      <c r="K1322" s="155">
        <f t="shared" si="16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65"/>
        <v>0</v>
      </c>
      <c r="O1322" s="155">
        <f t="shared" si="166"/>
        <v>0</v>
      </c>
      <c r="P1322" s="155">
        <f>IF(O1322=1,SUM($O$6:O1322),0)</f>
        <v>0</v>
      </c>
    </row>
    <row r="1323" spans="1:16" ht="15" customHeight="1">
      <c r="A1323" s="15"/>
      <c r="B1323" s="194" t="s">
        <v>1035</v>
      </c>
      <c r="C1323" s="109" t="s">
        <v>774</v>
      </c>
      <c r="D1323" s="213" t="s">
        <v>50</v>
      </c>
      <c r="E1323" s="214"/>
      <c r="F1323" s="215">
        <v>0</v>
      </c>
      <c r="G1323" s="215">
        <v>0</v>
      </c>
      <c r="H1323" s="171"/>
      <c r="I1323" s="88">
        <f t="shared" si="162"/>
        <v>0</v>
      </c>
      <c r="J1323" s="163">
        <f t="shared" si="163"/>
        <v>0</v>
      </c>
      <c r="K1323" s="155">
        <f t="shared" si="16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65"/>
        <v>0</v>
      </c>
      <c r="O1323" s="155">
        <f t="shared" si="166"/>
        <v>0</v>
      </c>
      <c r="P1323" s="155">
        <f>IF(O1323=1,SUM($O$6:O1323),0)</f>
        <v>0</v>
      </c>
    </row>
    <row r="1324" spans="1:16" ht="15" customHeight="1">
      <c r="A1324" s="15"/>
      <c r="B1324" s="194">
        <v>1</v>
      </c>
      <c r="C1324" s="109" t="s">
        <v>1265</v>
      </c>
      <c r="D1324" s="213" t="s">
        <v>49</v>
      </c>
      <c r="E1324" s="214" t="s">
        <v>1106</v>
      </c>
      <c r="F1324" s="215">
        <v>5708400</v>
      </c>
      <c r="G1324" s="215">
        <v>5708400</v>
      </c>
      <c r="H1324" s="171"/>
      <c r="I1324" s="88">
        <f t="shared" si="162"/>
        <v>5708400</v>
      </c>
      <c r="J1324" s="163">
        <f t="shared" si="163"/>
        <v>0</v>
      </c>
      <c r="K1324" s="155">
        <f t="shared" si="16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65"/>
        <v>0</v>
      </c>
      <c r="O1324" s="155">
        <f t="shared" si="166"/>
        <v>0</v>
      </c>
      <c r="P1324" s="155">
        <f>IF(O1324=1,SUM($O$6:O1324),0)</f>
        <v>0</v>
      </c>
    </row>
    <row r="1325" spans="1:16" ht="15" customHeight="1">
      <c r="A1325" s="15"/>
      <c r="B1325" s="194">
        <v>2</v>
      </c>
      <c r="C1325" s="109" t="s">
        <v>1266</v>
      </c>
      <c r="D1325" s="213" t="s">
        <v>49</v>
      </c>
      <c r="E1325" s="214" t="s">
        <v>1106</v>
      </c>
      <c r="F1325" s="215">
        <v>5708400</v>
      </c>
      <c r="G1325" s="215">
        <v>5708400</v>
      </c>
      <c r="H1325" s="171"/>
      <c r="I1325" s="88">
        <f t="shared" si="162"/>
        <v>5708400</v>
      </c>
      <c r="J1325" s="163">
        <f t="shared" si="163"/>
        <v>0</v>
      </c>
      <c r="K1325" s="155">
        <f t="shared" si="16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65"/>
        <v>0</v>
      </c>
      <c r="O1325" s="155">
        <f t="shared" si="166"/>
        <v>0</v>
      </c>
      <c r="P1325" s="155">
        <f>IF(O1325=1,SUM($O$6:O1325),0)</f>
        <v>0</v>
      </c>
    </row>
    <row r="1326" spans="1:16" ht="15" customHeight="1">
      <c r="A1326" s="15"/>
      <c r="B1326" s="194">
        <v>3</v>
      </c>
      <c r="C1326" s="109" t="s">
        <v>1267</v>
      </c>
      <c r="D1326" s="213" t="s">
        <v>49</v>
      </c>
      <c r="E1326" s="214" t="s">
        <v>1106</v>
      </c>
      <c r="F1326" s="215">
        <v>4455600</v>
      </c>
      <c r="G1326" s="215">
        <v>4455600</v>
      </c>
      <c r="H1326" s="171"/>
      <c r="I1326" s="88">
        <f t="shared" si="162"/>
        <v>4455600</v>
      </c>
      <c r="J1326" s="163">
        <f t="shared" si="163"/>
        <v>0</v>
      </c>
      <c r="K1326" s="155">
        <f t="shared" si="16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65"/>
        <v>0</v>
      </c>
      <c r="O1326" s="155">
        <f t="shared" si="166"/>
        <v>0</v>
      </c>
      <c r="P1326" s="155">
        <f>IF(O1326=1,SUM($O$6:O1326),0)</f>
        <v>0</v>
      </c>
    </row>
    <row r="1327" spans="1:16" ht="15" customHeight="1">
      <c r="A1327" s="15"/>
      <c r="B1327" s="194">
        <v>4</v>
      </c>
      <c r="C1327" s="109" t="s">
        <v>1268</v>
      </c>
      <c r="D1327" s="213" t="s">
        <v>49</v>
      </c>
      <c r="E1327" s="214" t="s">
        <v>1106</v>
      </c>
      <c r="F1327" s="215">
        <v>4220400</v>
      </c>
      <c r="G1327" s="215">
        <v>4220400</v>
      </c>
      <c r="H1327" s="171"/>
      <c r="I1327" s="88">
        <f t="shared" si="162"/>
        <v>4220400</v>
      </c>
      <c r="J1327" s="163">
        <f t="shared" si="163"/>
        <v>0</v>
      </c>
      <c r="K1327" s="155">
        <f t="shared" si="16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65"/>
        <v>0</v>
      </c>
      <c r="O1327" s="155">
        <f t="shared" si="166"/>
        <v>0</v>
      </c>
      <c r="P1327" s="155">
        <f>IF(O1327=1,SUM($O$6:O1327),0)</f>
        <v>0</v>
      </c>
    </row>
    <row r="1328" spans="1:16" ht="15" customHeight="1">
      <c r="A1328" s="15"/>
      <c r="B1328" s="194">
        <v>5</v>
      </c>
      <c r="C1328" s="109" t="s">
        <v>1269</v>
      </c>
      <c r="D1328" s="213" t="s">
        <v>49</v>
      </c>
      <c r="E1328" s="214" t="s">
        <v>1106</v>
      </c>
      <c r="F1328" s="215">
        <v>3601200</v>
      </c>
      <c r="G1328" s="215">
        <v>3601200</v>
      </c>
      <c r="H1328" s="171"/>
      <c r="I1328" s="88">
        <f t="shared" si="162"/>
        <v>3601200</v>
      </c>
      <c r="J1328" s="163">
        <f t="shared" si="163"/>
        <v>0</v>
      </c>
      <c r="K1328" s="155">
        <f t="shared" si="16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65"/>
        <v>0</v>
      </c>
      <c r="O1328" s="155">
        <f t="shared" si="166"/>
        <v>0</v>
      </c>
      <c r="P1328" s="155">
        <f>IF(O1328=1,SUM($O$6:O1328),0)</f>
        <v>0</v>
      </c>
    </row>
    <row r="1329" spans="1:16" ht="15" customHeight="1">
      <c r="A1329" s="15"/>
      <c r="B1329" s="194">
        <v>6</v>
      </c>
      <c r="C1329" s="109" t="s">
        <v>1270</v>
      </c>
      <c r="D1329" s="213" t="s">
        <v>49</v>
      </c>
      <c r="E1329" s="214" t="s">
        <v>1106</v>
      </c>
      <c r="F1329" s="215">
        <v>3490800</v>
      </c>
      <c r="G1329" s="215">
        <v>3490800</v>
      </c>
      <c r="H1329" s="171"/>
      <c r="I1329" s="88">
        <f t="shared" si="162"/>
        <v>3490800</v>
      </c>
      <c r="J1329" s="163">
        <f t="shared" si="163"/>
        <v>0</v>
      </c>
      <c r="K1329" s="155">
        <f t="shared" si="16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65"/>
        <v>0</v>
      </c>
      <c r="O1329" s="155">
        <f t="shared" si="166"/>
        <v>0</v>
      </c>
      <c r="P1329" s="155">
        <f>IF(O1329=1,SUM($O$6:O1329),0)</f>
        <v>0</v>
      </c>
    </row>
    <row r="1330" spans="1:16" ht="15" customHeight="1">
      <c r="A1330" s="15"/>
      <c r="B1330" s="194">
        <v>7</v>
      </c>
      <c r="C1330" s="109" t="s">
        <v>1271</v>
      </c>
      <c r="D1330" s="213" t="s">
        <v>49</v>
      </c>
      <c r="E1330" s="214" t="s">
        <v>1106</v>
      </c>
      <c r="F1330" s="215">
        <v>3487200</v>
      </c>
      <c r="G1330" s="215">
        <v>3487200</v>
      </c>
      <c r="H1330" s="171"/>
      <c r="I1330" s="88">
        <f>IF($I$5=$G$4,G1330,(IF($I$5=$F$4,F1330,0)))</f>
        <v>3487200</v>
      </c>
      <c r="J1330" s="163">
        <f t="shared" si="163"/>
        <v>0</v>
      </c>
      <c r="K1330" s="155">
        <f t="shared" si="16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65"/>
        <v>0</v>
      </c>
      <c r="O1330" s="155">
        <f t="shared" si="166"/>
        <v>0</v>
      </c>
      <c r="P1330" s="155">
        <f>IF(O1330=1,SUM($O$6:O1330),0)</f>
        <v>0</v>
      </c>
    </row>
    <row r="1331" spans="1:16" ht="15" customHeight="1">
      <c r="A1331" s="15"/>
      <c r="B1331" s="194">
        <v>8</v>
      </c>
      <c r="C1331" s="109" t="s">
        <v>1272</v>
      </c>
      <c r="D1331" s="213" t="s">
        <v>49</v>
      </c>
      <c r="E1331" s="214" t="s">
        <v>1106</v>
      </c>
      <c r="F1331" s="215">
        <v>2964000</v>
      </c>
      <c r="G1331" s="215">
        <v>2964000</v>
      </c>
      <c r="H1331" s="175"/>
      <c r="I1331" s="88">
        <f t="shared" ref="I1331:I1396" si="167">IF($I$5=$G$4,G1331,(IF($I$5=$F$4,F1331,0)))</f>
        <v>2964000</v>
      </c>
      <c r="J1331" s="163">
        <f t="shared" si="163"/>
        <v>0</v>
      </c>
      <c r="K1331" s="155">
        <f t="shared" si="16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65"/>
        <v>0</v>
      </c>
      <c r="O1331" s="155">
        <f t="shared" si="166"/>
        <v>0</v>
      </c>
      <c r="P1331" s="155">
        <f>IF(O1331=1,SUM($O$6:O1331),0)</f>
        <v>0</v>
      </c>
    </row>
    <row r="1332" spans="1:16" ht="15" customHeight="1">
      <c r="A1332" s="15"/>
      <c r="B1332" s="194">
        <v>9</v>
      </c>
      <c r="C1332" s="109" t="s">
        <v>1273</v>
      </c>
      <c r="D1332" s="213" t="s">
        <v>49</v>
      </c>
      <c r="E1332" s="214" t="s">
        <v>1106</v>
      </c>
      <c r="F1332" s="215">
        <v>3312000</v>
      </c>
      <c r="G1332" s="215">
        <v>3312000</v>
      </c>
      <c r="H1332" s="175"/>
      <c r="I1332" s="88">
        <f t="shared" si="167"/>
        <v>3312000</v>
      </c>
      <c r="J1332" s="163">
        <f t="shared" si="163"/>
        <v>0</v>
      </c>
      <c r="K1332" s="155">
        <f t="shared" si="16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65"/>
        <v>0</v>
      </c>
      <c r="O1332" s="155">
        <f t="shared" si="166"/>
        <v>0</v>
      </c>
      <c r="P1332" s="155">
        <f>IF(O1332=1,SUM($O$6:O1332),0)</f>
        <v>0</v>
      </c>
    </row>
    <row r="1333" spans="1:16" ht="15" customHeight="1">
      <c r="A1333" s="15"/>
      <c r="B1333" s="194">
        <v>10</v>
      </c>
      <c r="C1333" s="109" t="s">
        <v>1274</v>
      </c>
      <c r="D1333" s="213" t="s">
        <v>49</v>
      </c>
      <c r="E1333" s="214" t="s">
        <v>1106</v>
      </c>
      <c r="F1333" s="215">
        <v>3217200</v>
      </c>
      <c r="G1333" s="215">
        <v>3217200</v>
      </c>
      <c r="H1333" s="171"/>
      <c r="I1333" s="88">
        <f t="shared" si="167"/>
        <v>3217200</v>
      </c>
      <c r="J1333" s="163">
        <f t="shared" si="163"/>
        <v>0</v>
      </c>
      <c r="K1333" s="155">
        <f t="shared" si="16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65"/>
        <v>0</v>
      </c>
      <c r="O1333" s="155">
        <f t="shared" si="166"/>
        <v>0</v>
      </c>
      <c r="P1333" s="155">
        <f>IF(O1333=1,SUM($O$6:O1333),0)</f>
        <v>0</v>
      </c>
    </row>
    <row r="1334" spans="1:16" ht="15" customHeight="1">
      <c r="A1334" s="15"/>
      <c r="B1334" s="194">
        <v>11</v>
      </c>
      <c r="C1334" s="109" t="s">
        <v>1275</v>
      </c>
      <c r="D1334" s="213" t="s">
        <v>49</v>
      </c>
      <c r="E1334" s="214" t="s">
        <v>1106</v>
      </c>
      <c r="F1334" s="215">
        <v>2668800</v>
      </c>
      <c r="G1334" s="215">
        <v>2668800</v>
      </c>
      <c r="H1334" s="171"/>
      <c r="I1334" s="88">
        <f t="shared" si="167"/>
        <v>2668800</v>
      </c>
      <c r="J1334" s="163">
        <f t="shared" si="163"/>
        <v>0</v>
      </c>
      <c r="K1334" s="155">
        <f t="shared" si="16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65"/>
        <v>0</v>
      </c>
      <c r="O1334" s="155">
        <f t="shared" si="166"/>
        <v>0</v>
      </c>
      <c r="P1334" s="155">
        <f>IF(O1334=1,SUM($O$6:O1334),0)</f>
        <v>0</v>
      </c>
    </row>
    <row r="1335" spans="1:16" ht="15" customHeight="1">
      <c r="A1335" s="15"/>
      <c r="B1335" s="194">
        <v>12</v>
      </c>
      <c r="C1335" s="109" t="s">
        <v>1276</v>
      </c>
      <c r="D1335" s="213" t="s">
        <v>49</v>
      </c>
      <c r="E1335" s="214" t="s">
        <v>1106</v>
      </c>
      <c r="F1335" s="215">
        <v>2668800</v>
      </c>
      <c r="G1335" s="215">
        <v>2668800</v>
      </c>
      <c r="H1335" s="171"/>
      <c r="I1335" s="88">
        <f t="shared" si="167"/>
        <v>2668800</v>
      </c>
      <c r="J1335" s="163">
        <f t="shared" si="163"/>
        <v>0</v>
      </c>
      <c r="K1335" s="155">
        <f t="shared" si="16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65"/>
        <v>0</v>
      </c>
      <c r="O1335" s="155">
        <f t="shared" si="166"/>
        <v>0</v>
      </c>
      <c r="P1335" s="155">
        <f>IF(O1335=1,SUM($O$6:O1335),0)</f>
        <v>0</v>
      </c>
    </row>
    <row r="1336" spans="1:16" ht="15" customHeight="1">
      <c r="A1336" s="15"/>
      <c r="B1336" s="194">
        <v>13</v>
      </c>
      <c r="C1336" s="109" t="s">
        <v>1277</v>
      </c>
      <c r="D1336" s="213" t="s">
        <v>49</v>
      </c>
      <c r="E1336" s="214" t="s">
        <v>1106</v>
      </c>
      <c r="F1336" s="215">
        <v>2367600</v>
      </c>
      <c r="G1336" s="215">
        <v>2367600</v>
      </c>
      <c r="H1336" s="171"/>
      <c r="I1336" s="88">
        <f t="shared" si="167"/>
        <v>2367600</v>
      </c>
      <c r="J1336" s="163">
        <f t="shared" si="163"/>
        <v>0</v>
      </c>
      <c r="K1336" s="155">
        <f t="shared" si="16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65"/>
        <v>0</v>
      </c>
      <c r="O1336" s="155">
        <f t="shared" si="166"/>
        <v>0</v>
      </c>
      <c r="P1336" s="155">
        <f>IF(O1336=1,SUM($O$6:O1336),0)</f>
        <v>0</v>
      </c>
    </row>
    <row r="1337" spans="1:16" ht="15" customHeight="1">
      <c r="A1337" s="15"/>
      <c r="B1337" s="194">
        <v>14</v>
      </c>
      <c r="C1337" s="109" t="s">
        <v>1278</v>
      </c>
      <c r="D1337" s="213" t="s">
        <v>49</v>
      </c>
      <c r="E1337" s="214" t="s">
        <v>1106</v>
      </c>
      <c r="F1337" s="215">
        <v>1790400</v>
      </c>
      <c r="G1337" s="215">
        <v>1790400</v>
      </c>
      <c r="H1337" s="171"/>
      <c r="I1337" s="88">
        <f t="shared" si="167"/>
        <v>1790400</v>
      </c>
      <c r="J1337" s="163">
        <f t="shared" si="163"/>
        <v>0</v>
      </c>
      <c r="K1337" s="155">
        <f t="shared" si="16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65"/>
        <v>0</v>
      </c>
      <c r="O1337" s="155">
        <f t="shared" si="166"/>
        <v>0</v>
      </c>
      <c r="P1337" s="155">
        <f>IF(O1337=1,SUM($O$6:O1337),0)</f>
        <v>0</v>
      </c>
    </row>
    <row r="1338" spans="1:16" ht="15" customHeight="1">
      <c r="A1338" s="15"/>
      <c r="B1338" s="194">
        <v>15</v>
      </c>
      <c r="C1338" s="109" t="s">
        <v>1279</v>
      </c>
      <c r="D1338" s="213" t="s">
        <v>49</v>
      </c>
      <c r="E1338" s="214" t="s">
        <v>1106</v>
      </c>
      <c r="F1338" s="215">
        <v>4682400</v>
      </c>
      <c r="G1338" s="215">
        <v>4682400</v>
      </c>
      <c r="H1338" s="171"/>
      <c r="I1338" s="88">
        <f t="shared" si="167"/>
        <v>4682400</v>
      </c>
      <c r="J1338" s="163">
        <f t="shared" si="163"/>
        <v>0</v>
      </c>
      <c r="K1338" s="155">
        <f t="shared" si="16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65"/>
        <v>0</v>
      </c>
      <c r="O1338" s="155">
        <f t="shared" si="166"/>
        <v>0</v>
      </c>
      <c r="P1338" s="155">
        <f>IF(O1338=1,SUM($O$6:O1338),0)</f>
        <v>0</v>
      </c>
    </row>
    <row r="1339" spans="1:16" ht="15" customHeight="1">
      <c r="A1339" s="15"/>
      <c r="B1339" s="194">
        <v>16</v>
      </c>
      <c r="C1339" s="109" t="s">
        <v>1280</v>
      </c>
      <c r="D1339" s="213" t="s">
        <v>49</v>
      </c>
      <c r="E1339" s="214" t="s">
        <v>1106</v>
      </c>
      <c r="F1339" s="215">
        <v>3691200</v>
      </c>
      <c r="G1339" s="215">
        <v>3691200</v>
      </c>
      <c r="H1339" s="171"/>
      <c r="I1339" s="88">
        <f t="shared" si="167"/>
        <v>3691200</v>
      </c>
      <c r="J1339" s="163">
        <f t="shared" si="163"/>
        <v>0</v>
      </c>
      <c r="K1339" s="155">
        <f t="shared" si="16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65"/>
        <v>0</v>
      </c>
      <c r="O1339" s="155">
        <f t="shared" si="166"/>
        <v>0</v>
      </c>
      <c r="P1339" s="155">
        <f>IF(O1339=1,SUM($O$6:O1339),0)</f>
        <v>0</v>
      </c>
    </row>
    <row r="1340" spans="1:16" ht="15" customHeight="1">
      <c r="A1340" s="15"/>
      <c r="B1340" s="194">
        <v>17</v>
      </c>
      <c r="C1340" s="109" t="s">
        <v>1281</v>
      </c>
      <c r="D1340" s="213" t="s">
        <v>49</v>
      </c>
      <c r="E1340" s="214" t="s">
        <v>1106</v>
      </c>
      <c r="F1340" s="215">
        <v>3139200</v>
      </c>
      <c r="G1340" s="215">
        <v>3139200</v>
      </c>
      <c r="H1340" s="171"/>
      <c r="I1340" s="88">
        <f t="shared" si="167"/>
        <v>3139200</v>
      </c>
      <c r="J1340" s="163">
        <f t="shared" si="163"/>
        <v>0</v>
      </c>
      <c r="K1340" s="155">
        <f t="shared" si="16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65"/>
        <v>0</v>
      </c>
      <c r="O1340" s="155">
        <f t="shared" si="166"/>
        <v>0</v>
      </c>
      <c r="P1340" s="155">
        <f>IF(O1340=1,SUM($O$6:O1340),0)</f>
        <v>0</v>
      </c>
    </row>
    <row r="1341" spans="1:16" ht="15" customHeight="1">
      <c r="A1341" s="15"/>
      <c r="B1341" s="194">
        <v>18</v>
      </c>
      <c r="C1341" s="109" t="s">
        <v>1282</v>
      </c>
      <c r="D1341" s="213" t="s">
        <v>49</v>
      </c>
      <c r="E1341" s="214" t="s">
        <v>1106</v>
      </c>
      <c r="F1341" s="215">
        <v>2384400</v>
      </c>
      <c r="G1341" s="215">
        <v>2384400</v>
      </c>
      <c r="H1341" s="171"/>
      <c r="I1341" s="88">
        <f t="shared" si="167"/>
        <v>2384400</v>
      </c>
      <c r="J1341" s="163">
        <f t="shared" si="163"/>
        <v>0</v>
      </c>
      <c r="K1341" s="155">
        <f t="shared" si="16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65"/>
        <v>0</v>
      </c>
      <c r="O1341" s="155">
        <f t="shared" si="166"/>
        <v>0</v>
      </c>
      <c r="P1341" s="155">
        <f>IF(O1341=1,SUM($O$6:O1341),0)</f>
        <v>0</v>
      </c>
    </row>
    <row r="1342" spans="1:16" ht="15" customHeight="1">
      <c r="A1342" s="15"/>
      <c r="B1342" s="194">
        <v>19</v>
      </c>
      <c r="C1342" s="109" t="s">
        <v>1283</v>
      </c>
      <c r="D1342" s="213" t="s">
        <v>49</v>
      </c>
      <c r="E1342" s="214" t="s">
        <v>1106</v>
      </c>
      <c r="F1342" s="215">
        <v>3271200</v>
      </c>
      <c r="G1342" s="215">
        <v>3271200</v>
      </c>
      <c r="H1342" s="171"/>
      <c r="I1342" s="88">
        <f t="shared" si="167"/>
        <v>3271200</v>
      </c>
      <c r="J1342" s="163">
        <f t="shared" si="163"/>
        <v>0</v>
      </c>
      <c r="K1342" s="155">
        <f t="shared" si="16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65"/>
        <v>0</v>
      </c>
      <c r="O1342" s="155">
        <f t="shared" si="166"/>
        <v>0</v>
      </c>
      <c r="P1342" s="155">
        <f>IF(O1342=1,SUM($O$6:O1342),0)</f>
        <v>0</v>
      </c>
    </row>
    <row r="1343" spans="1:16" ht="15" customHeight="1">
      <c r="A1343" s="15"/>
      <c r="B1343" s="194">
        <v>20</v>
      </c>
      <c r="C1343" s="109" t="s">
        <v>1284</v>
      </c>
      <c r="D1343" s="213" t="s">
        <v>49</v>
      </c>
      <c r="E1343" s="214" t="s">
        <v>1106</v>
      </c>
      <c r="F1343" s="215">
        <v>2920800</v>
      </c>
      <c r="G1343" s="215">
        <v>2920800</v>
      </c>
      <c r="H1343" s="171"/>
      <c r="I1343" s="88">
        <f t="shared" si="167"/>
        <v>2920800</v>
      </c>
      <c r="J1343" s="163">
        <f t="shared" si="163"/>
        <v>0</v>
      </c>
      <c r="K1343" s="155">
        <f t="shared" si="16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65"/>
        <v>0</v>
      </c>
      <c r="O1343" s="155">
        <f t="shared" si="166"/>
        <v>0</v>
      </c>
      <c r="P1343" s="155">
        <f>IF(O1343=1,SUM($O$6:O1343),0)</f>
        <v>0</v>
      </c>
    </row>
    <row r="1344" spans="1:16" ht="15" customHeight="1">
      <c r="A1344" s="15"/>
      <c r="B1344" s="194">
        <v>21</v>
      </c>
      <c r="C1344" s="109" t="s">
        <v>1285</v>
      </c>
      <c r="D1344" s="213" t="s">
        <v>49</v>
      </c>
      <c r="E1344" s="214" t="s">
        <v>1106</v>
      </c>
      <c r="F1344" s="215">
        <v>2151600</v>
      </c>
      <c r="G1344" s="215">
        <v>2151600</v>
      </c>
      <c r="H1344" s="171"/>
      <c r="I1344" s="88">
        <f t="shared" si="167"/>
        <v>2151600</v>
      </c>
      <c r="J1344" s="163">
        <f t="shared" si="163"/>
        <v>0</v>
      </c>
      <c r="K1344" s="155">
        <f t="shared" si="16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65"/>
        <v>0</v>
      </c>
      <c r="O1344" s="155">
        <f t="shared" si="166"/>
        <v>0</v>
      </c>
      <c r="P1344" s="155">
        <f>IF(O1344=1,SUM($O$6:O1344),0)</f>
        <v>0</v>
      </c>
    </row>
    <row r="1345" spans="1:16" ht="15" customHeight="1">
      <c r="A1345" s="15"/>
      <c r="B1345" s="194">
        <v>22</v>
      </c>
      <c r="C1345" s="109" t="s">
        <v>1286</v>
      </c>
      <c r="D1345" s="213" t="s">
        <v>49</v>
      </c>
      <c r="E1345" s="214" t="s">
        <v>1106</v>
      </c>
      <c r="F1345" s="215">
        <v>1822800</v>
      </c>
      <c r="G1345" s="215">
        <v>1822800</v>
      </c>
      <c r="H1345" s="171"/>
      <c r="I1345" s="88">
        <f t="shared" si="167"/>
        <v>1822800</v>
      </c>
      <c r="J1345" s="163">
        <f t="shared" si="163"/>
        <v>0</v>
      </c>
      <c r="K1345" s="155">
        <f t="shared" si="16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65"/>
        <v>0</v>
      </c>
      <c r="O1345" s="155">
        <f t="shared" si="166"/>
        <v>0</v>
      </c>
      <c r="P1345" s="155">
        <f>IF(O1345=1,SUM($O$6:O1345),0)</f>
        <v>0</v>
      </c>
    </row>
    <row r="1346" spans="1:16" ht="15" customHeight="1">
      <c r="A1346" s="15"/>
      <c r="B1346" s="194">
        <v>23</v>
      </c>
      <c r="C1346" s="109" t="s">
        <v>1287</v>
      </c>
      <c r="D1346" s="213" t="s">
        <v>49</v>
      </c>
      <c r="E1346" s="214" t="s">
        <v>1106</v>
      </c>
      <c r="F1346" s="215">
        <v>1637821.3173673779</v>
      </c>
      <c r="G1346" s="215">
        <v>1637821.3173673779</v>
      </c>
      <c r="H1346" s="171"/>
      <c r="I1346" s="88">
        <f t="shared" si="167"/>
        <v>1637821.3173673779</v>
      </c>
      <c r="J1346" s="163">
        <f t="shared" si="163"/>
        <v>0</v>
      </c>
      <c r="K1346" s="155">
        <f t="shared" si="16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65"/>
        <v>0</v>
      </c>
      <c r="O1346" s="155">
        <f t="shared" si="166"/>
        <v>0</v>
      </c>
      <c r="P1346" s="155">
        <f>IF(O1346=1,SUM($O$6:O1346),0)</f>
        <v>0</v>
      </c>
    </row>
    <row r="1347" spans="1:16" ht="15" customHeight="1">
      <c r="A1347" s="15"/>
      <c r="B1347" s="194">
        <v>24</v>
      </c>
      <c r="C1347" s="109" t="s">
        <v>1288</v>
      </c>
      <c r="D1347" s="213" t="s">
        <v>49</v>
      </c>
      <c r="E1347" s="214" t="s">
        <v>1106</v>
      </c>
      <c r="F1347" s="215">
        <v>1505773.9956037072</v>
      </c>
      <c r="G1347" s="215">
        <v>1505773.9956037072</v>
      </c>
      <c r="H1347" s="171"/>
      <c r="I1347" s="88">
        <f t="shared" si="167"/>
        <v>1505773.9956037072</v>
      </c>
      <c r="J1347" s="163">
        <f t="shared" si="163"/>
        <v>0</v>
      </c>
      <c r="K1347" s="155">
        <f t="shared" si="16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65"/>
        <v>0</v>
      </c>
      <c r="O1347" s="155">
        <f t="shared" si="166"/>
        <v>0</v>
      </c>
      <c r="P1347" s="155">
        <f>IF(O1347=1,SUM($O$6:O1347),0)</f>
        <v>0</v>
      </c>
    </row>
    <row r="1348" spans="1:16" ht="15" customHeight="1">
      <c r="A1348" s="15"/>
      <c r="B1348" s="194">
        <v>25</v>
      </c>
      <c r="C1348" s="109" t="s">
        <v>1289</v>
      </c>
      <c r="D1348" s="213" t="s">
        <v>49</v>
      </c>
      <c r="E1348" s="214" t="s">
        <v>1106</v>
      </c>
      <c r="F1348" s="215">
        <v>1382400</v>
      </c>
      <c r="G1348" s="215">
        <v>1382400</v>
      </c>
      <c r="H1348" s="171"/>
      <c r="I1348" s="88">
        <f t="shared" si="167"/>
        <v>1382400</v>
      </c>
      <c r="J1348" s="163">
        <f t="shared" si="163"/>
        <v>0</v>
      </c>
      <c r="K1348" s="155">
        <f t="shared" si="16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65"/>
        <v>0</v>
      </c>
      <c r="O1348" s="155">
        <f t="shared" si="166"/>
        <v>0</v>
      </c>
      <c r="P1348" s="155">
        <f>IF(O1348=1,SUM($O$6:O1348),0)</f>
        <v>0</v>
      </c>
    </row>
    <row r="1349" spans="1:16" ht="15" customHeight="1">
      <c r="A1349" s="15"/>
      <c r="B1349" s="194">
        <v>26</v>
      </c>
      <c r="C1349" s="109" t="s">
        <v>1290</v>
      </c>
      <c r="D1349" s="213" t="s">
        <v>49</v>
      </c>
      <c r="E1349" s="214" t="s">
        <v>1106</v>
      </c>
      <c r="F1349" s="215">
        <v>1380000</v>
      </c>
      <c r="G1349" s="215">
        <v>1380000</v>
      </c>
      <c r="H1349" s="171"/>
      <c r="I1349" s="88">
        <f t="shared" si="167"/>
        <v>1380000</v>
      </c>
      <c r="J1349" s="163">
        <f t="shared" si="163"/>
        <v>0</v>
      </c>
      <c r="K1349" s="155">
        <f t="shared" si="16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65"/>
        <v>0</v>
      </c>
      <c r="O1349" s="155">
        <f t="shared" si="166"/>
        <v>0</v>
      </c>
      <c r="P1349" s="155">
        <f>IF(O1349=1,SUM($O$6:O1349),0)</f>
        <v>0</v>
      </c>
    </row>
    <row r="1350" spans="1:16" ht="15" customHeight="1">
      <c r="A1350" s="15"/>
      <c r="B1350" s="194">
        <v>27</v>
      </c>
      <c r="C1350" s="109" t="s">
        <v>1291</v>
      </c>
      <c r="D1350" s="213" t="s">
        <v>49</v>
      </c>
      <c r="E1350" s="214" t="s">
        <v>1106</v>
      </c>
      <c r="F1350" s="215">
        <v>1221600</v>
      </c>
      <c r="G1350" s="215">
        <v>1221600</v>
      </c>
      <c r="H1350" s="171"/>
      <c r="I1350" s="88">
        <f t="shared" si="167"/>
        <v>1221600</v>
      </c>
      <c r="J1350" s="163">
        <f t="shared" si="163"/>
        <v>0</v>
      </c>
      <c r="K1350" s="155">
        <f t="shared" si="16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65"/>
        <v>0</v>
      </c>
      <c r="O1350" s="155">
        <f t="shared" si="166"/>
        <v>0</v>
      </c>
      <c r="P1350" s="155">
        <f>IF(O1350=1,SUM($O$6:O1350),0)</f>
        <v>0</v>
      </c>
    </row>
    <row r="1351" spans="1:16" ht="15" customHeight="1">
      <c r="A1351" s="15"/>
      <c r="B1351" s="194">
        <v>28</v>
      </c>
      <c r="C1351" s="109" t="s">
        <v>1292</v>
      </c>
      <c r="D1351" s="213" t="s">
        <v>49</v>
      </c>
      <c r="E1351" s="214" t="s">
        <v>1106</v>
      </c>
      <c r="F1351" s="215">
        <v>6279240.0000000009</v>
      </c>
      <c r="G1351" s="215">
        <v>6279240.0000000009</v>
      </c>
      <c r="H1351" s="171"/>
      <c r="I1351" s="88">
        <f t="shared" si="167"/>
        <v>6279240.0000000009</v>
      </c>
      <c r="J1351" s="163">
        <f t="shared" si="163"/>
        <v>0</v>
      </c>
      <c r="K1351" s="155">
        <f t="shared" si="16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65"/>
        <v>0</v>
      </c>
      <c r="O1351" s="155">
        <f t="shared" si="166"/>
        <v>0</v>
      </c>
      <c r="P1351" s="155">
        <f>IF(O1351=1,SUM($O$6:O1351),0)</f>
        <v>0</v>
      </c>
    </row>
    <row r="1352" spans="1:16" ht="15" customHeight="1">
      <c r="A1352" s="15"/>
      <c r="B1352" s="194">
        <v>29</v>
      </c>
      <c r="C1352" s="109" t="s">
        <v>1293</v>
      </c>
      <c r="D1352" s="213" t="s">
        <v>49</v>
      </c>
      <c r="E1352" s="214" t="s">
        <v>1106</v>
      </c>
      <c r="F1352" s="215">
        <v>6279240.0000000009</v>
      </c>
      <c r="G1352" s="215">
        <v>6279240.0000000009</v>
      </c>
      <c r="H1352" s="175"/>
      <c r="I1352" s="88">
        <f t="shared" si="167"/>
        <v>6279240.0000000009</v>
      </c>
      <c r="J1352" s="163">
        <f t="shared" si="163"/>
        <v>0</v>
      </c>
      <c r="K1352" s="155">
        <f t="shared" si="16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65"/>
        <v>0</v>
      </c>
      <c r="O1352" s="155">
        <f t="shared" si="166"/>
        <v>0</v>
      </c>
      <c r="P1352" s="155">
        <f>IF(O1352=1,SUM($O$6:O1352),0)</f>
        <v>0</v>
      </c>
    </row>
    <row r="1353" spans="1:16" ht="15" customHeight="1">
      <c r="A1353" s="15"/>
      <c r="B1353" s="194">
        <v>30</v>
      </c>
      <c r="C1353" s="109" t="s">
        <v>1294</v>
      </c>
      <c r="D1353" s="213" t="s">
        <v>49</v>
      </c>
      <c r="E1353" s="214" t="s">
        <v>1106</v>
      </c>
      <c r="F1353" s="215">
        <v>4901160</v>
      </c>
      <c r="G1353" s="215">
        <v>4901160</v>
      </c>
      <c r="H1353" s="175"/>
      <c r="I1353" s="88">
        <f t="shared" si="167"/>
        <v>4901160</v>
      </c>
      <c r="J1353" s="163">
        <f t="shared" si="163"/>
        <v>0</v>
      </c>
      <c r="K1353" s="155">
        <f t="shared" si="16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65"/>
        <v>0</v>
      </c>
      <c r="O1353" s="155">
        <f t="shared" si="166"/>
        <v>0</v>
      </c>
      <c r="P1353" s="155">
        <f>IF(O1353=1,SUM($O$6:O1353),0)</f>
        <v>0</v>
      </c>
    </row>
    <row r="1354" spans="1:16" ht="15" customHeight="1">
      <c r="A1354" s="15"/>
      <c r="B1354" s="194">
        <v>31</v>
      </c>
      <c r="C1354" s="109" t="s">
        <v>1295</v>
      </c>
      <c r="D1354" s="213" t="s">
        <v>49</v>
      </c>
      <c r="E1354" s="214" t="s">
        <v>1106</v>
      </c>
      <c r="F1354" s="215">
        <v>4642440</v>
      </c>
      <c r="G1354" s="215">
        <v>4642440</v>
      </c>
      <c r="H1354" s="175"/>
      <c r="I1354" s="88">
        <f t="shared" si="167"/>
        <v>4642440</v>
      </c>
      <c r="J1354" s="163">
        <f t="shared" si="163"/>
        <v>0</v>
      </c>
      <c r="K1354" s="155">
        <f t="shared" si="16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65"/>
        <v>0</v>
      </c>
      <c r="O1354" s="155">
        <f t="shared" si="166"/>
        <v>0</v>
      </c>
      <c r="P1354" s="155">
        <f>IF(O1354=1,SUM($O$6:O1354),0)</f>
        <v>0</v>
      </c>
    </row>
    <row r="1355" spans="1:16" ht="15" customHeight="1">
      <c r="A1355" s="15"/>
      <c r="B1355" s="194">
        <v>32</v>
      </c>
      <c r="C1355" s="109" t="s">
        <v>1296</v>
      </c>
      <c r="D1355" s="213" t="s">
        <v>49</v>
      </c>
      <c r="E1355" s="214" t="s">
        <v>1106</v>
      </c>
      <c r="F1355" s="215">
        <v>3961320</v>
      </c>
      <c r="G1355" s="215">
        <v>3961320</v>
      </c>
      <c r="H1355" s="175"/>
      <c r="I1355" s="88">
        <f t="shared" si="167"/>
        <v>3961320</v>
      </c>
      <c r="J1355" s="163">
        <f t="shared" si="163"/>
        <v>0</v>
      </c>
      <c r="K1355" s="155">
        <f t="shared" si="16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65"/>
        <v>0</v>
      </c>
      <c r="O1355" s="155">
        <f t="shared" si="166"/>
        <v>0</v>
      </c>
      <c r="P1355" s="155">
        <f>IF(O1355=1,SUM($O$6:O1355),0)</f>
        <v>0</v>
      </c>
    </row>
    <row r="1356" spans="1:16" ht="15" customHeight="1">
      <c r="A1356" s="15"/>
      <c r="B1356" s="194">
        <v>33</v>
      </c>
      <c r="C1356" s="109" t="s">
        <v>1297</v>
      </c>
      <c r="D1356" s="213" t="s">
        <v>49</v>
      </c>
      <c r="E1356" s="214" t="s">
        <v>1106</v>
      </c>
      <c r="F1356" s="215">
        <v>3839880</v>
      </c>
      <c r="G1356" s="215">
        <v>3839880</v>
      </c>
      <c r="H1356" s="175"/>
      <c r="I1356" s="88">
        <f t="shared" si="167"/>
        <v>3839880</v>
      </c>
      <c r="J1356" s="163">
        <f t="shared" si="163"/>
        <v>0</v>
      </c>
      <c r="K1356" s="155">
        <f t="shared" si="16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65"/>
        <v>0</v>
      </c>
      <c r="O1356" s="155">
        <f t="shared" si="166"/>
        <v>0</v>
      </c>
      <c r="P1356" s="155">
        <f>IF(O1356=1,SUM($O$6:O1356),0)</f>
        <v>0</v>
      </c>
    </row>
    <row r="1357" spans="1:16" ht="15" customHeight="1">
      <c r="A1357" s="15"/>
      <c r="B1357" s="194">
        <v>34</v>
      </c>
      <c r="C1357" s="109" t="s">
        <v>1298</v>
      </c>
      <c r="D1357" s="213" t="s">
        <v>49</v>
      </c>
      <c r="E1357" s="214" t="s">
        <v>1106</v>
      </c>
      <c r="F1357" s="215">
        <v>3835920</v>
      </c>
      <c r="G1357" s="215">
        <v>3835920</v>
      </c>
      <c r="H1357" s="175"/>
      <c r="I1357" s="88">
        <f t="shared" si="167"/>
        <v>3835920</v>
      </c>
      <c r="J1357" s="163">
        <f t="shared" si="163"/>
        <v>0</v>
      </c>
      <c r="K1357" s="155">
        <f t="shared" si="16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65"/>
        <v>0</v>
      </c>
      <c r="O1357" s="155">
        <f t="shared" si="166"/>
        <v>0</v>
      </c>
      <c r="P1357" s="155">
        <f>IF(O1357=1,SUM($O$6:O1357),0)</f>
        <v>0</v>
      </c>
    </row>
    <row r="1358" spans="1:16" ht="15" customHeight="1">
      <c r="A1358" s="15"/>
      <c r="B1358" s="194">
        <v>35</v>
      </c>
      <c r="C1358" s="109" t="s">
        <v>1299</v>
      </c>
      <c r="D1358" s="213" t="s">
        <v>49</v>
      </c>
      <c r="E1358" s="214" t="s">
        <v>1106</v>
      </c>
      <c r="F1358" s="215">
        <v>3260400</v>
      </c>
      <c r="G1358" s="215">
        <v>3260400</v>
      </c>
      <c r="H1358" s="175"/>
      <c r="I1358" s="88">
        <f t="shared" si="167"/>
        <v>3260400</v>
      </c>
      <c r="J1358" s="163">
        <f t="shared" si="163"/>
        <v>0</v>
      </c>
      <c r="K1358" s="155">
        <f t="shared" si="16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65"/>
        <v>0</v>
      </c>
      <c r="O1358" s="155">
        <f t="shared" si="166"/>
        <v>0</v>
      </c>
      <c r="P1358" s="155">
        <f>IF(O1358=1,SUM($O$6:O1358),0)</f>
        <v>0</v>
      </c>
    </row>
    <row r="1359" spans="1:16" ht="15" customHeight="1">
      <c r="A1359" s="15"/>
      <c r="B1359" s="194">
        <v>36</v>
      </c>
      <c r="C1359" s="109" t="s">
        <v>1300</v>
      </c>
      <c r="D1359" s="213" t="s">
        <v>49</v>
      </c>
      <c r="E1359" s="214" t="s">
        <v>1106</v>
      </c>
      <c r="F1359" s="215">
        <v>3643200</v>
      </c>
      <c r="G1359" s="215">
        <v>3643200</v>
      </c>
      <c r="H1359" s="175"/>
      <c r="I1359" s="88">
        <f t="shared" si="167"/>
        <v>3643200</v>
      </c>
      <c r="J1359" s="163">
        <f t="shared" si="163"/>
        <v>0</v>
      </c>
      <c r="K1359" s="155">
        <f t="shared" si="16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65"/>
        <v>0</v>
      </c>
      <c r="O1359" s="155">
        <f t="shared" si="166"/>
        <v>0</v>
      </c>
      <c r="P1359" s="155">
        <f>IF(O1359=1,SUM($O$6:O1359),0)</f>
        <v>0</v>
      </c>
    </row>
    <row r="1360" spans="1:16" ht="15" customHeight="1">
      <c r="A1360" s="15"/>
      <c r="B1360" s="194">
        <v>37</v>
      </c>
      <c r="C1360" s="109" t="s">
        <v>1301</v>
      </c>
      <c r="D1360" s="213" t="s">
        <v>49</v>
      </c>
      <c r="E1360" s="214" t="s">
        <v>1106</v>
      </c>
      <c r="F1360" s="215">
        <v>3538920</v>
      </c>
      <c r="G1360" s="215">
        <v>3538920</v>
      </c>
      <c r="H1360" s="175"/>
      <c r="I1360" s="88">
        <f t="shared" si="167"/>
        <v>3538920</v>
      </c>
      <c r="J1360" s="163">
        <f t="shared" si="163"/>
        <v>0</v>
      </c>
      <c r="K1360" s="155">
        <f t="shared" si="16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65"/>
        <v>0</v>
      </c>
      <c r="O1360" s="155">
        <f t="shared" si="166"/>
        <v>0</v>
      </c>
      <c r="P1360" s="155">
        <f>IF(O1360=1,SUM($O$6:O1360),0)</f>
        <v>0</v>
      </c>
    </row>
    <row r="1361" spans="1:16" ht="15" customHeight="1">
      <c r="A1361" s="15"/>
      <c r="B1361" s="194">
        <v>38</v>
      </c>
      <c r="C1361" s="109" t="s">
        <v>1302</v>
      </c>
      <c r="D1361" s="213" t="s">
        <v>49</v>
      </c>
      <c r="E1361" s="214" t="s">
        <v>1106</v>
      </c>
      <c r="F1361" s="215">
        <v>2935680.0000000005</v>
      </c>
      <c r="G1361" s="215">
        <v>2935680.0000000005</v>
      </c>
      <c r="H1361" s="175"/>
      <c r="I1361" s="88">
        <f t="shared" si="167"/>
        <v>2935680.0000000005</v>
      </c>
      <c r="J1361" s="163">
        <f t="shared" si="163"/>
        <v>0</v>
      </c>
      <c r="K1361" s="155">
        <f t="shared" si="16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65"/>
        <v>0</v>
      </c>
      <c r="O1361" s="155">
        <f t="shared" si="166"/>
        <v>0</v>
      </c>
      <c r="P1361" s="155">
        <f>IF(O1361=1,SUM($O$6:O1361),0)</f>
        <v>0</v>
      </c>
    </row>
    <row r="1362" spans="1:16" ht="15" customHeight="1">
      <c r="A1362" s="15"/>
      <c r="B1362" s="194">
        <v>39</v>
      </c>
      <c r="C1362" s="109" t="s">
        <v>1303</v>
      </c>
      <c r="D1362" s="213" t="s">
        <v>49</v>
      </c>
      <c r="E1362" s="214" t="s">
        <v>1106</v>
      </c>
      <c r="F1362" s="215">
        <v>2935680.0000000005</v>
      </c>
      <c r="G1362" s="215">
        <v>2935680.0000000005</v>
      </c>
      <c r="H1362" s="175"/>
      <c r="I1362" s="88">
        <f t="shared" si="167"/>
        <v>2935680.0000000005</v>
      </c>
      <c r="J1362" s="163">
        <f t="shared" si="163"/>
        <v>0</v>
      </c>
      <c r="K1362" s="155">
        <f t="shared" si="16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65"/>
        <v>0</v>
      </c>
      <c r="O1362" s="155">
        <f t="shared" si="166"/>
        <v>0</v>
      </c>
      <c r="P1362" s="155">
        <f>IF(O1362=1,SUM($O$6:O1362),0)</f>
        <v>0</v>
      </c>
    </row>
    <row r="1363" spans="1:16" ht="15" customHeight="1">
      <c r="A1363" s="15"/>
      <c r="B1363" s="194">
        <v>40</v>
      </c>
      <c r="C1363" s="109" t="s">
        <v>1304</v>
      </c>
      <c r="D1363" s="213" t="s">
        <v>49</v>
      </c>
      <c r="E1363" s="214" t="s">
        <v>1106</v>
      </c>
      <c r="F1363" s="215">
        <v>2604360.0000000005</v>
      </c>
      <c r="G1363" s="215">
        <v>2604360.0000000005</v>
      </c>
      <c r="H1363" s="175"/>
      <c r="I1363" s="88">
        <f t="shared" si="167"/>
        <v>2604360.0000000005</v>
      </c>
      <c r="J1363" s="163">
        <f t="shared" si="163"/>
        <v>0</v>
      </c>
      <c r="K1363" s="155">
        <f t="shared" si="16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65"/>
        <v>0</v>
      </c>
      <c r="O1363" s="155">
        <f t="shared" si="166"/>
        <v>0</v>
      </c>
      <c r="P1363" s="155">
        <f>IF(O1363=1,SUM($O$6:O1363),0)</f>
        <v>0</v>
      </c>
    </row>
    <row r="1364" spans="1:16" ht="15" customHeight="1">
      <c r="A1364" s="15"/>
      <c r="B1364" s="194">
        <v>41</v>
      </c>
      <c r="C1364" s="109" t="s">
        <v>1305</v>
      </c>
      <c r="D1364" s="213" t="s">
        <v>49</v>
      </c>
      <c r="E1364" s="214" t="s">
        <v>1106</v>
      </c>
      <c r="F1364" s="215">
        <v>1969440</v>
      </c>
      <c r="G1364" s="215">
        <v>1969440</v>
      </c>
      <c r="H1364" s="175"/>
      <c r="I1364" s="88">
        <f t="shared" si="167"/>
        <v>1969440</v>
      </c>
      <c r="J1364" s="163">
        <f t="shared" si="163"/>
        <v>0</v>
      </c>
      <c r="K1364" s="155">
        <f t="shared" si="16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65"/>
        <v>0</v>
      </c>
      <c r="O1364" s="155">
        <f t="shared" si="166"/>
        <v>0</v>
      </c>
      <c r="P1364" s="155">
        <f>IF(O1364=1,SUM($O$6:O1364),0)</f>
        <v>0</v>
      </c>
    </row>
    <row r="1365" spans="1:16" ht="15" customHeight="1">
      <c r="A1365" s="15"/>
      <c r="B1365" s="194">
        <v>42</v>
      </c>
      <c r="C1365" s="109" t="s">
        <v>1306</v>
      </c>
      <c r="D1365" s="213" t="s">
        <v>49</v>
      </c>
      <c r="E1365" s="214" t="s">
        <v>1106</v>
      </c>
      <c r="F1365" s="215">
        <v>5150640.0000000009</v>
      </c>
      <c r="G1365" s="215">
        <v>5150640.0000000009</v>
      </c>
      <c r="H1365" s="175"/>
      <c r="I1365" s="88">
        <f t="shared" si="167"/>
        <v>5150640.0000000009</v>
      </c>
      <c r="J1365" s="163">
        <f t="shared" si="163"/>
        <v>0</v>
      </c>
      <c r="K1365" s="155">
        <f t="shared" si="16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65"/>
        <v>0</v>
      </c>
      <c r="O1365" s="155">
        <f t="shared" si="166"/>
        <v>0</v>
      </c>
      <c r="P1365" s="155">
        <f>IF(O1365=1,SUM($O$6:O1365),0)</f>
        <v>0</v>
      </c>
    </row>
    <row r="1366" spans="1:16" ht="15" customHeight="1">
      <c r="A1366" s="15"/>
      <c r="B1366" s="194">
        <v>43</v>
      </c>
      <c r="C1366" s="109" t="s">
        <v>1307</v>
      </c>
      <c r="D1366" s="213" t="s">
        <v>49</v>
      </c>
      <c r="E1366" s="214" t="s">
        <v>1106</v>
      </c>
      <c r="F1366" s="215">
        <v>4060320</v>
      </c>
      <c r="G1366" s="215">
        <v>4060320</v>
      </c>
      <c r="H1366" s="175"/>
      <c r="I1366" s="88">
        <f t="shared" si="167"/>
        <v>4060320</v>
      </c>
      <c r="J1366" s="163">
        <f t="shared" si="163"/>
        <v>0</v>
      </c>
      <c r="K1366" s="155">
        <f t="shared" si="16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5"/>
        <v>0</v>
      </c>
      <c r="O1366" s="155">
        <f t="shared" si="166"/>
        <v>0</v>
      </c>
      <c r="P1366" s="155">
        <f>IF(O1366=1,SUM($O$6:O1366),0)</f>
        <v>0</v>
      </c>
    </row>
    <row r="1367" spans="1:16" ht="15" customHeight="1">
      <c r="A1367" s="15"/>
      <c r="B1367" s="194">
        <v>44</v>
      </c>
      <c r="C1367" s="109" t="s">
        <v>1308</v>
      </c>
      <c r="D1367" s="213" t="s">
        <v>49</v>
      </c>
      <c r="E1367" s="214" t="s">
        <v>1106</v>
      </c>
      <c r="F1367" s="215">
        <v>3453120</v>
      </c>
      <c r="G1367" s="215">
        <v>3453120</v>
      </c>
      <c r="H1367" s="175"/>
      <c r="I1367" s="88">
        <f t="shared" si="167"/>
        <v>3453120</v>
      </c>
      <c r="J1367" s="163">
        <f t="shared" si="163"/>
        <v>0</v>
      </c>
      <c r="K1367" s="155">
        <f t="shared" si="16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5"/>
        <v>0</v>
      </c>
      <c r="O1367" s="155">
        <f t="shared" si="166"/>
        <v>0</v>
      </c>
      <c r="P1367" s="155">
        <f>IF(O1367=1,SUM($O$6:O1367),0)</f>
        <v>0</v>
      </c>
    </row>
    <row r="1368" spans="1:16" ht="15" customHeight="1">
      <c r="A1368" s="15"/>
      <c r="B1368" s="194">
        <v>45</v>
      </c>
      <c r="C1368" s="109" t="s">
        <v>1309</v>
      </c>
      <c r="D1368" s="213" t="s">
        <v>49</v>
      </c>
      <c r="E1368" s="214" t="s">
        <v>1106</v>
      </c>
      <c r="F1368" s="215">
        <v>2622840.0000000005</v>
      </c>
      <c r="G1368" s="215">
        <v>2622840.0000000005</v>
      </c>
      <c r="H1368" s="171"/>
      <c r="I1368" s="88">
        <f t="shared" si="167"/>
        <v>2622840.0000000005</v>
      </c>
      <c r="J1368" s="163">
        <f t="shared" ref="J1368:J1431" si="168">IF(D1368="MDU-KD",1,0)</f>
        <v>0</v>
      </c>
      <c r="K1368" s="155">
        <f t="shared" ref="K1368:K1431" si="16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70">IF(L1368=0,M1368,L1368)</f>
        <v>0</v>
      </c>
      <c r="O1368" s="155">
        <f t="shared" ref="O1368:O1431" si="17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94">
        <v>46</v>
      </c>
      <c r="C1369" s="109" t="s">
        <v>1310</v>
      </c>
      <c r="D1369" s="213" t="s">
        <v>49</v>
      </c>
      <c r="E1369" s="214" t="s">
        <v>1106</v>
      </c>
      <c r="F1369" s="215">
        <v>3598320</v>
      </c>
      <c r="G1369" s="215">
        <v>3598320</v>
      </c>
      <c r="H1369" s="171"/>
      <c r="I1369" s="88">
        <f t="shared" si="167"/>
        <v>3598320</v>
      </c>
      <c r="J1369" s="163">
        <f t="shared" si="168"/>
        <v>0</v>
      </c>
      <c r="K1369" s="155">
        <f t="shared" si="16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70"/>
        <v>0</v>
      </c>
      <c r="O1369" s="155">
        <f t="shared" si="171"/>
        <v>0</v>
      </c>
      <c r="P1369" s="155">
        <f>IF(O1369=1,SUM($O$6:O1369),0)</f>
        <v>0</v>
      </c>
    </row>
    <row r="1370" spans="1:16" ht="15" customHeight="1">
      <c r="A1370" s="15"/>
      <c r="B1370" s="194">
        <v>47</v>
      </c>
      <c r="C1370" s="109" t="s">
        <v>1311</v>
      </c>
      <c r="D1370" s="213" t="s">
        <v>49</v>
      </c>
      <c r="E1370" s="214" t="s">
        <v>1106</v>
      </c>
      <c r="F1370" s="215">
        <v>3212880</v>
      </c>
      <c r="G1370" s="215">
        <v>3212880</v>
      </c>
      <c r="H1370" s="171"/>
      <c r="I1370" s="88">
        <f t="shared" si="167"/>
        <v>3212880</v>
      </c>
      <c r="J1370" s="163">
        <f t="shared" si="168"/>
        <v>0</v>
      </c>
      <c r="K1370" s="155">
        <f t="shared" si="16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70"/>
        <v>0</v>
      </c>
      <c r="O1370" s="155">
        <f t="shared" si="171"/>
        <v>0</v>
      </c>
      <c r="P1370" s="155">
        <f>IF(O1370=1,SUM($O$6:O1370),0)</f>
        <v>0</v>
      </c>
    </row>
    <row r="1371" spans="1:16" ht="15" customHeight="1">
      <c r="A1371" s="15"/>
      <c r="B1371" s="194">
        <v>48</v>
      </c>
      <c r="C1371" s="109" t="s">
        <v>1312</v>
      </c>
      <c r="D1371" s="213" t="s">
        <v>49</v>
      </c>
      <c r="E1371" s="214" t="s">
        <v>1106</v>
      </c>
      <c r="F1371" s="215">
        <v>2366760</v>
      </c>
      <c r="G1371" s="215">
        <v>2366760</v>
      </c>
      <c r="H1371" s="171"/>
      <c r="I1371" s="88">
        <f>IF($I$5=$G$4,G1371,(IF($I$5=$F$4,F1371,0)))</f>
        <v>2366760</v>
      </c>
      <c r="J1371" s="163">
        <f t="shared" si="168"/>
        <v>0</v>
      </c>
      <c r="K1371" s="155">
        <f t="shared" si="16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70"/>
        <v>0</v>
      </c>
      <c r="O1371" s="155">
        <f t="shared" si="171"/>
        <v>0</v>
      </c>
      <c r="P1371" s="155">
        <f>IF(O1371=1,SUM($O$6:O1371),0)</f>
        <v>0</v>
      </c>
    </row>
    <row r="1372" spans="1:16" ht="15" customHeight="1">
      <c r="A1372" s="15"/>
      <c r="B1372" s="194">
        <v>49</v>
      </c>
      <c r="C1372" s="109" t="s">
        <v>1313</v>
      </c>
      <c r="D1372" s="213" t="s">
        <v>49</v>
      </c>
      <c r="E1372" s="214" t="s">
        <v>1106</v>
      </c>
      <c r="F1372" s="215">
        <v>2005080</v>
      </c>
      <c r="G1372" s="215">
        <v>2005080</v>
      </c>
      <c r="H1372" s="171"/>
      <c r="I1372" s="88">
        <f>IF($I$5=$G$4,G1372,(IF($I$5=$F$4,F1372,0)))</f>
        <v>2005080</v>
      </c>
      <c r="J1372" s="163">
        <f t="shared" si="168"/>
        <v>0</v>
      </c>
      <c r="K1372" s="155">
        <f t="shared" si="16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70"/>
        <v>0</v>
      </c>
      <c r="O1372" s="155">
        <f t="shared" si="171"/>
        <v>0</v>
      </c>
      <c r="P1372" s="155">
        <f>IF(O1372=1,SUM($O$6:O1372),0)</f>
        <v>0</v>
      </c>
    </row>
    <row r="1373" spans="1:16" ht="15" customHeight="1">
      <c r="A1373" s="15"/>
      <c r="B1373" s="194">
        <v>50</v>
      </c>
      <c r="C1373" s="109" t="s">
        <v>1314</v>
      </c>
      <c r="D1373" s="213" t="s">
        <v>49</v>
      </c>
      <c r="E1373" s="214" t="s">
        <v>1106</v>
      </c>
      <c r="F1373" s="215">
        <v>1801603.4491041158</v>
      </c>
      <c r="G1373" s="215">
        <v>1801603.4491041158</v>
      </c>
      <c r="H1373" s="171"/>
      <c r="I1373" s="88">
        <f t="shared" si="167"/>
        <v>1801603.4491041158</v>
      </c>
      <c r="J1373" s="163">
        <f t="shared" si="168"/>
        <v>0</v>
      </c>
      <c r="K1373" s="155">
        <f t="shared" si="16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70"/>
        <v>0</v>
      </c>
      <c r="O1373" s="155">
        <f t="shared" si="171"/>
        <v>0</v>
      </c>
      <c r="P1373" s="155">
        <f>IF(O1373=1,SUM($O$6:O1373),0)</f>
        <v>0</v>
      </c>
    </row>
    <row r="1374" spans="1:16" ht="15" customHeight="1">
      <c r="A1374" s="15"/>
      <c r="B1374" s="194">
        <v>51</v>
      </c>
      <c r="C1374" s="109" t="s">
        <v>1315</v>
      </c>
      <c r="D1374" s="213" t="s">
        <v>49</v>
      </c>
      <c r="E1374" s="214" t="s">
        <v>1106</v>
      </c>
      <c r="F1374" s="215">
        <v>1656351.3951640779</v>
      </c>
      <c r="G1374" s="215">
        <v>1656351.3951640779</v>
      </c>
      <c r="H1374" s="171"/>
      <c r="I1374" s="88">
        <f t="shared" si="167"/>
        <v>1656351.3951640779</v>
      </c>
      <c r="J1374" s="163">
        <f t="shared" si="168"/>
        <v>0</v>
      </c>
      <c r="K1374" s="155">
        <f t="shared" si="16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70"/>
        <v>0</v>
      </c>
      <c r="O1374" s="155">
        <f t="shared" si="171"/>
        <v>0</v>
      </c>
      <c r="P1374" s="155">
        <f>IF(O1374=1,SUM($O$6:O1374),0)</f>
        <v>0</v>
      </c>
    </row>
    <row r="1375" spans="1:16" ht="15" customHeight="1">
      <c r="A1375" s="15"/>
      <c r="B1375" s="194">
        <v>52</v>
      </c>
      <c r="C1375" s="109" t="s">
        <v>1316</v>
      </c>
      <c r="D1375" s="213" t="s">
        <v>49</v>
      </c>
      <c r="E1375" s="214" t="s">
        <v>1106</v>
      </c>
      <c r="F1375" s="215">
        <v>1520640.0000000002</v>
      </c>
      <c r="G1375" s="215">
        <v>1520640.0000000002</v>
      </c>
      <c r="H1375" s="171"/>
      <c r="I1375" s="88">
        <f t="shared" si="167"/>
        <v>1520640.0000000002</v>
      </c>
      <c r="J1375" s="163">
        <f t="shared" si="168"/>
        <v>0</v>
      </c>
      <c r="K1375" s="155">
        <f t="shared" si="16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70"/>
        <v>0</v>
      </c>
      <c r="O1375" s="155">
        <f t="shared" si="171"/>
        <v>0</v>
      </c>
      <c r="P1375" s="155">
        <f>IF(O1375=1,SUM($O$6:O1375),0)</f>
        <v>0</v>
      </c>
    </row>
    <row r="1376" spans="1:16" ht="15" customHeight="1">
      <c r="A1376" s="15"/>
      <c r="B1376" s="194">
        <v>53</v>
      </c>
      <c r="C1376" s="109" t="s">
        <v>1317</v>
      </c>
      <c r="D1376" s="213" t="s">
        <v>49</v>
      </c>
      <c r="E1376" s="214" t="s">
        <v>1106</v>
      </c>
      <c r="F1376" s="215">
        <v>1518000.0000000002</v>
      </c>
      <c r="G1376" s="215">
        <v>1518000.0000000002</v>
      </c>
      <c r="H1376" s="171"/>
      <c r="I1376" s="88">
        <f t="shared" si="167"/>
        <v>1518000.0000000002</v>
      </c>
      <c r="J1376" s="163">
        <f t="shared" si="168"/>
        <v>0</v>
      </c>
      <c r="K1376" s="155">
        <f t="shared" si="16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70"/>
        <v>0</v>
      </c>
      <c r="O1376" s="155">
        <f t="shared" si="171"/>
        <v>0</v>
      </c>
      <c r="P1376" s="155">
        <f>IF(O1376=1,SUM($O$6:O1376),0)</f>
        <v>0</v>
      </c>
    </row>
    <row r="1377" spans="1:16" ht="15" customHeight="1">
      <c r="A1377" s="15"/>
      <c r="B1377" s="194">
        <v>54</v>
      </c>
      <c r="C1377" s="109" t="s">
        <v>1318</v>
      </c>
      <c r="D1377" s="213" t="s">
        <v>49</v>
      </c>
      <c r="E1377" s="214" t="s">
        <v>1106</v>
      </c>
      <c r="F1377" s="215">
        <v>1343760.0000000002</v>
      </c>
      <c r="G1377" s="215">
        <v>1343760.0000000002</v>
      </c>
      <c r="H1377" s="171"/>
      <c r="I1377" s="88">
        <f t="shared" si="167"/>
        <v>1343760.0000000002</v>
      </c>
      <c r="J1377" s="163">
        <f t="shared" si="168"/>
        <v>0</v>
      </c>
      <c r="K1377" s="155">
        <f t="shared" si="16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70"/>
        <v>0</v>
      </c>
      <c r="O1377" s="155">
        <f t="shared" si="171"/>
        <v>0</v>
      </c>
      <c r="P1377" s="155">
        <f>IF(O1377=1,SUM($O$6:O1377),0)</f>
        <v>0</v>
      </c>
    </row>
    <row r="1378" spans="1:16" ht="15" customHeight="1">
      <c r="A1378" s="15"/>
      <c r="B1378" s="194">
        <v>55</v>
      </c>
      <c r="C1378" s="109" t="s">
        <v>1319</v>
      </c>
      <c r="D1378" s="213" t="s">
        <v>49</v>
      </c>
      <c r="E1378" s="214" t="s">
        <v>1106</v>
      </c>
      <c r="F1378" s="215">
        <v>7945699.5772913285</v>
      </c>
      <c r="G1378" s="215">
        <v>7945699.5772913285</v>
      </c>
      <c r="H1378" s="171"/>
      <c r="I1378" s="88">
        <f t="shared" si="167"/>
        <v>7945699.5772913285</v>
      </c>
      <c r="J1378" s="163">
        <f t="shared" si="168"/>
        <v>0</v>
      </c>
      <c r="K1378" s="155">
        <f t="shared" si="16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70"/>
        <v>0</v>
      </c>
      <c r="O1378" s="155">
        <f t="shared" si="171"/>
        <v>0</v>
      </c>
      <c r="P1378" s="155">
        <f>IF(O1378=1,SUM($O$6:O1378),0)</f>
        <v>0</v>
      </c>
    </row>
    <row r="1379" spans="1:16" ht="15" customHeight="1">
      <c r="A1379" s="15"/>
      <c r="B1379" s="194"/>
      <c r="C1379" s="109"/>
      <c r="D1379" s="213" t="s">
        <v>50</v>
      </c>
      <c r="E1379" s="214"/>
      <c r="F1379" s="215">
        <v>0</v>
      </c>
      <c r="G1379" s="215">
        <v>0</v>
      </c>
      <c r="H1379" s="171"/>
      <c r="I1379" s="88">
        <f t="shared" si="167"/>
        <v>0</v>
      </c>
      <c r="J1379" s="163">
        <f t="shared" si="168"/>
        <v>0</v>
      </c>
      <c r="K1379" s="155">
        <f t="shared" si="16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70"/>
        <v>0</v>
      </c>
      <c r="O1379" s="155">
        <f t="shared" si="171"/>
        <v>0</v>
      </c>
      <c r="P1379" s="155">
        <f>IF(O1379=1,SUM($O$6:O1379),0)</f>
        <v>0</v>
      </c>
    </row>
    <row r="1380" spans="1:16" ht="15" customHeight="1">
      <c r="A1380" s="15"/>
      <c r="B1380" s="194" t="s">
        <v>1035</v>
      </c>
      <c r="C1380" s="109" t="s">
        <v>783</v>
      </c>
      <c r="D1380" s="213" t="s">
        <v>50</v>
      </c>
      <c r="E1380" s="214"/>
      <c r="F1380" s="215">
        <v>0</v>
      </c>
      <c r="G1380" s="215">
        <v>0</v>
      </c>
      <c r="H1380" s="171"/>
      <c r="I1380" s="88">
        <f t="shared" si="167"/>
        <v>0</v>
      </c>
      <c r="J1380" s="163">
        <f t="shared" si="168"/>
        <v>0</v>
      </c>
      <c r="K1380" s="155">
        <f t="shared" si="16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70"/>
        <v>0</v>
      </c>
      <c r="O1380" s="155">
        <f t="shared" si="171"/>
        <v>0</v>
      </c>
      <c r="P1380" s="155">
        <f>IF(O1380=1,SUM($O$6:O1380),0)</f>
        <v>0</v>
      </c>
    </row>
    <row r="1381" spans="1:16" ht="15" customHeight="1">
      <c r="A1381" s="15"/>
      <c r="B1381" s="194">
        <v>1</v>
      </c>
      <c r="C1381" s="109" t="s">
        <v>1320</v>
      </c>
      <c r="D1381" s="213" t="s">
        <v>49</v>
      </c>
      <c r="E1381" s="214" t="s">
        <v>1106</v>
      </c>
      <c r="F1381" s="215">
        <v>3426000</v>
      </c>
      <c r="G1381" s="215">
        <v>3426000</v>
      </c>
      <c r="H1381" s="171"/>
      <c r="I1381" s="88">
        <f t="shared" si="167"/>
        <v>3426000</v>
      </c>
      <c r="J1381" s="163">
        <f t="shared" si="168"/>
        <v>0</v>
      </c>
      <c r="K1381" s="155">
        <f t="shared" si="16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70"/>
        <v>0</v>
      </c>
      <c r="O1381" s="155">
        <f t="shared" si="171"/>
        <v>0</v>
      </c>
      <c r="P1381" s="155">
        <f>IF(O1381=1,SUM($O$6:O1381),0)</f>
        <v>0</v>
      </c>
    </row>
    <row r="1382" spans="1:16" ht="15" customHeight="1">
      <c r="A1382" s="15"/>
      <c r="B1382" s="194">
        <v>2</v>
      </c>
      <c r="C1382" s="109" t="s">
        <v>1321</v>
      </c>
      <c r="D1382" s="213" t="s">
        <v>49</v>
      </c>
      <c r="E1382" s="214" t="s">
        <v>1106</v>
      </c>
      <c r="F1382" s="215">
        <v>2880000</v>
      </c>
      <c r="G1382" s="215">
        <v>2880000</v>
      </c>
      <c r="H1382" s="171"/>
      <c r="I1382" s="88">
        <f t="shared" si="167"/>
        <v>2880000</v>
      </c>
      <c r="J1382" s="163">
        <f t="shared" si="168"/>
        <v>0</v>
      </c>
      <c r="K1382" s="155">
        <f t="shared" si="16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70"/>
        <v>0</v>
      </c>
      <c r="O1382" s="155">
        <f t="shared" si="171"/>
        <v>0</v>
      </c>
      <c r="P1382" s="155">
        <f>IF(O1382=1,SUM($O$6:O1382),0)</f>
        <v>0</v>
      </c>
    </row>
    <row r="1383" spans="1:16" ht="15" customHeight="1">
      <c r="A1383" s="15"/>
      <c r="B1383" s="194">
        <v>3</v>
      </c>
      <c r="C1383" s="109" t="s">
        <v>1322</v>
      </c>
      <c r="D1383" s="213" t="s">
        <v>49</v>
      </c>
      <c r="E1383" s="214" t="s">
        <v>1106</v>
      </c>
      <c r="F1383" s="215">
        <v>2649600</v>
      </c>
      <c r="G1383" s="215">
        <v>2649600</v>
      </c>
      <c r="H1383" s="171"/>
      <c r="I1383" s="88">
        <f t="shared" si="167"/>
        <v>2649600</v>
      </c>
      <c r="J1383" s="163">
        <f t="shared" si="168"/>
        <v>0</v>
      </c>
      <c r="K1383" s="155">
        <f t="shared" si="16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70"/>
        <v>0</v>
      </c>
      <c r="O1383" s="155">
        <f t="shared" si="171"/>
        <v>0</v>
      </c>
      <c r="P1383" s="155">
        <f>IF(O1383=1,SUM($O$6:O1383),0)</f>
        <v>0</v>
      </c>
    </row>
    <row r="1384" spans="1:16" ht="15" customHeight="1">
      <c r="A1384" s="15"/>
      <c r="B1384" s="194">
        <v>4</v>
      </c>
      <c r="C1384" s="109" t="s">
        <v>1323</v>
      </c>
      <c r="D1384" s="213" t="s">
        <v>49</v>
      </c>
      <c r="E1384" s="214" t="s">
        <v>1106</v>
      </c>
      <c r="F1384" s="215">
        <v>1971600</v>
      </c>
      <c r="G1384" s="215">
        <v>1971600</v>
      </c>
      <c r="H1384" s="171"/>
      <c r="I1384" s="88">
        <f t="shared" si="167"/>
        <v>1971600</v>
      </c>
      <c r="J1384" s="163">
        <f t="shared" si="168"/>
        <v>0</v>
      </c>
      <c r="K1384" s="155">
        <f t="shared" si="16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70"/>
        <v>0</v>
      </c>
      <c r="O1384" s="155">
        <f t="shared" si="171"/>
        <v>0</v>
      </c>
      <c r="P1384" s="155">
        <f>IF(O1384=1,SUM($O$6:O1384),0)</f>
        <v>0</v>
      </c>
    </row>
    <row r="1385" spans="1:16" ht="15" customHeight="1">
      <c r="A1385" s="15"/>
      <c r="B1385" s="194">
        <v>5</v>
      </c>
      <c r="C1385" s="109" t="s">
        <v>1324</v>
      </c>
      <c r="D1385" s="213" t="s">
        <v>49</v>
      </c>
      <c r="E1385" s="214" t="s">
        <v>1106</v>
      </c>
      <c r="F1385" s="215">
        <v>1340400</v>
      </c>
      <c r="G1385" s="215">
        <v>1340400</v>
      </c>
      <c r="H1385" s="171"/>
      <c r="I1385" s="88">
        <f t="shared" si="167"/>
        <v>1340400</v>
      </c>
      <c r="J1385" s="163">
        <f t="shared" si="168"/>
        <v>0</v>
      </c>
      <c r="K1385" s="155">
        <f t="shared" si="16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70"/>
        <v>0</v>
      </c>
      <c r="O1385" s="155">
        <f t="shared" si="171"/>
        <v>0</v>
      </c>
      <c r="P1385" s="155">
        <f>IF(O1385=1,SUM($O$6:O1385),0)</f>
        <v>0</v>
      </c>
    </row>
    <row r="1386" spans="1:16" ht="15" customHeight="1">
      <c r="A1386" s="15"/>
      <c r="B1386" s="194">
        <v>6</v>
      </c>
      <c r="C1386" s="109" t="s">
        <v>1325</v>
      </c>
      <c r="D1386" s="213" t="s">
        <v>49</v>
      </c>
      <c r="E1386" s="214" t="s">
        <v>1106</v>
      </c>
      <c r="F1386" s="215">
        <v>2682000</v>
      </c>
      <c r="G1386" s="215">
        <v>2682000</v>
      </c>
      <c r="H1386" s="171"/>
      <c r="I1386" s="88">
        <f t="shared" si="167"/>
        <v>2682000</v>
      </c>
      <c r="J1386" s="163">
        <f t="shared" si="168"/>
        <v>0</v>
      </c>
      <c r="K1386" s="155">
        <f t="shared" si="16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70"/>
        <v>0</v>
      </c>
      <c r="O1386" s="155">
        <f t="shared" si="171"/>
        <v>0</v>
      </c>
      <c r="P1386" s="155">
        <f>IF(O1386=1,SUM($O$6:O1386),0)</f>
        <v>0</v>
      </c>
    </row>
    <row r="1387" spans="1:16" ht="15" customHeight="1">
      <c r="A1387" s="15"/>
      <c r="B1387" s="194">
        <v>7</v>
      </c>
      <c r="C1387" s="109" t="s">
        <v>1326</v>
      </c>
      <c r="D1387" s="213" t="s">
        <v>49</v>
      </c>
      <c r="E1387" s="214" t="s">
        <v>1106</v>
      </c>
      <c r="F1387" s="215">
        <v>2148000</v>
      </c>
      <c r="G1387" s="215">
        <v>2148000</v>
      </c>
      <c r="H1387" s="171"/>
      <c r="I1387" s="88">
        <f t="shared" si="167"/>
        <v>2148000</v>
      </c>
      <c r="J1387" s="163">
        <f t="shared" si="168"/>
        <v>0</v>
      </c>
      <c r="K1387" s="155">
        <f t="shared" si="16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70"/>
        <v>0</v>
      </c>
      <c r="O1387" s="155">
        <f t="shared" si="171"/>
        <v>0</v>
      </c>
      <c r="P1387" s="155">
        <f>IF(O1387=1,SUM($O$6:O1387),0)</f>
        <v>0</v>
      </c>
    </row>
    <row r="1388" spans="1:16" ht="15" customHeight="1">
      <c r="A1388" s="15"/>
      <c r="B1388" s="194"/>
      <c r="C1388" s="109"/>
      <c r="D1388" s="213" t="s">
        <v>50</v>
      </c>
      <c r="E1388" s="214"/>
      <c r="F1388" s="215">
        <v>0</v>
      </c>
      <c r="G1388" s="215">
        <v>0</v>
      </c>
      <c r="H1388" s="171"/>
      <c r="I1388" s="88">
        <f t="shared" si="167"/>
        <v>0</v>
      </c>
      <c r="J1388" s="163">
        <f t="shared" si="168"/>
        <v>0</v>
      </c>
      <c r="K1388" s="155">
        <f t="shared" si="16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70"/>
        <v>0</v>
      </c>
      <c r="O1388" s="155">
        <f t="shared" si="171"/>
        <v>0</v>
      </c>
      <c r="P1388" s="155">
        <f>IF(O1388=1,SUM($O$6:O1388),0)</f>
        <v>0</v>
      </c>
    </row>
    <row r="1389" spans="1:16" ht="15" customHeight="1">
      <c r="A1389" s="15"/>
      <c r="B1389" s="194" t="s">
        <v>1035</v>
      </c>
      <c r="C1389" s="109" t="s">
        <v>534</v>
      </c>
      <c r="D1389" s="213" t="s">
        <v>50</v>
      </c>
      <c r="E1389" s="214"/>
      <c r="F1389" s="215">
        <v>0</v>
      </c>
      <c r="G1389" s="215">
        <v>0</v>
      </c>
      <c r="H1389" s="175"/>
      <c r="I1389" s="88">
        <f t="shared" si="167"/>
        <v>0</v>
      </c>
      <c r="J1389" s="163">
        <f t="shared" si="168"/>
        <v>0</v>
      </c>
      <c r="K1389" s="155">
        <f t="shared" si="16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70"/>
        <v>0</v>
      </c>
      <c r="O1389" s="155">
        <f t="shared" si="171"/>
        <v>0</v>
      </c>
      <c r="P1389" s="155">
        <f>IF(O1389=1,SUM($O$6:O1389),0)</f>
        <v>0</v>
      </c>
    </row>
    <row r="1390" spans="1:16" ht="15" customHeight="1">
      <c r="A1390" s="15"/>
      <c r="B1390" s="194">
        <v>1</v>
      </c>
      <c r="C1390" s="109" t="s">
        <v>965</v>
      </c>
      <c r="D1390" s="213" t="s">
        <v>49</v>
      </c>
      <c r="E1390" s="214" t="s">
        <v>14</v>
      </c>
      <c r="F1390" s="215">
        <v>213420</v>
      </c>
      <c r="G1390" s="215">
        <v>213420</v>
      </c>
      <c r="H1390" s="175"/>
      <c r="I1390" s="88">
        <f t="shared" si="167"/>
        <v>213420</v>
      </c>
      <c r="J1390" s="163">
        <f t="shared" si="168"/>
        <v>0</v>
      </c>
      <c r="K1390" s="155">
        <f t="shared" si="16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70"/>
        <v>0</v>
      </c>
      <c r="O1390" s="155">
        <f t="shared" si="171"/>
        <v>0</v>
      </c>
      <c r="P1390" s="155">
        <f>IF(O1390=1,SUM($O$6:O1390),0)</f>
        <v>0</v>
      </c>
    </row>
    <row r="1391" spans="1:16" ht="15" customHeight="1">
      <c r="A1391" s="15"/>
      <c r="B1391" s="194">
        <v>2</v>
      </c>
      <c r="C1391" s="109" t="s">
        <v>966</v>
      </c>
      <c r="D1391" s="213" t="s">
        <v>49</v>
      </c>
      <c r="E1391" s="214" t="s">
        <v>14</v>
      </c>
      <c r="F1391" s="215">
        <v>207840</v>
      </c>
      <c r="G1391" s="215">
        <v>207840</v>
      </c>
      <c r="H1391" s="175"/>
      <c r="I1391" s="88">
        <f t="shared" si="167"/>
        <v>207840</v>
      </c>
      <c r="J1391" s="163">
        <f t="shared" si="168"/>
        <v>0</v>
      </c>
      <c r="K1391" s="155">
        <f t="shared" si="16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70"/>
        <v>0</v>
      </c>
      <c r="O1391" s="155">
        <f t="shared" si="171"/>
        <v>0</v>
      </c>
      <c r="P1391" s="155">
        <f>IF(O1391=1,SUM($O$6:O1391),0)</f>
        <v>0</v>
      </c>
    </row>
    <row r="1392" spans="1:16" ht="15" customHeight="1">
      <c r="A1392" s="15"/>
      <c r="B1392" s="194">
        <v>3</v>
      </c>
      <c r="C1392" s="109" t="s">
        <v>967</v>
      </c>
      <c r="D1392" s="213" t="s">
        <v>49</v>
      </c>
      <c r="E1392" s="214" t="s">
        <v>14</v>
      </c>
      <c r="F1392" s="215">
        <v>342990</v>
      </c>
      <c r="G1392" s="215">
        <v>342990</v>
      </c>
      <c r="H1392" s="175"/>
      <c r="I1392" s="88">
        <f t="shared" si="167"/>
        <v>342990</v>
      </c>
      <c r="J1392" s="163">
        <f t="shared" si="168"/>
        <v>0</v>
      </c>
      <c r="K1392" s="155">
        <f t="shared" si="16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70"/>
        <v>0</v>
      </c>
      <c r="O1392" s="155">
        <f t="shared" si="171"/>
        <v>0</v>
      </c>
      <c r="P1392" s="155">
        <f>IF(O1392=1,SUM($O$6:O1392),0)</f>
        <v>0</v>
      </c>
    </row>
    <row r="1393" spans="1:16" ht="15" customHeight="1">
      <c r="A1393" s="15"/>
      <c r="B1393" s="194">
        <v>4</v>
      </c>
      <c r="C1393" s="109" t="s">
        <v>968</v>
      </c>
      <c r="D1393" s="213" t="s">
        <v>49</v>
      </c>
      <c r="E1393" s="214" t="s">
        <v>14</v>
      </c>
      <c r="F1393" s="215">
        <v>709680</v>
      </c>
      <c r="G1393" s="215">
        <v>709680</v>
      </c>
      <c r="H1393" s="175"/>
      <c r="I1393" s="88">
        <f t="shared" si="167"/>
        <v>709680</v>
      </c>
      <c r="J1393" s="163">
        <f t="shared" si="168"/>
        <v>0</v>
      </c>
      <c r="K1393" s="155">
        <f t="shared" si="16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70"/>
        <v>0</v>
      </c>
      <c r="O1393" s="155">
        <f t="shared" si="171"/>
        <v>0</v>
      </c>
      <c r="P1393" s="155">
        <f>IF(O1393=1,SUM($O$6:O1393),0)</f>
        <v>0</v>
      </c>
    </row>
    <row r="1394" spans="1:16" ht="15" customHeight="1">
      <c r="A1394" s="15"/>
      <c r="B1394" s="194">
        <v>5</v>
      </c>
      <c r="C1394" s="109" t="s">
        <v>969</v>
      </c>
      <c r="D1394" s="213" t="s">
        <v>49</v>
      </c>
      <c r="E1394" s="214" t="s">
        <v>14</v>
      </c>
      <c r="F1394" s="215">
        <v>1771980</v>
      </c>
      <c r="G1394" s="215">
        <v>1771980</v>
      </c>
      <c r="H1394" s="175"/>
      <c r="I1394" s="88">
        <f t="shared" si="167"/>
        <v>1771980</v>
      </c>
      <c r="J1394" s="163">
        <f t="shared" si="168"/>
        <v>0</v>
      </c>
      <c r="K1394" s="155">
        <f t="shared" si="16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70"/>
        <v>0</v>
      </c>
      <c r="O1394" s="155">
        <f t="shared" si="171"/>
        <v>0</v>
      </c>
      <c r="P1394" s="155">
        <f>IF(O1394=1,SUM($O$6:O1394),0)</f>
        <v>0</v>
      </c>
    </row>
    <row r="1395" spans="1:16" ht="15" customHeight="1">
      <c r="A1395" s="15"/>
      <c r="B1395" s="194">
        <v>6</v>
      </c>
      <c r="C1395" s="109" t="s">
        <v>970</v>
      </c>
      <c r="D1395" s="213" t="s">
        <v>49</v>
      </c>
      <c r="E1395" s="214" t="s">
        <v>14</v>
      </c>
      <c r="F1395" s="215">
        <v>976440</v>
      </c>
      <c r="G1395" s="215">
        <v>976440</v>
      </c>
      <c r="H1395" s="175"/>
      <c r="I1395" s="88">
        <f t="shared" si="167"/>
        <v>976440</v>
      </c>
      <c r="J1395" s="163">
        <f t="shared" si="168"/>
        <v>0</v>
      </c>
      <c r="K1395" s="155">
        <f t="shared" si="16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70"/>
        <v>0</v>
      </c>
      <c r="O1395" s="155">
        <f t="shared" si="171"/>
        <v>0</v>
      </c>
      <c r="P1395" s="155">
        <f>IF(O1395=1,SUM($O$6:O1395),0)</f>
        <v>0</v>
      </c>
    </row>
    <row r="1396" spans="1:16" ht="15" customHeight="1">
      <c r="A1396" s="15"/>
      <c r="B1396" s="194">
        <v>7</v>
      </c>
      <c r="C1396" s="109" t="s">
        <v>971</v>
      </c>
      <c r="D1396" s="213" t="s">
        <v>49</v>
      </c>
      <c r="E1396" s="214" t="s">
        <v>14</v>
      </c>
      <c r="F1396" s="215">
        <v>2211900</v>
      </c>
      <c r="G1396" s="215">
        <v>2211900</v>
      </c>
      <c r="H1396" s="175"/>
      <c r="I1396" s="88">
        <f t="shared" si="167"/>
        <v>2211900</v>
      </c>
      <c r="J1396" s="163">
        <f t="shared" si="168"/>
        <v>0</v>
      </c>
      <c r="K1396" s="155">
        <f t="shared" si="16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70"/>
        <v>0</v>
      </c>
      <c r="O1396" s="155">
        <f t="shared" si="171"/>
        <v>0</v>
      </c>
      <c r="P1396" s="155">
        <f>IF(O1396=1,SUM($O$6:O1396),0)</f>
        <v>0</v>
      </c>
    </row>
    <row r="1397" spans="1:16" ht="15" customHeight="1">
      <c r="A1397" s="15"/>
      <c r="B1397" s="194">
        <v>8</v>
      </c>
      <c r="C1397" s="109" t="s">
        <v>972</v>
      </c>
      <c r="D1397" s="213" t="s">
        <v>49</v>
      </c>
      <c r="E1397" s="214" t="s">
        <v>14</v>
      </c>
      <c r="F1397" s="215">
        <v>2270640</v>
      </c>
      <c r="G1397" s="215">
        <v>2270640</v>
      </c>
      <c r="H1397" s="175"/>
      <c r="I1397" s="88">
        <f t="shared" ref="I1397:I1410" si="172">IF($I$5=$G$4,G1397,(IF($I$5=$F$4,F1397,0)))</f>
        <v>2270640</v>
      </c>
      <c r="J1397" s="163">
        <f t="shared" si="168"/>
        <v>0</v>
      </c>
      <c r="K1397" s="155">
        <f t="shared" si="16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70"/>
        <v>0</v>
      </c>
      <c r="O1397" s="155">
        <f t="shared" si="171"/>
        <v>0</v>
      </c>
      <c r="P1397" s="155">
        <f>IF(O1397=1,SUM($O$6:O1397),0)</f>
        <v>0</v>
      </c>
    </row>
    <row r="1398" spans="1:16" ht="15" customHeight="1">
      <c r="A1398" s="15"/>
      <c r="B1398" s="194">
        <v>9</v>
      </c>
      <c r="C1398" s="109" t="s">
        <v>973</v>
      </c>
      <c r="D1398" s="213" t="s">
        <v>49</v>
      </c>
      <c r="E1398" s="214" t="s">
        <v>14</v>
      </c>
      <c r="F1398" s="215">
        <v>2476740</v>
      </c>
      <c r="G1398" s="215">
        <v>2476740</v>
      </c>
      <c r="H1398" s="175"/>
      <c r="I1398" s="88">
        <f t="shared" si="172"/>
        <v>2476740</v>
      </c>
      <c r="J1398" s="163">
        <f t="shared" si="168"/>
        <v>0</v>
      </c>
      <c r="K1398" s="155">
        <f t="shared" si="16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70"/>
        <v>0</v>
      </c>
      <c r="O1398" s="155">
        <f t="shared" si="171"/>
        <v>0</v>
      </c>
      <c r="P1398" s="155">
        <f>IF(O1398=1,SUM($O$6:O1398),0)</f>
        <v>0</v>
      </c>
    </row>
    <row r="1399" spans="1:16" ht="15" customHeight="1">
      <c r="A1399" s="15"/>
      <c r="B1399" s="194"/>
      <c r="C1399" s="109" t="s">
        <v>50</v>
      </c>
      <c r="D1399" s="213" t="s">
        <v>50</v>
      </c>
      <c r="E1399" s="214"/>
      <c r="F1399" s="215">
        <v>0</v>
      </c>
      <c r="G1399" s="215">
        <v>0</v>
      </c>
      <c r="H1399" s="175"/>
      <c r="I1399" s="88">
        <f t="shared" si="172"/>
        <v>0</v>
      </c>
      <c r="J1399" s="163">
        <f t="shared" si="168"/>
        <v>0</v>
      </c>
      <c r="K1399" s="155">
        <f t="shared" si="16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70"/>
        <v>0</v>
      </c>
      <c r="O1399" s="155">
        <f t="shared" si="171"/>
        <v>0</v>
      </c>
      <c r="P1399" s="155">
        <f>IF(O1399=1,SUM($O$6:O1399),0)</f>
        <v>0</v>
      </c>
    </row>
    <row r="1400" spans="1:16" ht="15" customHeight="1">
      <c r="A1400" s="15"/>
      <c r="B1400" s="194" t="s">
        <v>1035</v>
      </c>
      <c r="C1400" s="109" t="s">
        <v>792</v>
      </c>
      <c r="D1400" s="213" t="s">
        <v>50</v>
      </c>
      <c r="E1400" s="214"/>
      <c r="F1400" s="215">
        <v>0</v>
      </c>
      <c r="G1400" s="215">
        <v>0</v>
      </c>
      <c r="H1400" s="175"/>
      <c r="I1400" s="88">
        <f t="shared" si="172"/>
        <v>0</v>
      </c>
      <c r="J1400" s="163">
        <f t="shared" si="168"/>
        <v>0</v>
      </c>
      <c r="K1400" s="155">
        <f t="shared" si="16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70"/>
        <v>0</v>
      </c>
      <c r="O1400" s="155">
        <f t="shared" si="171"/>
        <v>0</v>
      </c>
      <c r="P1400" s="155">
        <f>IF(O1400=1,SUM($O$6:O1400),0)</f>
        <v>0</v>
      </c>
    </row>
    <row r="1401" spans="1:16" ht="15" customHeight="1">
      <c r="A1401" s="15"/>
      <c r="B1401" s="194">
        <v>1</v>
      </c>
      <c r="C1401" s="109" t="s">
        <v>431</v>
      </c>
      <c r="D1401" s="213" t="s">
        <v>49</v>
      </c>
      <c r="E1401" s="214" t="s">
        <v>103</v>
      </c>
      <c r="F1401" s="215">
        <v>220260.49029487889</v>
      </c>
      <c r="G1401" s="215">
        <v>220260.49029487889</v>
      </c>
      <c r="H1401" s="175"/>
      <c r="I1401" s="88">
        <f t="shared" si="172"/>
        <v>220260.49029487889</v>
      </c>
      <c r="J1401" s="163">
        <f t="shared" si="168"/>
        <v>0</v>
      </c>
      <c r="K1401" s="155">
        <f t="shared" si="16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70"/>
        <v>0</v>
      </c>
      <c r="O1401" s="155">
        <f t="shared" si="171"/>
        <v>0</v>
      </c>
      <c r="P1401" s="155">
        <f>IF(O1401=1,SUM($O$6:O1401),0)</f>
        <v>0</v>
      </c>
    </row>
    <row r="1402" spans="1:16" ht="15" customHeight="1">
      <c r="A1402" s="15"/>
      <c r="B1402" s="194">
        <v>2</v>
      </c>
      <c r="C1402" s="109" t="s">
        <v>432</v>
      </c>
      <c r="D1402" s="213" t="s">
        <v>49</v>
      </c>
      <c r="E1402" s="214" t="s">
        <v>103</v>
      </c>
      <c r="F1402" s="215">
        <v>220260.49029487889</v>
      </c>
      <c r="G1402" s="215">
        <v>220260.49029487889</v>
      </c>
      <c r="H1402" s="175"/>
      <c r="I1402" s="88">
        <f t="shared" si="172"/>
        <v>220260.49029487889</v>
      </c>
      <c r="J1402" s="163">
        <f t="shared" si="168"/>
        <v>0</v>
      </c>
      <c r="K1402" s="155">
        <f t="shared" si="16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70"/>
        <v>0</v>
      </c>
      <c r="O1402" s="155">
        <f t="shared" si="171"/>
        <v>0</v>
      </c>
      <c r="P1402" s="155">
        <f>IF(O1402=1,SUM($O$6:O1402),0)</f>
        <v>0</v>
      </c>
    </row>
    <row r="1403" spans="1:16" ht="15" customHeight="1">
      <c r="A1403" s="15"/>
      <c r="B1403" s="194">
        <v>3</v>
      </c>
      <c r="C1403" s="109" t="s">
        <v>433</v>
      </c>
      <c r="D1403" s="213" t="s">
        <v>49</v>
      </c>
      <c r="E1403" s="214" t="s">
        <v>103</v>
      </c>
      <c r="F1403" s="215">
        <v>250977.08928157968</v>
      </c>
      <c r="G1403" s="215">
        <v>250977.08928157968</v>
      </c>
      <c r="H1403" s="175"/>
      <c r="I1403" s="88">
        <f t="shared" si="172"/>
        <v>250977.08928157968</v>
      </c>
      <c r="J1403" s="163">
        <f t="shared" si="168"/>
        <v>0</v>
      </c>
      <c r="K1403" s="155">
        <f t="shared" si="16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70"/>
        <v>0</v>
      </c>
      <c r="O1403" s="155">
        <f t="shared" si="171"/>
        <v>0</v>
      </c>
      <c r="P1403" s="155">
        <f>IF(O1403=1,SUM($O$6:O1403),0)</f>
        <v>0</v>
      </c>
    </row>
    <row r="1404" spans="1:16" ht="15" customHeight="1">
      <c r="A1404" s="15"/>
      <c r="B1404" s="194">
        <v>4</v>
      </c>
      <c r="C1404" s="109" t="s">
        <v>434</v>
      </c>
      <c r="D1404" s="213" t="s">
        <v>49</v>
      </c>
      <c r="E1404" s="214" t="s">
        <v>103</v>
      </c>
      <c r="F1404" s="215">
        <v>289200</v>
      </c>
      <c r="G1404" s="215">
        <v>289200</v>
      </c>
      <c r="H1404" s="175"/>
      <c r="I1404" s="88">
        <f t="shared" si="172"/>
        <v>289200</v>
      </c>
      <c r="J1404" s="163">
        <f t="shared" si="168"/>
        <v>0</v>
      </c>
      <c r="K1404" s="155">
        <f t="shared" si="16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70"/>
        <v>0</v>
      </c>
      <c r="O1404" s="155">
        <f t="shared" si="171"/>
        <v>0</v>
      </c>
      <c r="P1404" s="155">
        <f>IF(O1404=1,SUM($O$6:O1404),0)</f>
        <v>0</v>
      </c>
    </row>
    <row r="1405" spans="1:16" ht="15" customHeight="1">
      <c r="A1405" s="15"/>
      <c r="B1405" s="194">
        <v>5</v>
      </c>
      <c r="C1405" s="109" t="s">
        <v>435</v>
      </c>
      <c r="D1405" s="213" t="s">
        <v>49</v>
      </c>
      <c r="E1405" s="214" t="s">
        <v>103</v>
      </c>
      <c r="F1405" s="215">
        <v>277947.76156258525</v>
      </c>
      <c r="G1405" s="215">
        <v>277947.76156258525</v>
      </c>
      <c r="H1405" s="175"/>
      <c r="I1405" s="88">
        <f t="shared" si="172"/>
        <v>277947.76156258525</v>
      </c>
      <c r="J1405" s="163">
        <f t="shared" si="168"/>
        <v>0</v>
      </c>
      <c r="K1405" s="155">
        <f t="shared" si="16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70"/>
        <v>0</v>
      </c>
      <c r="O1405" s="155">
        <f t="shared" si="171"/>
        <v>0</v>
      </c>
      <c r="P1405" s="155">
        <f>IF(O1405=1,SUM($O$6:O1405),0)</f>
        <v>0</v>
      </c>
    </row>
    <row r="1406" spans="1:16" ht="15" customHeight="1">
      <c r="A1406" s="15"/>
      <c r="B1406" s="194">
        <v>6</v>
      </c>
      <c r="C1406" s="109" t="s">
        <v>436</v>
      </c>
      <c r="D1406" s="213" t="s">
        <v>49</v>
      </c>
      <c r="E1406" s="214" t="s">
        <v>103</v>
      </c>
      <c r="F1406" s="215">
        <v>309000</v>
      </c>
      <c r="G1406" s="215">
        <v>309000</v>
      </c>
      <c r="H1406" s="175"/>
      <c r="I1406" s="88">
        <f t="shared" si="172"/>
        <v>309000</v>
      </c>
      <c r="J1406" s="163">
        <f t="shared" si="168"/>
        <v>0</v>
      </c>
      <c r="K1406" s="155">
        <f t="shared" si="16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70"/>
        <v>0</v>
      </c>
      <c r="O1406" s="155">
        <f t="shared" si="171"/>
        <v>0</v>
      </c>
      <c r="P1406" s="155">
        <f>IF(O1406=1,SUM($O$6:O1406),0)</f>
        <v>0</v>
      </c>
    </row>
    <row r="1407" spans="1:16" ht="15" customHeight="1">
      <c r="A1407" s="15"/>
      <c r="B1407" s="194">
        <v>7</v>
      </c>
      <c r="C1407" s="109" t="s">
        <v>1136</v>
      </c>
      <c r="D1407" s="213" t="s">
        <v>49</v>
      </c>
      <c r="E1407" s="214" t="s">
        <v>103</v>
      </c>
      <c r="F1407" s="215">
        <v>277947.76156258525</v>
      </c>
      <c r="G1407" s="215">
        <v>277947.76156258525</v>
      </c>
      <c r="H1407" s="175"/>
      <c r="I1407" s="88">
        <f t="shared" si="172"/>
        <v>277947.76156258525</v>
      </c>
      <c r="J1407" s="163">
        <f t="shared" si="168"/>
        <v>0</v>
      </c>
      <c r="K1407" s="155">
        <f t="shared" si="16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70"/>
        <v>0</v>
      </c>
      <c r="O1407" s="155">
        <f t="shared" si="171"/>
        <v>0</v>
      </c>
      <c r="P1407" s="155">
        <f>IF(O1407=1,SUM($O$6:O1407),0)</f>
        <v>0</v>
      </c>
    </row>
    <row r="1408" spans="1:16" ht="15" customHeight="1">
      <c r="A1408" s="15"/>
      <c r="B1408" s="194">
        <v>8</v>
      </c>
      <c r="C1408" s="109" t="s">
        <v>1137</v>
      </c>
      <c r="D1408" s="213" t="s">
        <v>49</v>
      </c>
      <c r="E1408" s="214" t="s">
        <v>103</v>
      </c>
      <c r="F1408" s="215">
        <v>345600</v>
      </c>
      <c r="G1408" s="215">
        <v>345600</v>
      </c>
      <c r="H1408" s="175"/>
      <c r="I1408" s="88">
        <f t="shared" si="172"/>
        <v>345600</v>
      </c>
      <c r="J1408" s="163">
        <f t="shared" si="168"/>
        <v>0</v>
      </c>
      <c r="K1408" s="155">
        <f t="shared" si="16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70"/>
        <v>0</v>
      </c>
      <c r="O1408" s="155">
        <f t="shared" si="171"/>
        <v>0</v>
      </c>
      <c r="P1408" s="155">
        <f>IF(O1408=1,SUM($O$6:O1408),0)</f>
        <v>0</v>
      </c>
    </row>
    <row r="1409" spans="1:16" ht="15" customHeight="1">
      <c r="A1409" s="15"/>
      <c r="B1409" s="194">
        <v>9</v>
      </c>
      <c r="C1409" s="109" t="s">
        <v>437</v>
      </c>
      <c r="D1409" s="213" t="s">
        <v>49</v>
      </c>
      <c r="E1409" s="214" t="s">
        <v>103</v>
      </c>
      <c r="F1409" s="215">
        <v>438273.42456634069</v>
      </c>
      <c r="G1409" s="215">
        <v>438273.42456634069</v>
      </c>
      <c r="H1409" s="175"/>
      <c r="I1409" s="88">
        <f t="shared" si="172"/>
        <v>438273.42456634069</v>
      </c>
      <c r="J1409" s="163">
        <f t="shared" si="168"/>
        <v>0</v>
      </c>
      <c r="K1409" s="155">
        <f t="shared" si="16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70"/>
        <v>0</v>
      </c>
      <c r="O1409" s="155">
        <f t="shared" si="171"/>
        <v>0</v>
      </c>
      <c r="P1409" s="155">
        <f>IF(O1409=1,SUM($O$6:O1409),0)</f>
        <v>0</v>
      </c>
    </row>
    <row r="1410" spans="1:16" ht="15" customHeight="1">
      <c r="A1410" s="15"/>
      <c r="B1410" s="194">
        <v>10</v>
      </c>
      <c r="C1410" s="109" t="s">
        <v>438</v>
      </c>
      <c r="D1410" s="213" t="s">
        <v>49</v>
      </c>
      <c r="E1410" s="214" t="s">
        <v>103</v>
      </c>
      <c r="F1410" s="215">
        <v>384600</v>
      </c>
      <c r="G1410" s="215">
        <v>384600</v>
      </c>
      <c r="H1410" s="175"/>
      <c r="I1410" s="88">
        <f t="shared" si="172"/>
        <v>384600</v>
      </c>
      <c r="J1410" s="163">
        <f t="shared" si="168"/>
        <v>0</v>
      </c>
      <c r="K1410" s="155">
        <f t="shared" si="16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70"/>
        <v>0</v>
      </c>
      <c r="O1410" s="155">
        <f t="shared" si="171"/>
        <v>0</v>
      </c>
      <c r="P1410" s="155">
        <f>IF(O1410=1,SUM($O$6:O1410),0)</f>
        <v>0</v>
      </c>
    </row>
    <row r="1411" spans="1:16" ht="15" customHeight="1">
      <c r="A1411" s="15"/>
      <c r="B1411" s="194">
        <v>11</v>
      </c>
      <c r="C1411" s="109" t="s">
        <v>439</v>
      </c>
      <c r="D1411" s="213" t="s">
        <v>49</v>
      </c>
      <c r="E1411" s="214" t="s">
        <v>103</v>
      </c>
      <c r="F1411" s="215">
        <v>466742.46752962429</v>
      </c>
      <c r="G1411" s="215">
        <v>466742.46752962429</v>
      </c>
      <c r="H1411" s="175"/>
      <c r="I1411" s="88">
        <f t="shared" ref="I1411:I1448" si="173">IF($I$5=$G$4,G1411,(IF($I$5=$F$4,F1411,0)))</f>
        <v>466742.46752962429</v>
      </c>
      <c r="J1411" s="163">
        <f t="shared" si="168"/>
        <v>0</v>
      </c>
      <c r="K1411" s="155">
        <f t="shared" si="16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70"/>
        <v>0</v>
      </c>
      <c r="O1411" s="155">
        <f t="shared" si="171"/>
        <v>0</v>
      </c>
      <c r="P1411" s="155">
        <f>IF(O1411=1,SUM($O$6:O1411),0)</f>
        <v>0</v>
      </c>
    </row>
    <row r="1412" spans="1:16" ht="15" customHeight="1">
      <c r="A1412" s="15"/>
      <c r="B1412" s="194">
        <v>12</v>
      </c>
      <c r="C1412" s="109" t="s">
        <v>440</v>
      </c>
      <c r="D1412" s="213" t="s">
        <v>49</v>
      </c>
      <c r="E1412" s="214" t="s">
        <v>103</v>
      </c>
      <c r="F1412" s="215">
        <v>466742.46752962429</v>
      </c>
      <c r="G1412" s="215">
        <v>466742.46752962429</v>
      </c>
      <c r="H1412" s="175"/>
      <c r="I1412" s="154">
        <f t="shared" si="173"/>
        <v>466742.46752962429</v>
      </c>
      <c r="J1412" s="163">
        <f t="shared" si="168"/>
        <v>0</v>
      </c>
      <c r="K1412" s="155">
        <f t="shared" si="16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70"/>
        <v>0</v>
      </c>
      <c r="O1412" s="155">
        <f t="shared" si="171"/>
        <v>0</v>
      </c>
      <c r="P1412" s="155">
        <f>IF(O1412=1,SUM($O$6:O1412),0)</f>
        <v>0</v>
      </c>
    </row>
    <row r="1413" spans="1:16" ht="15" customHeight="1">
      <c r="A1413" s="15"/>
      <c r="B1413" s="194">
        <v>13</v>
      </c>
      <c r="C1413" s="109" t="s">
        <v>441</v>
      </c>
      <c r="D1413" s="213" t="s">
        <v>49</v>
      </c>
      <c r="E1413" s="214" t="s">
        <v>103</v>
      </c>
      <c r="F1413" s="215">
        <v>513941.14402138407</v>
      </c>
      <c r="G1413" s="215">
        <v>513941.14402138407</v>
      </c>
      <c r="H1413" s="175"/>
      <c r="I1413" s="88">
        <f t="shared" si="173"/>
        <v>513941.14402138407</v>
      </c>
      <c r="J1413" s="163">
        <f t="shared" si="168"/>
        <v>0</v>
      </c>
      <c r="K1413" s="155">
        <f t="shared" si="16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70"/>
        <v>0</v>
      </c>
      <c r="O1413" s="155">
        <f t="shared" si="171"/>
        <v>0</v>
      </c>
      <c r="P1413" s="155">
        <f>IF(O1413=1,SUM($O$6:O1413),0)</f>
        <v>0</v>
      </c>
    </row>
    <row r="1414" spans="1:16" ht="15" customHeight="1">
      <c r="A1414" s="15"/>
      <c r="B1414" s="194">
        <v>14</v>
      </c>
      <c r="C1414" s="109" t="s">
        <v>442</v>
      </c>
      <c r="D1414" s="213" t="s">
        <v>49</v>
      </c>
      <c r="E1414" s="214" t="s">
        <v>103</v>
      </c>
      <c r="F1414" s="215">
        <v>502200</v>
      </c>
      <c r="G1414" s="215">
        <v>502200</v>
      </c>
      <c r="H1414" s="175"/>
      <c r="I1414" s="88">
        <f t="shared" si="173"/>
        <v>502200</v>
      </c>
      <c r="J1414" s="163">
        <f t="shared" si="168"/>
        <v>0</v>
      </c>
      <c r="K1414" s="155">
        <f t="shared" si="16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70"/>
        <v>0</v>
      </c>
      <c r="O1414" s="155">
        <f t="shared" si="171"/>
        <v>0</v>
      </c>
      <c r="P1414" s="155">
        <f>IF(O1414=1,SUM($O$6:O1414),0)</f>
        <v>0</v>
      </c>
    </row>
    <row r="1415" spans="1:16" ht="15" customHeight="1">
      <c r="A1415" s="15"/>
      <c r="B1415" s="194">
        <v>15</v>
      </c>
      <c r="C1415" s="109" t="s">
        <v>443</v>
      </c>
      <c r="D1415" s="213" t="s">
        <v>49</v>
      </c>
      <c r="E1415" s="214" t="s">
        <v>103</v>
      </c>
      <c r="F1415" s="215">
        <v>580618.63938275899</v>
      </c>
      <c r="G1415" s="215">
        <v>580618.63938275899</v>
      </c>
      <c r="H1415" s="175"/>
      <c r="I1415" s="88">
        <f t="shared" si="173"/>
        <v>580618.63938275899</v>
      </c>
      <c r="J1415" s="163">
        <f t="shared" si="168"/>
        <v>0</v>
      </c>
      <c r="K1415" s="155">
        <f t="shared" si="16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70"/>
        <v>0</v>
      </c>
      <c r="O1415" s="155">
        <f t="shared" si="171"/>
        <v>0</v>
      </c>
      <c r="P1415" s="155">
        <f>IF(O1415=1,SUM($O$6:O1415),0)</f>
        <v>0</v>
      </c>
    </row>
    <row r="1416" spans="1:16" ht="15" customHeight="1">
      <c r="A1416" s="15"/>
      <c r="B1416" s="194">
        <v>16</v>
      </c>
      <c r="C1416" s="109" t="s">
        <v>444</v>
      </c>
      <c r="D1416" s="213" t="s">
        <v>49</v>
      </c>
      <c r="E1416" s="214" t="s">
        <v>103</v>
      </c>
      <c r="F1416" s="215">
        <v>522000</v>
      </c>
      <c r="G1416" s="215">
        <v>522000</v>
      </c>
      <c r="H1416" s="175"/>
      <c r="I1416" s="88">
        <f t="shared" si="173"/>
        <v>522000</v>
      </c>
      <c r="J1416" s="163">
        <f t="shared" si="168"/>
        <v>0</v>
      </c>
      <c r="K1416" s="155">
        <f t="shared" si="16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70"/>
        <v>0</v>
      </c>
      <c r="O1416" s="155">
        <f t="shared" si="171"/>
        <v>0</v>
      </c>
      <c r="P1416" s="155">
        <f>IF(O1416=1,SUM($O$6:O1416),0)</f>
        <v>0</v>
      </c>
    </row>
    <row r="1417" spans="1:16" ht="15" customHeight="1">
      <c r="A1417" s="15"/>
      <c r="B1417" s="194">
        <v>17</v>
      </c>
      <c r="C1417" s="109" t="s">
        <v>445</v>
      </c>
      <c r="D1417" s="213" t="s">
        <v>49</v>
      </c>
      <c r="E1417" s="214" t="s">
        <v>103</v>
      </c>
      <c r="F1417" s="215">
        <v>768051.19018409075</v>
      </c>
      <c r="G1417" s="215">
        <v>768051.19018409075</v>
      </c>
      <c r="H1417" s="175"/>
      <c r="I1417" s="88">
        <f t="shared" si="173"/>
        <v>768051.19018409075</v>
      </c>
      <c r="J1417" s="163">
        <f t="shared" si="168"/>
        <v>0</v>
      </c>
      <c r="K1417" s="155">
        <f t="shared" si="16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70"/>
        <v>0</v>
      </c>
      <c r="O1417" s="155">
        <f t="shared" si="171"/>
        <v>0</v>
      </c>
      <c r="P1417" s="155">
        <f>IF(O1417=1,SUM($O$6:O1417),0)</f>
        <v>0</v>
      </c>
    </row>
    <row r="1418" spans="1:16" ht="15" customHeight="1">
      <c r="A1418" s="15"/>
      <c r="B1418" s="194">
        <v>18</v>
      </c>
      <c r="C1418" s="109" t="s">
        <v>446</v>
      </c>
      <c r="D1418" s="213" t="s">
        <v>49</v>
      </c>
      <c r="E1418" s="214" t="s">
        <v>103</v>
      </c>
      <c r="F1418" s="215">
        <v>768051.19018409075</v>
      </c>
      <c r="G1418" s="215">
        <v>768051.19018409075</v>
      </c>
      <c r="H1418" s="175"/>
      <c r="I1418" s="88">
        <f t="shared" si="173"/>
        <v>768051.19018409075</v>
      </c>
      <c r="J1418" s="163">
        <f t="shared" si="168"/>
        <v>0</v>
      </c>
      <c r="K1418" s="155">
        <f t="shared" si="16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70"/>
        <v>0</v>
      </c>
      <c r="O1418" s="155">
        <f t="shared" si="171"/>
        <v>0</v>
      </c>
      <c r="P1418" s="155">
        <f>IF(O1418=1,SUM($O$6:O1418),0)</f>
        <v>0</v>
      </c>
    </row>
    <row r="1419" spans="1:16" ht="15" customHeight="1">
      <c r="A1419" s="15"/>
      <c r="B1419" s="194">
        <v>19</v>
      </c>
      <c r="C1419" s="109" t="s">
        <v>447</v>
      </c>
      <c r="D1419" s="213" t="s">
        <v>49</v>
      </c>
      <c r="E1419" s="214" t="s">
        <v>103</v>
      </c>
      <c r="F1419" s="215">
        <v>755996.11696758063</v>
      </c>
      <c r="G1419" s="215">
        <v>755996.11696758063</v>
      </c>
      <c r="H1419" s="175"/>
      <c r="I1419" s="88">
        <f t="shared" si="173"/>
        <v>755996.11696758063</v>
      </c>
      <c r="J1419" s="163">
        <f t="shared" si="168"/>
        <v>0</v>
      </c>
      <c r="K1419" s="155">
        <f t="shared" si="16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70"/>
        <v>0</v>
      </c>
      <c r="O1419" s="155">
        <f t="shared" si="171"/>
        <v>0</v>
      </c>
      <c r="P1419" s="155">
        <f>IF(O1419=1,SUM($O$6:O1419),0)</f>
        <v>0</v>
      </c>
    </row>
    <row r="1420" spans="1:16" ht="15" customHeight="1">
      <c r="A1420" s="15"/>
      <c r="B1420" s="194">
        <v>20</v>
      </c>
      <c r="C1420" s="109" t="s">
        <v>448</v>
      </c>
      <c r="D1420" s="213" t="s">
        <v>49</v>
      </c>
      <c r="E1420" s="214" t="s">
        <v>103</v>
      </c>
      <c r="F1420" s="215">
        <v>589800</v>
      </c>
      <c r="G1420" s="215">
        <v>589800</v>
      </c>
      <c r="H1420" s="175"/>
      <c r="I1420" s="176">
        <f t="shared" si="173"/>
        <v>589800</v>
      </c>
      <c r="J1420" s="163">
        <f t="shared" si="168"/>
        <v>0</v>
      </c>
      <c r="K1420" s="155">
        <f t="shared" si="16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70"/>
        <v>0</v>
      </c>
      <c r="O1420" s="155">
        <f t="shared" si="171"/>
        <v>0</v>
      </c>
      <c r="P1420" s="155">
        <f>IF(O1420=1,SUM($O$6:O1420),0)</f>
        <v>0</v>
      </c>
    </row>
    <row r="1421" spans="1:16" ht="15" customHeight="1">
      <c r="A1421" s="15"/>
      <c r="B1421" s="194">
        <v>21</v>
      </c>
      <c r="C1421" s="109" t="s">
        <v>449</v>
      </c>
      <c r="D1421" s="213" t="s">
        <v>49</v>
      </c>
      <c r="E1421" s="214" t="s">
        <v>103</v>
      </c>
      <c r="F1421" s="215">
        <v>832055.45603276498</v>
      </c>
      <c r="G1421" s="215">
        <v>832055.45603276498</v>
      </c>
      <c r="H1421" s="175"/>
      <c r="I1421" s="176">
        <f t="shared" si="173"/>
        <v>832055.45603276498</v>
      </c>
      <c r="J1421" s="163">
        <f t="shared" si="168"/>
        <v>0</v>
      </c>
      <c r="K1421" s="155">
        <f t="shared" si="16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70"/>
        <v>0</v>
      </c>
      <c r="O1421" s="155">
        <f t="shared" si="171"/>
        <v>0</v>
      </c>
      <c r="P1421" s="155">
        <f>IF(O1421=1,SUM($O$6:O1421),0)</f>
        <v>0</v>
      </c>
    </row>
    <row r="1422" spans="1:16" ht="15" customHeight="1">
      <c r="A1422" s="15"/>
      <c r="B1422" s="194">
        <v>22</v>
      </c>
      <c r="C1422" s="109" t="s">
        <v>450</v>
      </c>
      <c r="D1422" s="213" t="s">
        <v>49</v>
      </c>
      <c r="E1422" s="214" t="s">
        <v>103</v>
      </c>
      <c r="F1422" s="215">
        <v>636000</v>
      </c>
      <c r="G1422" s="215">
        <v>636000</v>
      </c>
      <c r="H1422" s="175"/>
      <c r="I1422" s="176">
        <f t="shared" si="173"/>
        <v>636000</v>
      </c>
      <c r="J1422" s="163">
        <f t="shared" si="168"/>
        <v>0</v>
      </c>
      <c r="K1422" s="155">
        <f t="shared" si="16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70"/>
        <v>0</v>
      </c>
      <c r="O1422" s="155">
        <f t="shared" si="171"/>
        <v>0</v>
      </c>
      <c r="P1422" s="155">
        <f>IF(O1422=1,SUM($O$6:O1422),0)</f>
        <v>0</v>
      </c>
    </row>
    <row r="1423" spans="1:16" ht="15" customHeight="1">
      <c r="A1423" s="15"/>
      <c r="B1423" s="194">
        <v>23</v>
      </c>
      <c r="C1423" s="109" t="s">
        <v>451</v>
      </c>
      <c r="D1423" s="213" t="s">
        <v>49</v>
      </c>
      <c r="E1423" s="214" t="s">
        <v>103</v>
      </c>
      <c r="F1423" s="215">
        <v>842833.50878142437</v>
      </c>
      <c r="G1423" s="215">
        <v>842833.50878142437</v>
      </c>
      <c r="H1423" s="175"/>
      <c r="I1423" s="176">
        <f t="shared" si="173"/>
        <v>842833.50878142437</v>
      </c>
      <c r="J1423" s="163">
        <f t="shared" si="168"/>
        <v>0</v>
      </c>
      <c r="K1423" s="155">
        <f t="shared" si="16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70"/>
        <v>0</v>
      </c>
      <c r="O1423" s="155">
        <f t="shared" si="171"/>
        <v>0</v>
      </c>
      <c r="P1423" s="155">
        <f>IF(O1423=1,SUM($O$6:O1423),0)</f>
        <v>0</v>
      </c>
    </row>
    <row r="1424" spans="1:16" ht="15" customHeight="1">
      <c r="A1424" s="15"/>
      <c r="B1424" s="194">
        <v>24</v>
      </c>
      <c r="C1424" s="109" t="s">
        <v>452</v>
      </c>
      <c r="D1424" s="213" t="s">
        <v>49</v>
      </c>
      <c r="E1424" s="214" t="s">
        <v>103</v>
      </c>
      <c r="F1424" s="215">
        <v>762000</v>
      </c>
      <c r="G1424" s="215">
        <v>762000</v>
      </c>
      <c r="H1424" s="175"/>
      <c r="I1424" s="176">
        <f t="shared" si="173"/>
        <v>762000</v>
      </c>
      <c r="J1424" s="163">
        <f t="shared" si="168"/>
        <v>0</v>
      </c>
      <c r="K1424" s="155">
        <f t="shared" si="16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70"/>
        <v>0</v>
      </c>
      <c r="O1424" s="155">
        <f t="shared" si="171"/>
        <v>0</v>
      </c>
      <c r="P1424" s="155">
        <f>IF(O1424=1,SUM($O$6:O1424),0)</f>
        <v>0</v>
      </c>
    </row>
    <row r="1425" spans="1:16" ht="15" customHeight="1">
      <c r="A1425" s="15"/>
      <c r="B1425" s="194">
        <v>25</v>
      </c>
      <c r="C1425" s="109" t="s">
        <v>453</v>
      </c>
      <c r="D1425" s="213" t="s">
        <v>49</v>
      </c>
      <c r="E1425" s="214" t="s">
        <v>103</v>
      </c>
      <c r="F1425" s="215">
        <v>902019.15073140874</v>
      </c>
      <c r="G1425" s="215">
        <v>902019.15073140874</v>
      </c>
      <c r="H1425" s="175"/>
      <c r="I1425" s="176">
        <f t="shared" si="173"/>
        <v>902019.15073140874</v>
      </c>
      <c r="J1425" s="163">
        <f t="shared" si="168"/>
        <v>0</v>
      </c>
      <c r="K1425" s="155">
        <f t="shared" si="16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70"/>
        <v>0</v>
      </c>
      <c r="O1425" s="155">
        <f t="shared" si="171"/>
        <v>0</v>
      </c>
      <c r="P1425" s="155">
        <f>IF(O1425=1,SUM($O$6:O1425),0)</f>
        <v>0</v>
      </c>
    </row>
    <row r="1426" spans="1:16" ht="15" customHeight="1">
      <c r="A1426" s="15"/>
      <c r="B1426" s="194">
        <v>26</v>
      </c>
      <c r="C1426" s="109" t="s">
        <v>454</v>
      </c>
      <c r="D1426" s="213" t="s">
        <v>49</v>
      </c>
      <c r="E1426" s="214" t="s">
        <v>103</v>
      </c>
      <c r="F1426" s="215">
        <v>902019.15073140874</v>
      </c>
      <c r="G1426" s="215">
        <v>902019.15073140874</v>
      </c>
      <c r="H1426" s="175"/>
      <c r="I1426" s="176">
        <f t="shared" si="173"/>
        <v>902019.15073140874</v>
      </c>
      <c r="J1426" s="163">
        <f t="shared" si="168"/>
        <v>0</v>
      </c>
      <c r="K1426" s="155">
        <f t="shared" si="16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70"/>
        <v>0</v>
      </c>
      <c r="O1426" s="155">
        <f t="shared" si="171"/>
        <v>0</v>
      </c>
      <c r="P1426" s="155">
        <f>IF(O1426=1,SUM($O$6:O1426),0)</f>
        <v>0</v>
      </c>
    </row>
    <row r="1427" spans="1:16" ht="15" customHeight="1">
      <c r="A1427" s="15"/>
      <c r="B1427" s="194"/>
      <c r="C1427" s="109"/>
      <c r="D1427" s="213" t="s">
        <v>50</v>
      </c>
      <c r="E1427" s="214"/>
      <c r="F1427" s="215">
        <v>0</v>
      </c>
      <c r="G1427" s="215">
        <v>0</v>
      </c>
      <c r="H1427" s="177"/>
      <c r="I1427" s="176">
        <f t="shared" si="173"/>
        <v>0</v>
      </c>
      <c r="J1427" s="163">
        <f t="shared" si="168"/>
        <v>0</v>
      </c>
      <c r="K1427" s="155">
        <f t="shared" si="16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70"/>
        <v>0</v>
      </c>
      <c r="O1427" s="155">
        <f t="shared" si="171"/>
        <v>0</v>
      </c>
      <c r="P1427" s="155">
        <f>IF(O1427=1,SUM($O$6:O1427),0)</f>
        <v>0</v>
      </c>
    </row>
    <row r="1428" spans="1:16" ht="15" customHeight="1">
      <c r="A1428" s="15"/>
      <c r="B1428" s="194" t="s">
        <v>1035</v>
      </c>
      <c r="C1428" s="109" t="s">
        <v>793</v>
      </c>
      <c r="D1428" s="213" t="s">
        <v>50</v>
      </c>
      <c r="E1428" s="214"/>
      <c r="F1428" s="215">
        <v>0</v>
      </c>
      <c r="G1428" s="215">
        <v>0</v>
      </c>
      <c r="H1428" s="177"/>
      <c r="I1428" s="176">
        <f t="shared" si="173"/>
        <v>0</v>
      </c>
      <c r="J1428" s="163">
        <f t="shared" si="168"/>
        <v>0</v>
      </c>
      <c r="K1428" s="155">
        <f t="shared" si="16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70"/>
        <v>0</v>
      </c>
      <c r="O1428" s="155">
        <f t="shared" si="171"/>
        <v>0</v>
      </c>
      <c r="P1428" s="155">
        <f>IF(O1428=1,SUM($O$6:O1428),0)</f>
        <v>0</v>
      </c>
    </row>
    <row r="1429" spans="1:16" ht="15" customHeight="1">
      <c r="A1429" s="15"/>
      <c r="B1429" s="194">
        <v>1</v>
      </c>
      <c r="C1429" s="109" t="s">
        <v>1099</v>
      </c>
      <c r="D1429" s="213" t="s">
        <v>49</v>
      </c>
      <c r="E1429" s="214" t="s">
        <v>14</v>
      </c>
      <c r="F1429" s="215">
        <v>96180</v>
      </c>
      <c r="G1429" s="215">
        <v>96180</v>
      </c>
      <c r="H1429" s="177"/>
      <c r="I1429" s="176">
        <f t="shared" si="173"/>
        <v>96180</v>
      </c>
      <c r="J1429" s="163">
        <f t="shared" si="168"/>
        <v>0</v>
      </c>
      <c r="K1429" s="155">
        <f t="shared" si="16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70"/>
        <v>0</v>
      </c>
      <c r="O1429" s="155">
        <f t="shared" si="171"/>
        <v>0</v>
      </c>
      <c r="P1429" s="155">
        <f>IF(O1429=1,SUM($O$6:O1429),0)</f>
        <v>0</v>
      </c>
    </row>
    <row r="1430" spans="1:16" ht="15" customHeight="1">
      <c r="A1430" s="15"/>
      <c r="B1430" s="194">
        <v>2</v>
      </c>
      <c r="C1430" s="109" t="s">
        <v>974</v>
      </c>
      <c r="D1430" s="213" t="s">
        <v>49</v>
      </c>
      <c r="E1430" s="214" t="s">
        <v>14</v>
      </c>
      <c r="F1430" s="215">
        <v>257820</v>
      </c>
      <c r="G1430" s="215">
        <v>257820</v>
      </c>
      <c r="H1430" s="177"/>
      <c r="I1430" s="176">
        <f t="shared" si="173"/>
        <v>257820</v>
      </c>
      <c r="J1430" s="163">
        <f t="shared" si="168"/>
        <v>0</v>
      </c>
      <c r="K1430" s="155">
        <f t="shared" si="16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70"/>
        <v>0</v>
      </c>
      <c r="O1430" s="155">
        <f t="shared" si="171"/>
        <v>0</v>
      </c>
      <c r="P1430" s="155">
        <f>IF(O1430=1,SUM($O$6:O1430),0)</f>
        <v>0</v>
      </c>
    </row>
    <row r="1431" spans="1:16" ht="15" customHeight="1">
      <c r="A1431" s="15"/>
      <c r="B1431" s="194">
        <v>3</v>
      </c>
      <c r="C1431" s="109" t="s">
        <v>975</v>
      </c>
      <c r="D1431" s="213" t="s">
        <v>49</v>
      </c>
      <c r="E1431" s="214" t="s">
        <v>14</v>
      </c>
      <c r="F1431" s="215">
        <v>299160</v>
      </c>
      <c r="G1431" s="215">
        <v>299160</v>
      </c>
      <c r="H1431" s="177"/>
      <c r="I1431" s="176">
        <f t="shared" si="173"/>
        <v>299160</v>
      </c>
      <c r="J1431" s="163">
        <f t="shared" si="168"/>
        <v>0</v>
      </c>
      <c r="K1431" s="155">
        <f t="shared" si="16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70"/>
        <v>0</v>
      </c>
      <c r="O1431" s="155">
        <f t="shared" si="171"/>
        <v>0</v>
      </c>
      <c r="P1431" s="155">
        <f>IF(O1431=1,SUM($O$6:O1431),0)</f>
        <v>0</v>
      </c>
    </row>
    <row r="1432" spans="1:16" ht="15" customHeight="1">
      <c r="A1432" s="15"/>
      <c r="B1432" s="194">
        <v>4</v>
      </c>
      <c r="C1432" s="109" t="s">
        <v>976</v>
      </c>
      <c r="D1432" s="213" t="s">
        <v>49</v>
      </c>
      <c r="E1432" s="214" t="s">
        <v>14</v>
      </c>
      <c r="F1432" s="215">
        <v>246960</v>
      </c>
      <c r="G1432" s="215">
        <v>246960</v>
      </c>
      <c r="H1432" s="177"/>
      <c r="I1432" s="176">
        <f t="shared" si="173"/>
        <v>246960</v>
      </c>
      <c r="J1432" s="163">
        <f t="shared" ref="J1432:J1471" si="174">IF(D1432="MDU-KD",1,0)</f>
        <v>0</v>
      </c>
      <c r="K1432" s="155">
        <f t="shared" ref="K1432:K1471" si="17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76">IF(L1432=0,M1432,L1432)</f>
        <v>0</v>
      </c>
      <c r="O1432" s="155">
        <f t="shared" ref="O1432:O1471" si="17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94">
        <v>5</v>
      </c>
      <c r="C1433" s="109" t="s">
        <v>977</v>
      </c>
      <c r="D1433" s="213" t="s">
        <v>49</v>
      </c>
      <c r="E1433" s="214" t="s">
        <v>14</v>
      </c>
      <c r="F1433" s="215">
        <v>286461</v>
      </c>
      <c r="G1433" s="215">
        <v>286461</v>
      </c>
      <c r="H1433" s="177"/>
      <c r="I1433" s="176">
        <f t="shared" si="173"/>
        <v>286461</v>
      </c>
      <c r="J1433" s="163">
        <f t="shared" si="174"/>
        <v>0</v>
      </c>
      <c r="K1433" s="155">
        <f t="shared" si="17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76"/>
        <v>0</v>
      </c>
      <c r="O1433" s="155">
        <f t="shared" si="177"/>
        <v>0</v>
      </c>
      <c r="P1433" s="155">
        <f>IF(O1433=1,SUM($O$6:O1433),0)</f>
        <v>0</v>
      </c>
    </row>
    <row r="1434" spans="1:16" ht="15" customHeight="1">
      <c r="A1434" s="15"/>
      <c r="B1434" s="194">
        <v>6</v>
      </c>
      <c r="C1434" s="109" t="s">
        <v>978</v>
      </c>
      <c r="D1434" s="213" t="s">
        <v>49</v>
      </c>
      <c r="E1434" s="214" t="s">
        <v>14</v>
      </c>
      <c r="F1434" s="215">
        <v>259308</v>
      </c>
      <c r="G1434" s="215">
        <v>259308</v>
      </c>
      <c r="H1434" s="177"/>
      <c r="I1434" s="176"/>
      <c r="J1434" s="163">
        <f t="shared" si="174"/>
        <v>0</v>
      </c>
      <c r="K1434" s="155">
        <f t="shared" si="17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76"/>
        <v>0</v>
      </c>
      <c r="O1434" s="155">
        <f t="shared" si="177"/>
        <v>0</v>
      </c>
      <c r="P1434" s="155">
        <f>IF(O1434=1,SUM($O$6:O1434),0)</f>
        <v>0</v>
      </c>
    </row>
    <row r="1435" spans="1:16" ht="15" customHeight="1">
      <c r="A1435" s="15"/>
      <c r="B1435" s="194">
        <v>7</v>
      </c>
      <c r="C1435" s="109" t="s">
        <v>979</v>
      </c>
      <c r="D1435" s="213" t="s">
        <v>49</v>
      </c>
      <c r="E1435" s="214" t="s">
        <v>14</v>
      </c>
      <c r="F1435" s="215">
        <v>300784.05</v>
      </c>
      <c r="G1435" s="215">
        <v>300784.05</v>
      </c>
      <c r="H1435" s="177"/>
      <c r="I1435" s="176"/>
      <c r="J1435" s="163">
        <f t="shared" si="174"/>
        <v>0</v>
      </c>
      <c r="K1435" s="155">
        <f t="shared" si="17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76"/>
        <v>0</v>
      </c>
      <c r="O1435" s="155">
        <f t="shared" si="177"/>
        <v>0</v>
      </c>
      <c r="P1435" s="155">
        <f>IF(O1435=1,SUM($O$6:O1435),0)</f>
        <v>0</v>
      </c>
    </row>
    <row r="1436" spans="1:16" ht="15" customHeight="1">
      <c r="A1436" s="15"/>
      <c r="B1436" s="194">
        <v>8</v>
      </c>
      <c r="C1436" s="109" t="s">
        <v>455</v>
      </c>
      <c r="D1436" s="213" t="s">
        <v>49</v>
      </c>
      <c r="E1436" s="214" t="s">
        <v>14</v>
      </c>
      <c r="F1436" s="215">
        <v>300600</v>
      </c>
      <c r="G1436" s="215">
        <v>300600</v>
      </c>
      <c r="H1436" s="177"/>
      <c r="I1436" s="176">
        <f t="shared" si="173"/>
        <v>300600</v>
      </c>
      <c r="J1436" s="163">
        <f t="shared" si="174"/>
        <v>0</v>
      </c>
      <c r="K1436" s="155">
        <f t="shared" si="17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76"/>
        <v>0</v>
      </c>
      <c r="O1436" s="155">
        <f t="shared" si="177"/>
        <v>0</v>
      </c>
      <c r="P1436" s="155">
        <f>IF(O1436=1,SUM($O$6:O1436),0)</f>
        <v>0</v>
      </c>
    </row>
    <row r="1437" spans="1:16" ht="15" customHeight="1">
      <c r="A1437" s="15"/>
      <c r="B1437" s="194">
        <v>9</v>
      </c>
      <c r="C1437" s="109" t="s">
        <v>456</v>
      </c>
      <c r="D1437" s="213" t="s">
        <v>49</v>
      </c>
      <c r="E1437" s="214" t="s">
        <v>14</v>
      </c>
      <c r="F1437" s="215">
        <v>358140</v>
      </c>
      <c r="G1437" s="215">
        <v>358140</v>
      </c>
      <c r="H1437" s="177"/>
      <c r="I1437" s="176">
        <f t="shared" si="173"/>
        <v>358140</v>
      </c>
      <c r="J1437" s="163">
        <f t="shared" si="174"/>
        <v>0</v>
      </c>
      <c r="K1437" s="155">
        <f t="shared" si="17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76"/>
        <v>0</v>
      </c>
      <c r="O1437" s="155">
        <f t="shared" si="177"/>
        <v>0</v>
      </c>
      <c r="P1437" s="155">
        <f>IF(O1437=1,SUM($O$6:O1437),0)</f>
        <v>0</v>
      </c>
    </row>
    <row r="1438" spans="1:16" ht="15" customHeight="1">
      <c r="A1438" s="15"/>
      <c r="B1438" s="194">
        <v>10</v>
      </c>
      <c r="C1438" s="109" t="s">
        <v>457</v>
      </c>
      <c r="D1438" s="213" t="s">
        <v>49</v>
      </c>
      <c r="E1438" s="214" t="s">
        <v>14</v>
      </c>
      <c r="F1438" s="215">
        <v>341777.99941898551</v>
      </c>
      <c r="G1438" s="215">
        <v>341777.99941898551</v>
      </c>
      <c r="H1438" s="177"/>
      <c r="I1438" s="176">
        <f t="shared" si="173"/>
        <v>341777.99941898551</v>
      </c>
      <c r="J1438" s="163">
        <f t="shared" si="174"/>
        <v>0</v>
      </c>
      <c r="K1438" s="155">
        <f t="shared" si="17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76"/>
        <v>0</v>
      </c>
      <c r="O1438" s="155">
        <f t="shared" si="177"/>
        <v>0</v>
      </c>
      <c r="P1438" s="155">
        <f>IF(O1438=1,SUM($O$6:O1438),0)</f>
        <v>0</v>
      </c>
    </row>
    <row r="1439" spans="1:16" ht="15" customHeight="1">
      <c r="A1439" s="15"/>
      <c r="B1439" s="194">
        <v>11</v>
      </c>
      <c r="C1439" s="109" t="s">
        <v>458</v>
      </c>
      <c r="D1439" s="213" t="s">
        <v>49</v>
      </c>
      <c r="E1439" s="214" t="s">
        <v>14</v>
      </c>
      <c r="F1439" s="215">
        <v>395879.58401850733</v>
      </c>
      <c r="G1439" s="215">
        <v>395879.58401850733</v>
      </c>
      <c r="H1439" s="177"/>
      <c r="I1439" s="176">
        <f t="shared" si="173"/>
        <v>395879.58401850733</v>
      </c>
      <c r="J1439" s="163">
        <f t="shared" si="174"/>
        <v>0</v>
      </c>
      <c r="K1439" s="155">
        <f t="shared" si="17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76"/>
        <v>0</v>
      </c>
      <c r="O1439" s="155">
        <f t="shared" si="177"/>
        <v>0</v>
      </c>
      <c r="P1439" s="155">
        <f>IF(O1439=1,SUM($O$6:O1439),0)</f>
        <v>0</v>
      </c>
    </row>
    <row r="1440" spans="1:16" ht="15" customHeight="1">
      <c r="A1440" s="15"/>
      <c r="B1440" s="194">
        <v>12</v>
      </c>
      <c r="C1440" s="109" t="s">
        <v>459</v>
      </c>
      <c r="D1440" s="213" t="s">
        <v>49</v>
      </c>
      <c r="E1440" s="214" t="s">
        <v>14</v>
      </c>
      <c r="F1440" s="215">
        <v>6240</v>
      </c>
      <c r="G1440" s="215">
        <v>6240</v>
      </c>
      <c r="H1440" s="177"/>
      <c r="I1440" s="176">
        <f t="shared" si="173"/>
        <v>6240</v>
      </c>
      <c r="J1440" s="163">
        <f t="shared" si="174"/>
        <v>0</v>
      </c>
      <c r="K1440" s="155">
        <f t="shared" si="17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76"/>
        <v>0</v>
      </c>
      <c r="O1440" s="155">
        <f t="shared" si="177"/>
        <v>0</v>
      </c>
      <c r="P1440" s="155">
        <f>IF(O1440=1,SUM($O$6:O1440),0)</f>
        <v>0</v>
      </c>
    </row>
    <row r="1441" spans="1:16" ht="15" customHeight="1">
      <c r="A1441" s="15"/>
      <c r="B1441" s="194">
        <v>13</v>
      </c>
      <c r="C1441" s="109" t="s">
        <v>460</v>
      </c>
      <c r="D1441" s="213" t="s">
        <v>49</v>
      </c>
      <c r="E1441" s="214" t="s">
        <v>14</v>
      </c>
      <c r="F1441" s="215">
        <v>5760</v>
      </c>
      <c r="G1441" s="215">
        <v>5760</v>
      </c>
      <c r="H1441" s="177"/>
      <c r="I1441" s="176">
        <f t="shared" si="173"/>
        <v>5760</v>
      </c>
      <c r="J1441" s="163">
        <f t="shared" si="174"/>
        <v>0</v>
      </c>
      <c r="K1441" s="155">
        <f t="shared" si="17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76"/>
        <v>0</v>
      </c>
      <c r="O1441" s="155">
        <f t="shared" si="177"/>
        <v>0</v>
      </c>
      <c r="P1441" s="155">
        <f>IF(O1441=1,SUM($O$6:O1441),0)</f>
        <v>0</v>
      </c>
    </row>
    <row r="1442" spans="1:16" ht="15" customHeight="1">
      <c r="A1442" s="15"/>
      <c r="B1442" s="194">
        <v>14</v>
      </c>
      <c r="C1442" s="109" t="s">
        <v>461</v>
      </c>
      <c r="D1442" s="213" t="s">
        <v>49</v>
      </c>
      <c r="E1442" s="214" t="s">
        <v>300</v>
      </c>
      <c r="F1442" s="215">
        <v>337284.9788645666</v>
      </c>
      <c r="G1442" s="215">
        <v>337284.9788645666</v>
      </c>
      <c r="H1442" s="177"/>
      <c r="I1442" s="176">
        <f t="shared" si="173"/>
        <v>337284.9788645666</v>
      </c>
      <c r="J1442" s="163">
        <f t="shared" si="174"/>
        <v>0</v>
      </c>
      <c r="K1442" s="155">
        <f t="shared" si="17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76"/>
        <v>0</v>
      </c>
      <c r="O1442" s="155">
        <f t="shared" si="177"/>
        <v>0</v>
      </c>
      <c r="P1442" s="155">
        <f>IF(O1442=1,SUM($O$6:O1442),0)</f>
        <v>0</v>
      </c>
    </row>
    <row r="1443" spans="1:16" ht="15" customHeight="1">
      <c r="A1443" s="15"/>
      <c r="B1443" s="194">
        <v>15</v>
      </c>
      <c r="C1443" s="109" t="s">
        <v>980</v>
      </c>
      <c r="D1443" s="213" t="s">
        <v>49</v>
      </c>
      <c r="E1443" s="214" t="s">
        <v>300</v>
      </c>
      <c r="F1443" s="215">
        <v>269827.98309165332</v>
      </c>
      <c r="G1443" s="215">
        <v>269827.98309165332</v>
      </c>
      <c r="H1443" s="177"/>
      <c r="I1443" s="176">
        <f t="shared" si="173"/>
        <v>269827.98309165332</v>
      </c>
      <c r="J1443" s="163">
        <f t="shared" si="174"/>
        <v>0</v>
      </c>
      <c r="K1443" s="155">
        <f t="shared" si="17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76"/>
        <v>0</v>
      </c>
      <c r="O1443" s="155">
        <f t="shared" si="177"/>
        <v>0</v>
      </c>
      <c r="P1443" s="155">
        <f>IF(O1443=1,SUM($O$6:O1443),0)</f>
        <v>0</v>
      </c>
    </row>
    <row r="1444" spans="1:16" ht="15" customHeight="1">
      <c r="A1444" s="15"/>
      <c r="B1444" s="194">
        <v>16</v>
      </c>
      <c r="C1444" s="109" t="s">
        <v>981</v>
      </c>
      <c r="D1444" s="213" t="s">
        <v>49</v>
      </c>
      <c r="E1444" s="214" t="s">
        <v>476</v>
      </c>
      <c r="F1444" s="215">
        <v>420</v>
      </c>
      <c r="G1444" s="215">
        <v>420</v>
      </c>
      <c r="H1444" s="177"/>
      <c r="I1444" s="176">
        <f t="shared" si="173"/>
        <v>420</v>
      </c>
      <c r="J1444" s="163">
        <f t="shared" si="174"/>
        <v>0</v>
      </c>
      <c r="K1444" s="155">
        <f t="shared" si="17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76"/>
        <v>0</v>
      </c>
      <c r="O1444" s="155">
        <f t="shared" si="177"/>
        <v>0</v>
      </c>
      <c r="P1444" s="155">
        <f>IF(O1444=1,SUM($O$6:O1444),0)</f>
        <v>0</v>
      </c>
    </row>
    <row r="1445" spans="1:16" ht="15" customHeight="1">
      <c r="A1445" s="15"/>
      <c r="B1445" s="194">
        <v>17</v>
      </c>
      <c r="C1445" s="109" t="s">
        <v>982</v>
      </c>
      <c r="D1445" s="213" t="s">
        <v>49</v>
      </c>
      <c r="E1445" s="214" t="s">
        <v>476</v>
      </c>
      <c r="F1445" s="215">
        <v>720</v>
      </c>
      <c r="G1445" s="215">
        <v>720</v>
      </c>
      <c r="H1445" s="177"/>
      <c r="I1445" s="176">
        <f t="shared" si="173"/>
        <v>720</v>
      </c>
      <c r="J1445" s="163">
        <f t="shared" si="174"/>
        <v>0</v>
      </c>
      <c r="K1445" s="155">
        <f t="shared" si="17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76"/>
        <v>0</v>
      </c>
      <c r="O1445" s="155">
        <f t="shared" si="177"/>
        <v>0</v>
      </c>
      <c r="P1445" s="155">
        <f>IF(O1445=1,SUM($O$6:O1445),0)</f>
        <v>0</v>
      </c>
    </row>
    <row r="1446" spans="1:16" ht="15" customHeight="1">
      <c r="A1446" s="15"/>
      <c r="B1446" s="194">
        <v>18</v>
      </c>
      <c r="C1446" s="109" t="s">
        <v>983</v>
      </c>
      <c r="D1446" s="213" t="s">
        <v>49</v>
      </c>
      <c r="E1446" s="214" t="s">
        <v>476</v>
      </c>
      <c r="F1446" s="215">
        <v>15300</v>
      </c>
      <c r="G1446" s="215">
        <v>15300</v>
      </c>
      <c r="H1446" s="177"/>
      <c r="I1446" s="176">
        <f t="shared" si="173"/>
        <v>15300</v>
      </c>
      <c r="J1446" s="163">
        <f t="shared" si="174"/>
        <v>0</v>
      </c>
      <c r="K1446" s="155">
        <f t="shared" si="17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76"/>
        <v>0</v>
      </c>
      <c r="O1446" s="155">
        <f t="shared" si="177"/>
        <v>0</v>
      </c>
      <c r="P1446" s="155">
        <f>IF(O1446=1,SUM($O$6:O1446),0)</f>
        <v>0</v>
      </c>
    </row>
    <row r="1447" spans="1:16" ht="15" customHeight="1">
      <c r="A1447" s="15"/>
      <c r="B1447" s="194">
        <v>19</v>
      </c>
      <c r="C1447" s="109" t="s">
        <v>984</v>
      </c>
      <c r="D1447" s="213" t="s">
        <v>49</v>
      </c>
      <c r="E1447" s="214" t="s">
        <v>476</v>
      </c>
      <c r="F1447" s="215">
        <v>9120</v>
      </c>
      <c r="G1447" s="215">
        <v>9120</v>
      </c>
      <c r="H1447" s="177"/>
      <c r="I1447" s="176">
        <f t="shared" si="173"/>
        <v>9120</v>
      </c>
      <c r="J1447" s="163">
        <f t="shared" si="174"/>
        <v>0</v>
      </c>
      <c r="K1447" s="155">
        <f t="shared" si="17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76"/>
        <v>0</v>
      </c>
      <c r="O1447" s="155">
        <f t="shared" si="177"/>
        <v>0</v>
      </c>
      <c r="P1447" s="155">
        <f>IF(O1447=1,SUM($O$6:O1447),0)</f>
        <v>0</v>
      </c>
    </row>
    <row r="1448" spans="1:16" ht="15" customHeight="1">
      <c r="A1448" s="15"/>
      <c r="B1448" s="194">
        <v>20</v>
      </c>
      <c r="C1448" s="109" t="s">
        <v>1100</v>
      </c>
      <c r="D1448" s="213" t="s">
        <v>49</v>
      </c>
      <c r="E1448" s="214" t="s">
        <v>476</v>
      </c>
      <c r="F1448" s="411">
        <v>2740</v>
      </c>
      <c r="G1448" s="411">
        <v>2740</v>
      </c>
      <c r="H1448" s="177"/>
      <c r="I1448" s="176">
        <f t="shared" si="173"/>
        <v>2740</v>
      </c>
      <c r="J1448" s="163">
        <f t="shared" si="174"/>
        <v>0</v>
      </c>
      <c r="K1448" s="155">
        <f t="shared" si="17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76"/>
        <v>0</v>
      </c>
      <c r="O1448" s="155">
        <f t="shared" si="177"/>
        <v>0</v>
      </c>
      <c r="P1448" s="155">
        <f>IF(O1448=1,SUM($O$6:O1448),0)</f>
        <v>0</v>
      </c>
    </row>
    <row r="1449" spans="1:16" ht="15" customHeight="1">
      <c r="A1449" s="15"/>
      <c r="B1449" s="194"/>
      <c r="C1449" s="109"/>
      <c r="D1449" s="213" t="s">
        <v>50</v>
      </c>
      <c r="E1449" s="214"/>
      <c r="F1449" s="215">
        <v>0</v>
      </c>
      <c r="G1449" s="215">
        <v>0</v>
      </c>
      <c r="H1449" s="96"/>
      <c r="I1449" s="88">
        <f t="shared" ref="I1449:I1454" si="178">IF($I$5=$G$4,G1449,(IF($I$5=$F$4,F1449,0)))</f>
        <v>0</v>
      </c>
      <c r="J1449" s="163">
        <f t="shared" si="174"/>
        <v>0</v>
      </c>
      <c r="K1449" s="155">
        <f t="shared" si="17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76"/>
        <v>0</v>
      </c>
      <c r="O1449" s="155">
        <f t="shared" si="177"/>
        <v>0</v>
      </c>
      <c r="P1449" s="155">
        <f>IF(O1449=1,SUM($O$6:O1449),0)</f>
        <v>0</v>
      </c>
    </row>
    <row r="1450" spans="1:16" ht="15" customHeight="1">
      <c r="A1450" s="15"/>
      <c r="B1450" s="194" t="s">
        <v>1035</v>
      </c>
      <c r="C1450" s="109" t="s">
        <v>801</v>
      </c>
      <c r="D1450" s="213" t="s">
        <v>50</v>
      </c>
      <c r="E1450" s="214"/>
      <c r="F1450" s="215">
        <v>0</v>
      </c>
      <c r="G1450" s="215">
        <v>0</v>
      </c>
      <c r="H1450" s="96"/>
      <c r="I1450" s="88">
        <f t="shared" si="178"/>
        <v>0</v>
      </c>
      <c r="J1450" s="163">
        <f t="shared" si="174"/>
        <v>0</v>
      </c>
      <c r="K1450" s="155">
        <f t="shared" si="17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76"/>
        <v>0</v>
      </c>
      <c r="O1450" s="155">
        <f t="shared" si="177"/>
        <v>0</v>
      </c>
      <c r="P1450" s="155">
        <f>IF(O1450=1,SUM($O$6:O1450),0)</f>
        <v>0</v>
      </c>
    </row>
    <row r="1451" spans="1:16" ht="15" customHeight="1">
      <c r="A1451" s="15"/>
      <c r="B1451" s="194">
        <v>1</v>
      </c>
      <c r="C1451" s="109" t="s">
        <v>462</v>
      </c>
      <c r="D1451" s="213" t="s">
        <v>49</v>
      </c>
      <c r="E1451" s="214" t="s">
        <v>14</v>
      </c>
      <c r="F1451" s="215">
        <v>15000</v>
      </c>
      <c r="G1451" s="215">
        <v>15000</v>
      </c>
      <c r="H1451" s="96"/>
      <c r="I1451" s="88">
        <f t="shared" si="178"/>
        <v>15000</v>
      </c>
      <c r="J1451" s="163">
        <f t="shared" si="174"/>
        <v>0</v>
      </c>
      <c r="K1451" s="155">
        <f t="shared" si="17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76"/>
        <v>0</v>
      </c>
      <c r="O1451" s="155">
        <f t="shared" si="177"/>
        <v>0</v>
      </c>
      <c r="P1451" s="155">
        <f>IF(O1451=1,SUM($O$6:O1451),0)</f>
        <v>0</v>
      </c>
    </row>
    <row r="1452" spans="1:16" ht="15" customHeight="1">
      <c r="A1452" s="15"/>
      <c r="B1452" s="194">
        <v>2</v>
      </c>
      <c r="C1452" s="109" t="s">
        <v>463</v>
      </c>
      <c r="D1452" s="213" t="s">
        <v>49</v>
      </c>
      <c r="E1452" s="214" t="s">
        <v>14</v>
      </c>
      <c r="F1452" s="215">
        <v>36180</v>
      </c>
      <c r="G1452" s="215">
        <v>36180</v>
      </c>
      <c r="H1452" s="96"/>
      <c r="I1452" s="88">
        <f t="shared" si="178"/>
        <v>36180</v>
      </c>
      <c r="J1452" s="163">
        <f t="shared" si="174"/>
        <v>0</v>
      </c>
      <c r="K1452" s="155">
        <f t="shared" si="17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76"/>
        <v>0</v>
      </c>
      <c r="O1452" s="155">
        <f t="shared" si="177"/>
        <v>0</v>
      </c>
      <c r="P1452" s="155">
        <f>IF(O1452=1,SUM($O$6:O1452),0)</f>
        <v>0</v>
      </c>
    </row>
    <row r="1453" spans="1:16" ht="15" customHeight="1">
      <c r="A1453" s="15"/>
      <c r="B1453" s="194">
        <v>3</v>
      </c>
      <c r="C1453" s="109" t="s">
        <v>985</v>
      </c>
      <c r="D1453" s="213" t="s">
        <v>49</v>
      </c>
      <c r="E1453" s="214" t="s">
        <v>14</v>
      </c>
      <c r="F1453" s="215">
        <v>32640</v>
      </c>
      <c r="G1453" s="215">
        <v>32640</v>
      </c>
      <c r="H1453" s="96"/>
      <c r="I1453" s="88">
        <f t="shared" si="178"/>
        <v>32640</v>
      </c>
      <c r="J1453" s="163">
        <f t="shared" si="174"/>
        <v>0</v>
      </c>
      <c r="K1453" s="155">
        <f t="shared" si="17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76"/>
        <v>0</v>
      </c>
      <c r="O1453" s="155">
        <f t="shared" si="177"/>
        <v>0</v>
      </c>
      <c r="P1453" s="155">
        <f>IF(O1453=1,SUM($O$6:O1453),0)</f>
        <v>0</v>
      </c>
    </row>
    <row r="1454" spans="1:16" ht="15" customHeight="1">
      <c r="A1454" s="15"/>
      <c r="B1454" s="194">
        <v>4</v>
      </c>
      <c r="C1454" s="109" t="s">
        <v>986</v>
      </c>
      <c r="D1454" s="213" t="s">
        <v>49</v>
      </c>
      <c r="E1454" s="214" t="s">
        <v>14</v>
      </c>
      <c r="F1454" s="215">
        <v>63840</v>
      </c>
      <c r="G1454" s="215">
        <v>63840</v>
      </c>
      <c r="H1454" s="96"/>
      <c r="I1454" s="88">
        <f t="shared" si="178"/>
        <v>63840</v>
      </c>
      <c r="J1454" s="163">
        <f t="shared" si="174"/>
        <v>0</v>
      </c>
      <c r="K1454" s="155">
        <f t="shared" si="17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76"/>
        <v>0</v>
      </c>
      <c r="O1454" s="155">
        <f t="shared" si="177"/>
        <v>0</v>
      </c>
      <c r="P1454" s="155">
        <f>IF(O1454=1,SUM($O$6:O1454),0)</f>
        <v>0</v>
      </c>
    </row>
    <row r="1455" spans="1:16" ht="15" customHeight="1">
      <c r="A1455" s="15"/>
      <c r="B1455" s="194">
        <v>5</v>
      </c>
      <c r="C1455" s="109" t="s">
        <v>987</v>
      </c>
      <c r="D1455" s="213" t="s">
        <v>49</v>
      </c>
      <c r="E1455" s="214" t="s">
        <v>14</v>
      </c>
      <c r="F1455" s="215">
        <v>450000</v>
      </c>
      <c r="G1455" s="215">
        <v>450000</v>
      </c>
      <c r="H1455" s="96"/>
      <c r="I1455" s="88">
        <f t="shared" ref="I1455:I1511" si="179">IF($I$5=$G$4,G1455,(IF($I$5=$F$4,F1455,0)))</f>
        <v>450000</v>
      </c>
      <c r="J1455" s="163">
        <f t="shared" si="174"/>
        <v>0</v>
      </c>
      <c r="K1455" s="155">
        <f t="shared" si="17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76"/>
        <v>0</v>
      </c>
      <c r="O1455" s="155">
        <f t="shared" si="177"/>
        <v>0</v>
      </c>
      <c r="P1455" s="155">
        <f>IF(O1455=1,SUM($O$6:O1455),0)</f>
        <v>0</v>
      </c>
    </row>
    <row r="1456" spans="1:16" ht="15" customHeight="1">
      <c r="A1456" s="15"/>
      <c r="B1456" s="194">
        <v>6</v>
      </c>
      <c r="C1456" s="109" t="s">
        <v>1192</v>
      </c>
      <c r="D1456" s="213" t="s">
        <v>49</v>
      </c>
      <c r="E1456" s="214" t="s">
        <v>14</v>
      </c>
      <c r="F1456" s="176">
        <v>985020</v>
      </c>
      <c r="G1456" s="176">
        <v>985020</v>
      </c>
      <c r="H1456" s="96"/>
      <c r="I1456" s="88">
        <f t="shared" si="179"/>
        <v>985020</v>
      </c>
      <c r="J1456" s="163">
        <f t="shared" si="174"/>
        <v>0</v>
      </c>
      <c r="K1456" s="155">
        <f t="shared" si="17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76"/>
        <v>0</v>
      </c>
      <c r="O1456" s="155">
        <f t="shared" si="177"/>
        <v>0</v>
      </c>
      <c r="P1456" s="155">
        <f>IF(O1456=1,SUM($O$6:O1456),0)</f>
        <v>0</v>
      </c>
    </row>
    <row r="1457" spans="1:16" ht="15" customHeight="1">
      <c r="A1457" s="15"/>
      <c r="B1457" s="418">
        <v>5</v>
      </c>
      <c r="C1457" s="414" t="s">
        <v>1621</v>
      </c>
      <c r="D1457" s="419" t="s">
        <v>49</v>
      </c>
      <c r="E1457" s="420" t="s">
        <v>14</v>
      </c>
      <c r="F1457" s="415"/>
      <c r="G1457" s="421">
        <v>92460</v>
      </c>
      <c r="H1457" s="422"/>
      <c r="I1457" s="421">
        <f t="shared" si="179"/>
        <v>92460</v>
      </c>
      <c r="J1457" s="163">
        <f t="shared" ref="J1457:J1458" si="180">IF(D1457="MDU-KD",1,0)</f>
        <v>0</v>
      </c>
      <c r="K1457" s="155">
        <f t="shared" ref="K1457:K1458" si="181"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ref="N1457:N1458" si="182">IF(L1457=0,M1457,L1457)</f>
        <v>0</v>
      </c>
      <c r="O1457" s="155">
        <f t="shared" ref="O1457:O1458" si="183"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18">
        <v>6</v>
      </c>
      <c r="C1458" s="414" t="s">
        <v>1622</v>
      </c>
      <c r="D1458" s="419" t="s">
        <v>49</v>
      </c>
      <c r="E1458" s="420" t="s">
        <v>14</v>
      </c>
      <c r="F1458" s="421"/>
      <c r="G1458" s="421">
        <v>92460</v>
      </c>
      <c r="H1458" s="422"/>
      <c r="I1458" s="421">
        <f t="shared" si="179"/>
        <v>92460</v>
      </c>
      <c r="J1458" s="163">
        <f t="shared" si="180"/>
        <v>0</v>
      </c>
      <c r="K1458" s="155">
        <f t="shared" si="181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82"/>
        <v>0</v>
      </c>
      <c r="O1458" s="155">
        <f t="shared" si="183"/>
        <v>0</v>
      </c>
      <c r="P1458" s="155">
        <f>IF(O1458=1,SUM($O$6:O1458),0)</f>
        <v>0</v>
      </c>
    </row>
    <row r="1459" spans="1:16" ht="15" customHeight="1">
      <c r="A1459" s="15"/>
      <c r="B1459" s="194"/>
      <c r="C1459" s="109" t="s">
        <v>50</v>
      </c>
      <c r="D1459" s="213" t="s">
        <v>50</v>
      </c>
      <c r="E1459" s="214"/>
      <c r="F1459" s="176"/>
      <c r="G1459" s="176"/>
      <c r="H1459" s="96"/>
      <c r="I1459" s="88">
        <f t="shared" si="179"/>
        <v>0</v>
      </c>
      <c r="J1459" s="163">
        <f t="shared" si="174"/>
        <v>0</v>
      </c>
      <c r="K1459" s="155">
        <f t="shared" si="17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76"/>
        <v>0</v>
      </c>
      <c r="O1459" s="155">
        <f t="shared" si="177"/>
        <v>0</v>
      </c>
      <c r="P1459" s="155">
        <f>IF(O1459=1,SUM($O$6:O1459),0)</f>
        <v>0</v>
      </c>
    </row>
    <row r="1460" spans="1:16" ht="15" customHeight="1">
      <c r="A1460" s="15"/>
      <c r="B1460" s="194" t="s">
        <v>1193</v>
      </c>
      <c r="C1460" s="109" t="s">
        <v>1007</v>
      </c>
      <c r="D1460" s="213" t="s">
        <v>50</v>
      </c>
      <c r="E1460" s="214"/>
      <c r="F1460" s="176"/>
      <c r="G1460" s="176"/>
      <c r="H1460" s="96"/>
      <c r="I1460" s="88">
        <f t="shared" si="179"/>
        <v>0</v>
      </c>
      <c r="J1460" s="163">
        <f t="shared" si="174"/>
        <v>0</v>
      </c>
      <c r="K1460" s="155">
        <f t="shared" si="17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76"/>
        <v>0</v>
      </c>
      <c r="O1460" s="155">
        <f t="shared" si="177"/>
        <v>0</v>
      </c>
      <c r="P1460" s="155">
        <f>IF(O1460=1,SUM($O$6:O1460),0)</f>
        <v>0</v>
      </c>
    </row>
    <row r="1461" spans="1:16" ht="15" customHeight="1">
      <c r="A1461" s="15"/>
      <c r="B1461" s="194">
        <v>1</v>
      </c>
      <c r="C1461" s="109" t="s">
        <v>1095</v>
      </c>
      <c r="D1461" s="213" t="s">
        <v>49</v>
      </c>
      <c r="E1461" s="214" t="s">
        <v>1008</v>
      </c>
      <c r="F1461" s="176">
        <v>2.5000000000000001E-2</v>
      </c>
      <c r="G1461" s="176">
        <v>2.5000000000000001E-2</v>
      </c>
      <c r="H1461" s="96"/>
      <c r="I1461" s="88">
        <f t="shared" si="179"/>
        <v>2.5000000000000001E-2</v>
      </c>
      <c r="J1461" s="163">
        <f t="shared" si="174"/>
        <v>0</v>
      </c>
      <c r="K1461" s="155">
        <f t="shared" si="17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76"/>
        <v>0</v>
      </c>
      <c r="O1461" s="155">
        <f t="shared" si="177"/>
        <v>0</v>
      </c>
      <c r="P1461" s="155">
        <f>IF(O1461=1,SUM($O$6:O1461),0)</f>
        <v>0</v>
      </c>
    </row>
    <row r="1462" spans="1:16" ht="15" customHeight="1">
      <c r="A1462" s="15"/>
      <c r="B1462" s="194">
        <v>2</v>
      </c>
      <c r="C1462" s="109" t="s">
        <v>1010</v>
      </c>
      <c r="D1462" s="213" t="s">
        <v>49</v>
      </c>
      <c r="E1462" s="214" t="s">
        <v>1009</v>
      </c>
      <c r="F1462" s="176">
        <v>800000</v>
      </c>
      <c r="G1462" s="176">
        <v>800000</v>
      </c>
      <c r="H1462" s="96"/>
      <c r="I1462" s="88">
        <f t="shared" si="179"/>
        <v>800000</v>
      </c>
      <c r="J1462" s="163">
        <f t="shared" si="174"/>
        <v>0</v>
      </c>
      <c r="K1462" s="155">
        <f t="shared" si="17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76"/>
        <v>0</v>
      </c>
      <c r="O1462" s="155">
        <f t="shared" si="177"/>
        <v>0</v>
      </c>
      <c r="P1462" s="155">
        <f>IF(O1462=1,SUM($O$6:O1462),0)</f>
        <v>0</v>
      </c>
    </row>
    <row r="1463" spans="1:16" ht="15" customHeight="1">
      <c r="A1463" s="15"/>
      <c r="B1463" s="194">
        <v>3</v>
      </c>
      <c r="C1463" s="109" t="s">
        <v>1011</v>
      </c>
      <c r="D1463" s="213" t="s">
        <v>49</v>
      </c>
      <c r="E1463" s="214" t="s">
        <v>42</v>
      </c>
      <c r="F1463" s="176">
        <v>300000</v>
      </c>
      <c r="G1463" s="176">
        <v>300000</v>
      </c>
      <c r="H1463" s="96"/>
      <c r="I1463" s="88">
        <f t="shared" si="179"/>
        <v>300000</v>
      </c>
      <c r="J1463" s="163">
        <f t="shared" si="174"/>
        <v>0</v>
      </c>
      <c r="K1463" s="155">
        <f t="shared" si="17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76"/>
        <v>0</v>
      </c>
      <c r="O1463" s="155">
        <f t="shared" si="177"/>
        <v>0</v>
      </c>
      <c r="P1463" s="155">
        <f>IF(O1463=1,SUM($O$6:O1463),0)</f>
        <v>0</v>
      </c>
    </row>
    <row r="1464" spans="1:16" ht="15" customHeight="1">
      <c r="A1464" s="15"/>
      <c r="B1464" s="194">
        <v>4</v>
      </c>
      <c r="C1464" s="197" t="s">
        <v>1101</v>
      </c>
      <c r="D1464" s="213" t="s">
        <v>49</v>
      </c>
      <c r="E1464" s="214" t="s">
        <v>1107</v>
      </c>
      <c r="F1464" s="176">
        <v>300000</v>
      </c>
      <c r="G1464" s="176">
        <v>300000</v>
      </c>
      <c r="H1464" s="96"/>
      <c r="I1464" s="88">
        <f t="shared" si="179"/>
        <v>300000</v>
      </c>
      <c r="J1464" s="163">
        <f t="shared" si="174"/>
        <v>0</v>
      </c>
      <c r="K1464" s="155">
        <f t="shared" si="17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76"/>
        <v>0</v>
      </c>
      <c r="O1464" s="155">
        <f t="shared" si="177"/>
        <v>0</v>
      </c>
      <c r="P1464" s="155">
        <f>IF(O1464=1,SUM($O$6:O1464),0)</f>
        <v>0</v>
      </c>
    </row>
    <row r="1465" spans="1:16" ht="15" customHeight="1">
      <c r="A1465" s="15"/>
      <c r="B1465" s="194">
        <v>5</v>
      </c>
      <c r="C1465" s="197" t="s">
        <v>1102</v>
      </c>
      <c r="D1465" s="213" t="s">
        <v>49</v>
      </c>
      <c r="E1465" s="214" t="s">
        <v>1107</v>
      </c>
      <c r="F1465" s="176">
        <v>57250</v>
      </c>
      <c r="G1465" s="176">
        <v>57250</v>
      </c>
      <c r="H1465" s="96"/>
      <c r="I1465" s="88">
        <f t="shared" si="179"/>
        <v>57250</v>
      </c>
      <c r="J1465" s="163">
        <f t="shared" si="174"/>
        <v>0</v>
      </c>
      <c r="K1465" s="155">
        <f t="shared" si="17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76"/>
        <v>0</v>
      </c>
      <c r="O1465" s="155">
        <f t="shared" si="177"/>
        <v>0</v>
      </c>
      <c r="P1465" s="155">
        <f>IF(O1465=1,SUM($O$6:O1465),0)</f>
        <v>0</v>
      </c>
    </row>
    <row r="1466" spans="1:16" ht="15" customHeight="1">
      <c r="A1466" s="15"/>
      <c r="B1466" s="194">
        <v>6</v>
      </c>
      <c r="C1466" s="197" t="s">
        <v>1103</v>
      </c>
      <c r="D1466" s="213" t="s">
        <v>49</v>
      </c>
      <c r="E1466" s="214" t="s">
        <v>8</v>
      </c>
      <c r="F1466" s="176">
        <v>13770</v>
      </c>
      <c r="G1466" s="176">
        <v>13770</v>
      </c>
      <c r="H1466" s="96"/>
      <c r="I1466" s="88">
        <f t="shared" si="179"/>
        <v>13770</v>
      </c>
      <c r="J1466" s="163">
        <f t="shared" si="174"/>
        <v>0</v>
      </c>
      <c r="K1466" s="155">
        <f t="shared" si="17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76"/>
        <v>0</v>
      </c>
      <c r="O1466" s="155">
        <f t="shared" si="177"/>
        <v>0</v>
      </c>
      <c r="P1466" s="155">
        <f>IF(O1466=1,SUM($O$6:O1466),0)</f>
        <v>0</v>
      </c>
    </row>
    <row r="1467" spans="1:16" ht="15" customHeight="1">
      <c r="A1467" s="15"/>
      <c r="B1467" s="194">
        <v>7</v>
      </c>
      <c r="C1467" s="197" t="s">
        <v>1104</v>
      </c>
      <c r="D1467" s="213" t="s">
        <v>49</v>
      </c>
      <c r="E1467" s="214" t="s">
        <v>8</v>
      </c>
      <c r="F1467" s="176">
        <v>29730</v>
      </c>
      <c r="G1467" s="176">
        <v>29730</v>
      </c>
      <c r="H1467" s="96"/>
      <c r="I1467" s="88">
        <f t="shared" si="179"/>
        <v>29730</v>
      </c>
      <c r="J1467" s="163">
        <f t="shared" si="174"/>
        <v>0</v>
      </c>
      <c r="K1467" s="155">
        <f t="shared" si="17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76"/>
        <v>0</v>
      </c>
      <c r="O1467" s="155">
        <f t="shared" si="177"/>
        <v>0</v>
      </c>
      <c r="P1467" s="155">
        <f>IF(O1467=1,SUM($O$6:O1467),0)</f>
        <v>0</v>
      </c>
    </row>
    <row r="1468" spans="1:16" ht="15" customHeight="1">
      <c r="A1468" s="15"/>
      <c r="B1468" s="194">
        <v>8</v>
      </c>
      <c r="C1468" s="197" t="s">
        <v>1105</v>
      </c>
      <c r="D1468" s="213" t="s">
        <v>49</v>
      </c>
      <c r="E1468" s="214" t="s">
        <v>8</v>
      </c>
      <c r="F1468" s="176">
        <v>250000</v>
      </c>
      <c r="G1468" s="176">
        <v>250000</v>
      </c>
      <c r="H1468" s="96"/>
      <c r="I1468" s="88">
        <f t="shared" si="179"/>
        <v>250000</v>
      </c>
      <c r="J1468" s="163">
        <f t="shared" si="174"/>
        <v>0</v>
      </c>
      <c r="K1468" s="155">
        <f t="shared" si="17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76"/>
        <v>0</v>
      </c>
      <c r="O1468" s="155">
        <f t="shared" si="177"/>
        <v>0</v>
      </c>
      <c r="P1468" s="155">
        <f>IF(O1468=1,SUM($O$6:O1468),0)</f>
        <v>0</v>
      </c>
    </row>
    <row r="1469" spans="1:16" ht="15" customHeight="1">
      <c r="A1469" s="15"/>
      <c r="B1469" s="198">
        <v>9</v>
      </c>
      <c r="C1469" s="199" t="s">
        <v>1409</v>
      </c>
      <c r="D1469" s="213" t="s">
        <v>49</v>
      </c>
      <c r="E1469" s="214" t="s">
        <v>8</v>
      </c>
      <c r="F1469" s="176">
        <v>54500</v>
      </c>
      <c r="G1469" s="176">
        <v>54500</v>
      </c>
      <c r="H1469" s="96"/>
      <c r="I1469" s="88">
        <f t="shared" si="179"/>
        <v>54500</v>
      </c>
      <c r="J1469" s="163">
        <f t="shared" si="174"/>
        <v>0</v>
      </c>
      <c r="K1469" s="155">
        <f t="shared" si="17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76"/>
        <v>0</v>
      </c>
      <c r="O1469" s="155">
        <f t="shared" si="177"/>
        <v>0</v>
      </c>
      <c r="P1469" s="155">
        <f>IF(O1469=1,SUM($O$6:O1469),0)</f>
        <v>0</v>
      </c>
    </row>
    <row r="1470" spans="1:16" ht="15" customHeight="1">
      <c r="A1470" s="15"/>
      <c r="B1470" s="198">
        <v>10</v>
      </c>
      <c r="C1470" s="200" t="s">
        <v>1410</v>
      </c>
      <c r="D1470" s="213" t="s">
        <v>49</v>
      </c>
      <c r="E1470" s="214" t="s">
        <v>14</v>
      </c>
      <c r="F1470" s="176">
        <v>816100</v>
      </c>
      <c r="G1470" s="176">
        <v>816100</v>
      </c>
      <c r="H1470" s="96"/>
      <c r="I1470" s="88">
        <f t="shared" si="179"/>
        <v>816100</v>
      </c>
      <c r="J1470" s="163">
        <f t="shared" si="174"/>
        <v>0</v>
      </c>
      <c r="K1470" s="155">
        <f t="shared" si="17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76"/>
        <v>0</v>
      </c>
      <c r="O1470" s="155">
        <f t="shared" si="177"/>
        <v>0</v>
      </c>
      <c r="P1470" s="155">
        <f>IF(O1470=1,SUM($O$6:O1470),0)</f>
        <v>0</v>
      </c>
    </row>
    <row r="1471" spans="1:16" ht="15" customHeight="1">
      <c r="A1471" s="15"/>
      <c r="B1471" s="198">
        <v>11</v>
      </c>
      <c r="C1471" s="200" t="s">
        <v>1411</v>
      </c>
      <c r="D1471" s="213" t="s">
        <v>49</v>
      </c>
      <c r="E1471" s="214" t="s">
        <v>14</v>
      </c>
      <c r="F1471" s="176">
        <v>601800</v>
      </c>
      <c r="G1471" s="176">
        <v>601800</v>
      </c>
      <c r="H1471" s="96"/>
      <c r="I1471" s="88">
        <f t="shared" si="179"/>
        <v>601800</v>
      </c>
      <c r="J1471" s="163">
        <f t="shared" si="174"/>
        <v>0</v>
      </c>
      <c r="K1471" s="155">
        <f t="shared" si="17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76"/>
        <v>0</v>
      </c>
      <c r="O1471" s="155">
        <f t="shared" si="177"/>
        <v>0</v>
      </c>
      <c r="P1471" s="155">
        <f>IF(O1471=1,SUM($O$6:O1471),0)</f>
        <v>0</v>
      </c>
    </row>
    <row r="1472" spans="1:16" ht="15" customHeight="1">
      <c r="A1472" s="15"/>
      <c r="B1472" s="198">
        <v>12</v>
      </c>
      <c r="C1472" s="200" t="s">
        <v>1412</v>
      </c>
      <c r="D1472" s="213" t="s">
        <v>47</v>
      </c>
      <c r="E1472" s="214" t="s">
        <v>8</v>
      </c>
      <c r="F1472" s="176">
        <v>51475</v>
      </c>
      <c r="G1472" s="176">
        <v>51475</v>
      </c>
      <c r="H1472" s="97"/>
      <c r="I1472" s="88">
        <f t="shared" si="179"/>
        <v>51475</v>
      </c>
      <c r="J1472" s="163"/>
      <c r="M1472" s="155"/>
      <c r="N1472" s="165"/>
    </row>
    <row r="1473" spans="1:30" ht="15" customHeight="1">
      <c r="B1473" s="198">
        <v>13</v>
      </c>
      <c r="C1473" s="199" t="s">
        <v>1413</v>
      </c>
      <c r="D1473" s="213" t="s">
        <v>49</v>
      </c>
      <c r="E1473" s="214" t="s">
        <v>103</v>
      </c>
      <c r="F1473" s="220">
        <v>750000</v>
      </c>
      <c r="G1473" s="220">
        <v>750000</v>
      </c>
      <c r="I1473" s="88">
        <f t="shared" si="179"/>
        <v>750000</v>
      </c>
    </row>
    <row r="1474" spans="1:30" ht="15" customHeight="1">
      <c r="B1474" s="198"/>
      <c r="C1474" s="199" t="s">
        <v>50</v>
      </c>
      <c r="D1474" s="213" t="s">
        <v>50</v>
      </c>
      <c r="E1474" s="214"/>
      <c r="F1474" s="176" t="s">
        <v>50</v>
      </c>
      <c r="G1474" s="176" t="s">
        <v>50</v>
      </c>
      <c r="I1474" s="88" t="str">
        <f t="shared" si="179"/>
        <v/>
      </c>
    </row>
    <row r="1475" spans="1:30" ht="15" customHeight="1">
      <c r="A1475" s="16"/>
      <c r="B1475" s="198" t="s">
        <v>1035</v>
      </c>
      <c r="C1475" s="199" t="s">
        <v>1414</v>
      </c>
      <c r="D1475" s="213"/>
      <c r="E1475" s="214"/>
      <c r="F1475" s="176"/>
      <c r="G1475" s="176"/>
      <c r="I1475" s="88">
        <f t="shared" si="179"/>
        <v>0</v>
      </c>
      <c r="J1475" s="169"/>
      <c r="K1475" s="169"/>
      <c r="L1475" s="169"/>
      <c r="M1475" s="170"/>
    </row>
    <row r="1476" spans="1:30" ht="15" customHeight="1">
      <c r="A1476" s="16"/>
      <c r="B1476" s="198">
        <v>1</v>
      </c>
      <c r="C1476" s="199" t="s">
        <v>1415</v>
      </c>
      <c r="D1476" s="213" t="s">
        <v>47</v>
      </c>
      <c r="E1476" s="210" t="s">
        <v>8</v>
      </c>
      <c r="F1476" s="176">
        <v>85000</v>
      </c>
      <c r="G1476" s="176">
        <v>85000</v>
      </c>
      <c r="I1476" s="88">
        <f t="shared" si="179"/>
        <v>85000</v>
      </c>
      <c r="J1476" s="169"/>
      <c r="K1476" s="169"/>
      <c r="L1476" s="169"/>
      <c r="M1476" s="170"/>
    </row>
    <row r="1477" spans="1:30" ht="15" customHeight="1">
      <c r="A1477" s="16"/>
      <c r="B1477" s="198">
        <v>2</v>
      </c>
      <c r="C1477" s="199" t="s">
        <v>1416</v>
      </c>
      <c r="D1477" s="213" t="s">
        <v>49</v>
      </c>
      <c r="E1477" s="214" t="s">
        <v>24</v>
      </c>
      <c r="F1477" s="176">
        <v>15000</v>
      </c>
      <c r="G1477" s="176">
        <v>15000</v>
      </c>
      <c r="I1477" s="88">
        <f t="shared" si="179"/>
        <v>15000</v>
      </c>
      <c r="J1477" s="169"/>
      <c r="K1477" s="169"/>
      <c r="L1477" s="169"/>
      <c r="M1477" s="170"/>
    </row>
    <row r="1478" spans="1:30" ht="15" customHeight="1">
      <c r="A1478" s="22"/>
      <c r="B1478" s="198"/>
      <c r="C1478" s="199"/>
      <c r="D1478" s="213"/>
      <c r="E1478" s="214"/>
      <c r="F1478" s="176"/>
      <c r="G1478" s="176"/>
      <c r="I1478" s="88">
        <f t="shared" si="179"/>
        <v>0</v>
      </c>
      <c r="J1478" s="169"/>
      <c r="K1478" s="169"/>
      <c r="L1478" s="169"/>
      <c r="M1478" s="170"/>
    </row>
    <row r="1479" spans="1:30" ht="15" customHeight="1">
      <c r="A1479" s="22"/>
      <c r="B1479" s="198" t="s">
        <v>1035</v>
      </c>
      <c r="C1479" s="199" t="s">
        <v>1417</v>
      </c>
      <c r="D1479" s="213" t="s">
        <v>49</v>
      </c>
      <c r="E1479" s="214" t="s">
        <v>24</v>
      </c>
      <c r="F1479" s="176">
        <v>83595</v>
      </c>
      <c r="G1479" s="176">
        <v>83595</v>
      </c>
      <c r="I1479" s="88">
        <f t="shared" si="179"/>
        <v>83595</v>
      </c>
    </row>
    <row r="1480" spans="1:30" ht="15" customHeight="1">
      <c r="B1480" s="198" t="s">
        <v>1035</v>
      </c>
      <c r="C1480" s="199" t="s">
        <v>1418</v>
      </c>
      <c r="D1480" s="213" t="s">
        <v>49</v>
      </c>
      <c r="E1480" s="214" t="s">
        <v>24</v>
      </c>
      <c r="F1480" s="176">
        <v>114317</v>
      </c>
      <c r="G1480" s="176">
        <v>114317</v>
      </c>
      <c r="I1480" s="88">
        <f t="shared" si="179"/>
        <v>114317</v>
      </c>
      <c r="N1480" s="145" t="str">
        <f>F4</f>
        <v>RAB SKK 2022</v>
      </c>
    </row>
    <row r="1481" spans="1:30" s="1" customFormat="1" ht="15" customHeight="1">
      <c r="A1481" s="16"/>
      <c r="B1481" s="198" t="s">
        <v>1035</v>
      </c>
      <c r="C1481" s="199" t="s">
        <v>1419</v>
      </c>
      <c r="D1481" s="213" t="s">
        <v>49</v>
      </c>
      <c r="E1481" s="214" t="s">
        <v>24</v>
      </c>
      <c r="F1481" s="176">
        <v>71636</v>
      </c>
      <c r="G1481" s="176">
        <v>71636</v>
      </c>
      <c r="H1481" s="91"/>
      <c r="I1481" s="88">
        <f t="shared" si="17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98" t="s">
        <v>1035</v>
      </c>
      <c r="C1482" s="199" t="s">
        <v>1420</v>
      </c>
      <c r="D1482" s="213" t="s">
        <v>49</v>
      </c>
      <c r="E1482" s="214" t="s">
        <v>24</v>
      </c>
      <c r="F1482" s="176">
        <v>115253</v>
      </c>
      <c r="G1482" s="176">
        <v>115253</v>
      </c>
      <c r="H1482" s="91"/>
      <c r="I1482" s="88">
        <f t="shared" si="17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98"/>
      <c r="C1483" s="199"/>
      <c r="D1483" s="213"/>
      <c r="E1483" s="214"/>
      <c r="F1483" s="176"/>
      <c r="G1483" s="176"/>
      <c r="I1483" s="88">
        <f t="shared" si="179"/>
        <v>0</v>
      </c>
    </row>
    <row r="1484" spans="1:30" s="1" customFormat="1" ht="15" customHeight="1">
      <c r="A1484" s="16"/>
      <c r="B1484" s="198" t="s">
        <v>1035</v>
      </c>
      <c r="C1484" s="199" t="s">
        <v>1421</v>
      </c>
      <c r="D1484" s="213"/>
      <c r="E1484" s="214"/>
      <c r="F1484" s="176"/>
      <c r="G1484" s="176"/>
      <c r="H1484" s="91"/>
      <c r="I1484" s="88">
        <f t="shared" si="17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98">
        <v>1</v>
      </c>
      <c r="C1485" s="199" t="s">
        <v>1422</v>
      </c>
      <c r="D1485" s="213" t="s">
        <v>47</v>
      </c>
      <c r="E1485" s="214" t="s">
        <v>7</v>
      </c>
      <c r="F1485" s="176">
        <v>235000</v>
      </c>
      <c r="G1485" s="176">
        <v>235000</v>
      </c>
      <c r="I1485" s="88">
        <f t="shared" si="179"/>
        <v>235000</v>
      </c>
    </row>
    <row r="1486" spans="1:30" ht="15" customHeight="1">
      <c r="B1486" s="198">
        <v>2</v>
      </c>
      <c r="C1486" s="199" t="s">
        <v>1423</v>
      </c>
      <c r="D1486" s="213" t="s">
        <v>49</v>
      </c>
      <c r="E1486" s="214" t="s">
        <v>24</v>
      </c>
      <c r="F1486" s="176">
        <v>15000</v>
      </c>
      <c r="G1486" s="176">
        <v>15000</v>
      </c>
      <c r="I1486" s="88">
        <f t="shared" si="179"/>
        <v>15000</v>
      </c>
    </row>
    <row r="1487" spans="1:30" ht="15" customHeight="1">
      <c r="B1487" s="198"/>
      <c r="C1487" s="199" t="s">
        <v>50</v>
      </c>
      <c r="D1487" s="213" t="s">
        <v>50</v>
      </c>
      <c r="E1487" s="214"/>
      <c r="F1487" s="176" t="s">
        <v>50</v>
      </c>
      <c r="G1487" s="176" t="s">
        <v>50</v>
      </c>
      <c r="I1487" s="88" t="str">
        <f t="shared" si="179"/>
        <v/>
      </c>
    </row>
    <row r="1488" spans="1:30" ht="15" customHeight="1">
      <c r="B1488" s="198" t="s">
        <v>1035</v>
      </c>
      <c r="C1488" s="199" t="s">
        <v>1424</v>
      </c>
      <c r="D1488" s="213"/>
      <c r="E1488" s="214"/>
      <c r="F1488" s="176"/>
      <c r="G1488" s="176"/>
      <c r="I1488" s="88">
        <f t="shared" si="179"/>
        <v>0</v>
      </c>
    </row>
    <row r="1489" spans="2:9" ht="15" customHeight="1">
      <c r="B1489" s="198">
        <v>1</v>
      </c>
      <c r="C1489" s="199" t="s">
        <v>1425</v>
      </c>
      <c r="D1489" s="213" t="s">
        <v>47</v>
      </c>
      <c r="E1489" s="214" t="s">
        <v>8</v>
      </c>
      <c r="F1489" s="176">
        <v>105000</v>
      </c>
      <c r="G1489" s="176">
        <v>105000</v>
      </c>
      <c r="I1489" s="88">
        <f t="shared" si="179"/>
        <v>105000</v>
      </c>
    </row>
    <row r="1490" spans="2:9" ht="15" customHeight="1">
      <c r="B1490" s="198">
        <v>2</v>
      </c>
      <c r="C1490" s="199" t="s">
        <v>1426</v>
      </c>
      <c r="D1490" s="213" t="s">
        <v>49</v>
      </c>
      <c r="E1490" s="214" t="s">
        <v>14</v>
      </c>
      <c r="F1490" s="176">
        <v>15000</v>
      </c>
      <c r="G1490" s="176">
        <v>15000</v>
      </c>
      <c r="I1490" s="88">
        <f t="shared" si="179"/>
        <v>15000</v>
      </c>
    </row>
    <row r="1491" spans="2:9" ht="15" customHeight="1">
      <c r="B1491" s="198"/>
      <c r="C1491" s="199" t="s">
        <v>50</v>
      </c>
      <c r="D1491" s="213" t="s">
        <v>50</v>
      </c>
      <c r="E1491" s="214"/>
      <c r="F1491" s="176" t="s">
        <v>50</v>
      </c>
      <c r="G1491" s="176" t="s">
        <v>50</v>
      </c>
      <c r="I1491" s="88" t="str">
        <f t="shared" si="179"/>
        <v/>
      </c>
    </row>
    <row r="1492" spans="2:9" ht="15" customHeight="1">
      <c r="B1492" s="198">
        <v>1</v>
      </c>
      <c r="C1492" s="199" t="s">
        <v>1427</v>
      </c>
      <c r="D1492" s="213" t="s">
        <v>47</v>
      </c>
      <c r="E1492" s="214" t="s">
        <v>8</v>
      </c>
      <c r="F1492" s="176">
        <v>180000</v>
      </c>
      <c r="G1492" s="176">
        <v>180000</v>
      </c>
      <c r="I1492" s="88">
        <f t="shared" si="179"/>
        <v>180000</v>
      </c>
    </row>
    <row r="1493" spans="2:9" ht="15" customHeight="1">
      <c r="B1493" s="198">
        <v>2</v>
      </c>
      <c r="C1493" s="199" t="s">
        <v>1428</v>
      </c>
      <c r="D1493" s="213" t="s">
        <v>49</v>
      </c>
      <c r="E1493" s="214" t="s">
        <v>24</v>
      </c>
      <c r="F1493" s="176">
        <v>15000</v>
      </c>
      <c r="G1493" s="176">
        <v>15000</v>
      </c>
      <c r="I1493" s="88">
        <f t="shared" si="179"/>
        <v>15000</v>
      </c>
    </row>
    <row r="1494" spans="2:9" ht="15" customHeight="1">
      <c r="B1494" s="198"/>
      <c r="C1494" s="199" t="s">
        <v>50</v>
      </c>
      <c r="D1494" s="213" t="s">
        <v>50</v>
      </c>
      <c r="E1494" s="214"/>
      <c r="F1494" s="176" t="s">
        <v>50</v>
      </c>
      <c r="G1494" s="176" t="s">
        <v>50</v>
      </c>
      <c r="I1494" s="88" t="str">
        <f t="shared" si="179"/>
        <v/>
      </c>
    </row>
    <row r="1495" spans="2:9" ht="15" customHeight="1">
      <c r="B1495" s="198">
        <v>1</v>
      </c>
      <c r="C1495" s="199" t="s">
        <v>1429</v>
      </c>
      <c r="D1495" s="213" t="s">
        <v>49</v>
      </c>
      <c r="E1495" s="214" t="s">
        <v>24</v>
      </c>
      <c r="F1495" s="176">
        <v>115253</v>
      </c>
      <c r="G1495" s="176">
        <v>115253</v>
      </c>
      <c r="I1495" s="88">
        <f t="shared" si="179"/>
        <v>115253</v>
      </c>
    </row>
    <row r="1496" spans="2:9" ht="15" customHeight="1">
      <c r="B1496" s="198">
        <v>2</v>
      </c>
      <c r="C1496" s="412" t="s">
        <v>1430</v>
      </c>
      <c r="D1496" s="213" t="s">
        <v>49</v>
      </c>
      <c r="E1496" s="214" t="s">
        <v>24</v>
      </c>
      <c r="F1496" s="176">
        <v>115253</v>
      </c>
      <c r="G1496" s="176">
        <v>115253</v>
      </c>
      <c r="I1496" s="88">
        <f t="shared" si="179"/>
        <v>115253</v>
      </c>
    </row>
    <row r="1497" spans="2:9" ht="15" customHeight="1">
      <c r="B1497" s="198">
        <v>3</v>
      </c>
      <c r="C1497" s="412" t="s">
        <v>1431</v>
      </c>
      <c r="D1497" s="213" t="s">
        <v>49</v>
      </c>
      <c r="E1497" s="214" t="s">
        <v>24</v>
      </c>
      <c r="F1497" s="176">
        <v>115253</v>
      </c>
      <c r="G1497" s="176">
        <v>115253</v>
      </c>
      <c r="I1497" s="88">
        <f t="shared" si="179"/>
        <v>115253</v>
      </c>
    </row>
    <row r="1498" spans="2:9" ht="15" customHeight="1">
      <c r="B1498" s="198">
        <v>4</v>
      </c>
      <c r="C1498" s="412" t="s">
        <v>1432</v>
      </c>
      <c r="D1498" s="213" t="s">
        <v>49</v>
      </c>
      <c r="E1498" s="214" t="s">
        <v>24</v>
      </c>
      <c r="F1498" s="176">
        <v>115253</v>
      </c>
      <c r="G1498" s="176">
        <v>115253</v>
      </c>
      <c r="I1498" s="88">
        <f t="shared" si="179"/>
        <v>115253</v>
      </c>
    </row>
    <row r="1499" spans="2:9" ht="15" customHeight="1">
      <c r="B1499" s="198">
        <v>5</v>
      </c>
      <c r="C1499" s="412" t="s">
        <v>1433</v>
      </c>
      <c r="D1499" s="213" t="s">
        <v>49</v>
      </c>
      <c r="E1499" s="214" t="s">
        <v>24</v>
      </c>
      <c r="F1499" s="176">
        <v>115253</v>
      </c>
      <c r="G1499" s="176">
        <v>115253</v>
      </c>
      <c r="I1499" s="88">
        <f t="shared" si="179"/>
        <v>115253</v>
      </c>
    </row>
    <row r="1500" spans="2:9" ht="15" customHeight="1">
      <c r="B1500" s="198">
        <v>6</v>
      </c>
      <c r="C1500" s="199" t="s">
        <v>1434</v>
      </c>
      <c r="D1500" s="213" t="s">
        <v>49</v>
      </c>
      <c r="E1500" s="214" t="s">
        <v>24</v>
      </c>
      <c r="F1500" s="176">
        <v>115253</v>
      </c>
      <c r="G1500" s="176">
        <v>115253</v>
      </c>
      <c r="I1500" s="88">
        <f t="shared" si="179"/>
        <v>115253</v>
      </c>
    </row>
    <row r="1501" spans="2:9" ht="15" customHeight="1">
      <c r="B1501" s="198">
        <v>7</v>
      </c>
      <c r="C1501" s="199" t="s">
        <v>1435</v>
      </c>
      <c r="D1501" s="213" t="s">
        <v>49</v>
      </c>
      <c r="E1501" s="214" t="s">
        <v>24</v>
      </c>
      <c r="F1501" s="176">
        <v>115253</v>
      </c>
      <c r="G1501" s="176">
        <v>115253</v>
      </c>
      <c r="I1501" s="88">
        <f t="shared" si="179"/>
        <v>115253</v>
      </c>
    </row>
    <row r="1502" spans="2:9" ht="15" customHeight="1">
      <c r="B1502" s="198">
        <v>8</v>
      </c>
      <c r="C1502" s="412" t="s">
        <v>1435</v>
      </c>
      <c r="D1502" s="213" t="s">
        <v>49</v>
      </c>
      <c r="E1502" s="214" t="s">
        <v>24</v>
      </c>
      <c r="F1502" s="176">
        <v>115253</v>
      </c>
      <c r="G1502" s="176">
        <v>115253</v>
      </c>
      <c r="I1502" s="88">
        <f t="shared" si="179"/>
        <v>115253</v>
      </c>
    </row>
    <row r="1503" spans="2:9" ht="15" customHeight="1">
      <c r="B1503" s="198"/>
      <c r="C1503" s="199" t="s">
        <v>50</v>
      </c>
      <c r="D1503" s="213" t="s">
        <v>50</v>
      </c>
      <c r="E1503" s="214"/>
      <c r="F1503" s="176">
        <v>0</v>
      </c>
      <c r="G1503" s="176">
        <v>0</v>
      </c>
      <c r="I1503" s="88">
        <f t="shared" si="179"/>
        <v>0</v>
      </c>
    </row>
    <row r="1504" spans="2:9" ht="15" customHeight="1">
      <c r="B1504" s="198" t="s">
        <v>1039</v>
      </c>
      <c r="C1504" s="199" t="s">
        <v>1436</v>
      </c>
      <c r="D1504" s="213"/>
      <c r="E1504" s="214"/>
      <c r="F1504" s="176">
        <v>0</v>
      </c>
      <c r="G1504" s="176">
        <v>0</v>
      </c>
      <c r="I1504" s="88">
        <f t="shared" si="179"/>
        <v>0</v>
      </c>
    </row>
    <row r="1505" spans="2:9" ht="15" customHeight="1">
      <c r="B1505" s="198">
        <v>1</v>
      </c>
      <c r="C1505" s="199" t="s">
        <v>1437</v>
      </c>
      <c r="D1505" s="213" t="s">
        <v>47</v>
      </c>
      <c r="E1505" s="214" t="s">
        <v>8</v>
      </c>
      <c r="F1505" s="176">
        <v>60000</v>
      </c>
      <c r="G1505" s="176">
        <v>60000</v>
      </c>
      <c r="I1505" s="88">
        <f t="shared" si="179"/>
        <v>60000</v>
      </c>
    </row>
    <row r="1506" spans="2:9" ht="15" customHeight="1">
      <c r="B1506" s="198">
        <v>2</v>
      </c>
      <c r="C1506" s="199" t="s">
        <v>1438</v>
      </c>
      <c r="D1506" s="213" t="s">
        <v>47</v>
      </c>
      <c r="E1506" s="214" t="s">
        <v>8</v>
      </c>
      <c r="F1506" s="176">
        <v>25000</v>
      </c>
      <c r="G1506" s="176">
        <v>25000</v>
      </c>
      <c r="I1506" s="88">
        <f t="shared" si="179"/>
        <v>25000</v>
      </c>
    </row>
    <row r="1507" spans="2:9" ht="15" customHeight="1">
      <c r="B1507" s="198">
        <v>3</v>
      </c>
      <c r="C1507" s="199" t="s">
        <v>1439</v>
      </c>
      <c r="D1507" s="213" t="s">
        <v>47</v>
      </c>
      <c r="E1507" s="214" t="s">
        <v>8</v>
      </c>
      <c r="F1507" s="176">
        <v>50000</v>
      </c>
      <c r="G1507" s="176">
        <v>50000</v>
      </c>
      <c r="I1507" s="88">
        <f t="shared" si="179"/>
        <v>50000</v>
      </c>
    </row>
    <row r="1508" spans="2:9" ht="15" customHeight="1">
      <c r="B1508" s="198" t="s">
        <v>1031</v>
      </c>
      <c r="C1508" s="199" t="s">
        <v>1440</v>
      </c>
      <c r="D1508" s="213" t="s">
        <v>49</v>
      </c>
      <c r="E1508" s="214" t="s">
        <v>14</v>
      </c>
      <c r="F1508" s="176">
        <v>12000</v>
      </c>
      <c r="G1508" s="176">
        <v>12000</v>
      </c>
      <c r="I1508" s="88">
        <f t="shared" si="179"/>
        <v>12000</v>
      </c>
    </row>
    <row r="1509" spans="2:9" ht="15" customHeight="1">
      <c r="B1509" s="198">
        <v>5</v>
      </c>
      <c r="C1509" s="199" t="s">
        <v>1441</v>
      </c>
      <c r="D1509" s="213" t="s">
        <v>49</v>
      </c>
      <c r="E1509" s="214" t="s">
        <v>14</v>
      </c>
      <c r="F1509" s="176">
        <v>12000</v>
      </c>
      <c r="G1509" s="176">
        <v>12000</v>
      </c>
      <c r="I1509" s="88">
        <f t="shared" si="179"/>
        <v>12000</v>
      </c>
    </row>
    <row r="1510" spans="2:9" ht="15" customHeight="1">
      <c r="B1510" s="198">
        <v>6</v>
      </c>
      <c r="C1510" s="199" t="s">
        <v>1442</v>
      </c>
      <c r="D1510" s="213" t="s">
        <v>49</v>
      </c>
      <c r="E1510" s="214" t="s">
        <v>14</v>
      </c>
      <c r="F1510" s="176">
        <v>12000</v>
      </c>
      <c r="G1510" s="176">
        <v>12000</v>
      </c>
      <c r="I1510" s="88">
        <f t="shared" si="179"/>
        <v>12000</v>
      </c>
    </row>
    <row r="1511" spans="2:9" ht="15" customHeight="1">
      <c r="I1511" s="88">
        <f t="shared" si="17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56" priority="9" operator="equal">
      <formula>0</formula>
    </cfRule>
  </conditionalFormatting>
  <conditionalFormatting sqref="B189 D189:G189">
    <cfRule type="cellIs" dxfId="55" priority="50" operator="equal">
      <formula>0</formula>
    </cfRule>
  </conditionalFormatting>
  <conditionalFormatting sqref="B216 D216:G216">
    <cfRule type="cellIs" dxfId="54" priority="59" operator="equal">
      <formula>0</formula>
    </cfRule>
  </conditionalFormatting>
  <conditionalFormatting sqref="B8:C135">
    <cfRule type="cellIs" dxfId="53" priority="116" operator="equal">
      <formula>0</formula>
    </cfRule>
  </conditionalFormatting>
  <conditionalFormatting sqref="B1045:C1065">
    <cfRule type="cellIs" dxfId="52" priority="17" operator="equal">
      <formula>0</formula>
    </cfRule>
  </conditionalFormatting>
  <conditionalFormatting sqref="B1066:E1510">
    <cfRule type="cellIs" dxfId="51" priority="3" operator="equal">
      <formula>0</formula>
    </cfRule>
  </conditionalFormatting>
  <conditionalFormatting sqref="B217:G231">
    <cfRule type="cellIs" dxfId="50" priority="56" operator="equal">
      <formula>0</formula>
    </cfRule>
  </conditionalFormatting>
  <conditionalFormatting sqref="B233:G1044">
    <cfRule type="cellIs" dxfId="49" priority="10" operator="equal">
      <formula>0</formula>
    </cfRule>
  </conditionalFormatting>
  <conditionalFormatting sqref="C143:G149">
    <cfRule type="cellIs" dxfId="48" priority="70" operator="equal">
      <formula>0</formula>
    </cfRule>
  </conditionalFormatting>
  <conditionalFormatting sqref="D1049:E1065">
    <cfRule type="cellIs" dxfId="47" priority="20" operator="equal">
      <formula>0</formula>
    </cfRule>
  </conditionalFormatting>
  <conditionalFormatting sqref="D1045:F1048">
    <cfRule type="cellIs" dxfId="46" priority="29" operator="equal">
      <formula>0</formula>
    </cfRule>
  </conditionalFormatting>
  <conditionalFormatting sqref="D9:G142">
    <cfRule type="cellIs" dxfId="45" priority="76" operator="equal">
      <formula>0</formula>
    </cfRule>
  </conditionalFormatting>
  <conditionalFormatting sqref="D1:IV5 A1:C7 D6:K6 H1459:IV1474 H1475:XFD1502 H1503:H1510 I1503:XFD1511 A1511:H1511 A1512:XFD65553">
    <cfRule type="cellIs" dxfId="44" priority="228" operator="equal">
      <formula>0</formula>
    </cfRule>
  </conditionalFormatting>
  <conditionalFormatting sqref="D7:IV8 C136:C142 B136:B149 B150:G188 B190:G215 B232 D232:G232">
    <cfRule type="cellIs" dxfId="43" priority="127" operator="equal">
      <formula>0</formula>
    </cfRule>
  </conditionalFormatting>
  <conditionalFormatting sqref="F1049:F1510">
    <cfRule type="cellIs" dxfId="42" priority="2" operator="equal">
      <formula>0</formula>
    </cfRule>
  </conditionalFormatting>
  <conditionalFormatting sqref="G1045:G1510">
    <cfRule type="cellIs" dxfId="41" priority="1" operator="equal">
      <formula>0</formula>
    </cfRule>
  </conditionalFormatting>
  <conditionalFormatting sqref="H9:H1433">
    <cfRule type="cellIs" dxfId="40" priority="11" operator="equal">
      <formula>0</formula>
    </cfRule>
  </conditionalFormatting>
  <conditionalFormatting sqref="H1434:I1458">
    <cfRule type="cellIs" dxfId="39" priority="5" operator="equal">
      <formula>0</formula>
    </cfRule>
  </conditionalFormatting>
  <conditionalFormatting sqref="I1053:I1433">
    <cfRule type="cellIs" dxfId="38" priority="190" operator="equal">
      <formula>0</formula>
    </cfRule>
  </conditionalFormatting>
  <conditionalFormatting sqref="I9:IV1052">
    <cfRule type="cellIs" dxfId="37" priority="12" operator="equal">
      <formula>0</formula>
    </cfRule>
  </conditionalFormatting>
  <conditionalFormatting sqref="M6:IV6">
    <cfRule type="cellIs" dxfId="36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1013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0" t="s">
        <v>1138</v>
      </c>
      <c r="C4" s="540"/>
      <c r="D4" s="540"/>
      <c r="E4" s="540"/>
      <c r="F4" s="540"/>
      <c r="G4" s="540"/>
      <c r="H4" s="54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1" t="s">
        <v>0</v>
      </c>
      <c r="C7" s="541" t="s">
        <v>1</v>
      </c>
      <c r="D7" s="542" t="s">
        <v>44</v>
      </c>
      <c r="E7" s="542" t="s">
        <v>45</v>
      </c>
      <c r="F7" s="542" t="s">
        <v>1139</v>
      </c>
      <c r="G7" s="543" t="s">
        <v>43</v>
      </c>
      <c r="H7" s="539" t="s">
        <v>1046</v>
      </c>
      <c r="I7" s="539" t="s">
        <v>1141</v>
      </c>
      <c r="J7" s="539" t="s">
        <v>1030</v>
      </c>
      <c r="K7" s="533" t="s">
        <v>1028</v>
      </c>
      <c r="L7" s="534"/>
    </row>
    <row r="8" spans="1:12" ht="15" customHeight="1">
      <c r="B8" s="541"/>
      <c r="C8" s="541"/>
      <c r="D8" s="542"/>
      <c r="E8" s="542"/>
      <c r="F8" s="542"/>
      <c r="G8" s="543"/>
      <c r="H8" s="539"/>
      <c r="I8" s="539"/>
      <c r="J8" s="539"/>
      <c r="K8" s="535"/>
      <c r="L8" s="536"/>
    </row>
    <row r="9" spans="1:12" ht="15" customHeight="1">
      <c r="B9" s="541"/>
      <c r="C9" s="541"/>
      <c r="D9" s="542"/>
      <c r="E9" s="542"/>
      <c r="F9" s="542"/>
      <c r="G9" s="543"/>
      <c r="H9" s="539"/>
      <c r="I9" s="539"/>
      <c r="J9" s="539"/>
      <c r="K9" s="537"/>
      <c r="L9" s="53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1039</v>
      </c>
      <c r="C11" s="131" t="s">
        <v>1140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77</v>
      </c>
      <c r="G12" s="41">
        <f ca="1">IF(ISERROR(OFFSET('HARGA SATUAN'!$I$6,MATCH(C12,'HARGA SATUAN'!$C$7:$C$1509,0),0)),"",OFFSET('HARGA SATUAN'!$I$6,MATCH(C12,'HARGA SATUAN'!$C$7:$C$1509,0),0))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77</v>
      </c>
      <c r="G13" s="41">
        <f ca="1">IF(ISERROR(OFFSET('HARGA SATUAN'!$I$6,MATCH(C13,'HARGA SATUAN'!$C$7:$C$1509,0),0)),"",OFFSET('HARGA SATUAN'!$I$6,MATCH(C13,'HARGA SATUAN'!$C$7:$C$1509,0),0))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Tarik ( Suspension Polymer ) 20 KV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Set</v>
      </c>
      <c r="F15" s="138">
        <f t="shared" ca="1" si="2"/>
        <v>1</v>
      </c>
      <c r="G15" s="41">
        <f ca="1">IF(ISERROR(OFFSET('HARGA SATUAN'!$I$6,MATCH(C15,'HARGA SATUAN'!$C$7:$C$1509,0),0)),"",OFFSET('HARGA SATUAN'!$I$6,MATCH(C15,'HARGA SATUAN'!$C$7:$C$1509,0),0))</f>
        <v>205700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Mtr</v>
      </c>
      <c r="F16" s="138">
        <f t="shared" ca="1" si="2"/>
        <v>82</v>
      </c>
      <c r="G16" s="41">
        <f ca="1">IF(ISERROR(OFFSET('HARGA SATUAN'!$I$6,MATCH(C16,'HARGA SATUAN'!$C$7:$C$1509,0),0)),"",OFFSET('HARGA SATUAN'!$I$6,MATCH(C16,'HARGA SATUAN'!$C$7:$C$1509,0),0))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Mtr</v>
      </c>
      <c r="F17" s="138">
        <f t="shared" ca="1" si="2"/>
        <v>122</v>
      </c>
      <c r="G17" s="41">
        <f ca="1">IF(ISERROR(OFFSET('HARGA SATUAN'!$I$6,MATCH(C17,'HARGA SATUAN'!$C$7:$C$1509,0),0)),"",OFFSET('HARGA SATUAN'!$I$6,MATCH(C17,'HARGA SATUAN'!$C$7:$C$1509,0),0))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10 mm²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Mtr</v>
      </c>
      <c r="F18" s="138">
        <f t="shared" ca="1" si="2"/>
        <v>1155</v>
      </c>
      <c r="G18" s="41">
        <f ca="1">IF(ISERROR(OFFSET('HARGA SATUAN'!$I$6,MATCH(C18,'HARGA SATUAN'!$C$7:$C$1509,0),0)),"",OFFSET('HARGA SATUAN'!$I$6,MATCH(C18,'HARGA SATUAN'!$C$7:$C$1509,0),0))</f>
        <v>4300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38" t="str">
        <f t="shared" ca="1" si="2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38" t="str">
        <f t="shared" ca="1" si="2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SUMIFS(RAB!$F$14:$F$151,RAB!$C$14:$C$151,C714)</f>
        <v>77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SUMIFS(RAB!$F$14:$F$151,RAB!$C$14:$C$151,C715)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SUMIFS(RAB!$F$14:$F$151,RAB!$C$14:$C$151,C716)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SUMIFS(RAB!$F$14:$F$151,RAB!$C$14:$C$151,C717)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SUMIFS(RAB!$F$14:$F$151,RAB!$C$14:$C$151,C718)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SUMIFS(RAB!$F$14:$F$151,RAB!$C$14:$C$151,C719)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SUMIFS(RAB!$F$14:$F$151,RAB!$C$14:$C$151,C720)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SUMIFS(RAB!$F$14:$F$151,RAB!$C$14:$C$151,C721)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SUMIFS(RAB!$F$14:$F$151,RAB!$C$14:$C$151,C722)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SUMIFS(RAB!$F$14:$F$151,RAB!$C$14:$C$151,C723)</f>
        <v>77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SUMIFS(RAB!$F$14:$F$151,RAB!$C$14:$C$151,C724)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SUMIFS(RAB!$F$14:$F$151,RAB!$C$14:$C$151,C725)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SUMIFS(RAB!$F$14:$F$151,RAB!$C$14:$C$151,C726)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SUMIFS(RAB!$F$14:$F$151,RAB!$C$14:$C$151,C727)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SUMIFS(RAB!$F$14:$F$151,RAB!$C$14:$C$151,C728)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SUMIFS(RAB!$F$14:$F$151,RAB!$C$14:$C$151,C729)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SUMIFS(RAB!$F$14:$F$151,RAB!$C$14:$C$151,C730)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SUMIFS(RAB!$F$14:$F$151,RAB!$C$14:$C$151,C731)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SUMIFS(RAB!$F$14:$F$151,RAB!$C$14:$C$151,C732)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SUMIFS(RAB!$F$14:$F$151,RAB!$C$14:$C$151,C733)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SUMIFS(RAB!$F$14:$F$151,RAB!$C$14:$C$151,C734)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SUMIFS(RAB!$F$14:$F$151,RAB!$C$14:$C$151,C735)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SUMIFS(RAB!$F$14:$F$151,RAB!$C$14:$C$151,C736)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SUMIFS(RAB!$F$14:$F$151,RAB!$C$14:$C$151,C737)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SUMIFS(RAB!$F$14:$F$151,RAB!$C$14:$C$151,C738)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SUMIFS(RAB!$F$14:$F$151,RAB!$C$14:$C$151,C739)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SUMIFS(RAB!$F$14:$F$151,RAB!$C$14:$C$151,C740)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SUMIFS(RAB!$F$14:$F$151,RAB!$C$14:$C$151,C741)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SUMIFS(RAB!$F$14:$F$151,RAB!$C$14:$C$151,C742)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SUMIFS(RAB!$F$14:$F$151,RAB!$C$14:$C$151,C743)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SUMIFS(RAB!$F$14:$F$151,RAB!$C$14:$C$151,C744)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SUMIFS(RAB!$F$14:$F$151,RAB!$C$14:$C$151,C745)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SUMIFS(RAB!$F$14:$F$151,RAB!$C$14:$C$151,C746)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SUMIFS(RAB!$F$14:$F$151,RAB!$C$14:$C$151,C747)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SUMIFS(RAB!$F$14:$F$151,RAB!$C$14:$C$151,C748)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SUMIFS(RAB!$F$14:$F$151,RAB!$C$14:$C$151,C749)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SUMIFS(RAB!$F$14:$F$151,RAB!$C$14:$C$151,C750)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SUMIFS(RAB!$F$14:$F$151,RAB!$C$14:$C$151,C751)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SUMIFS(RAB!$F$14:$F$151,RAB!$C$14:$C$151,C752)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SUMIFS(RAB!$F$14:$F$151,RAB!$C$14:$C$151,C753)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SUMIFS(RAB!$F$14:$F$151,RAB!$C$14:$C$151,C754)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SUMIFS(RAB!$F$14:$F$151,RAB!$C$14:$C$151,C755)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SUMIFS(RAB!$F$14:$F$151,RAB!$C$14:$C$151,C756)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SUMIFS(RAB!$F$14:$F$151,RAB!$C$14:$C$151,C757)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SUMIFS(RAB!$F$14:$F$151,RAB!$C$14:$C$151,C758)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SUMIFS(RAB!$F$14:$F$151,RAB!$C$14:$C$151,C759)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SUMIFS(RAB!$F$14:$F$151,RAB!$C$14:$C$151,C760)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SUMIFS(RAB!$F$14:$F$151,RAB!$C$14:$C$151,C761)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SUMIFS(RAB!$F$14:$F$151,RAB!$C$14:$C$151,C762)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SUMIFS(RAB!$F$14:$F$151,RAB!$C$14:$C$151,C763)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SUMIFS(RAB!$F$14:$F$151,RAB!$C$14:$C$151,C764)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SUMIFS(RAB!$F$14:$F$151,RAB!$C$14:$C$151,C765)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SUMIFS(RAB!$F$14:$F$151,RAB!$C$14:$C$151,C766)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SUMIFS(RAB!$F$14:$F$151,RAB!$C$14:$C$151,C767)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SUMIFS(RAB!$F$14:$F$151,RAB!$C$14:$C$151,C768)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SUMIFS(RAB!$F$14:$F$151,RAB!$C$14:$C$151,C769)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SUMIFS(RAB!$F$14:$F$151,RAB!$C$14:$C$151,C770)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SUMIFS(RAB!$F$14:$F$151,RAB!$C$14:$C$151,C771)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SUMIFS(RAB!$F$14:$F$151,RAB!$C$14:$C$151,C772)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SUMIFS(RAB!$F$14:$F$151,RAB!$C$14:$C$151,C773)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SUMIFS(RAB!$F$14:$F$151,RAB!$C$14:$C$151,C774)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SUMIFS(RAB!$F$14:$F$151,RAB!$C$14:$C$151,C775)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SUMIFS(RAB!$F$14:$F$151,RAB!$C$14:$C$151,C776)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SUMIFS(RAB!$F$14:$F$151,RAB!$C$14:$C$151,C777)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SUMIFS(RAB!$F$14:$F$151,RAB!$C$14:$C$151,C778)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SUMIFS(RAB!$F$14:$F$151,RAB!$C$14:$C$151,C779)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SUMIFS(RAB!$F$14:$F$151,RAB!$C$14:$C$151,C780)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SUMIFS(RAB!$F$14:$F$151,RAB!$C$14:$C$151,C781)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SUMIFS(RAB!$F$14:$F$151,RAB!$C$14:$C$151,C782)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SUMIFS(RAB!$F$14:$F$151,RAB!$C$14:$C$151,C783)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SUMIFS(RAB!$F$14:$F$151,RAB!$C$14:$C$151,C784)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SUMIFS(RAB!$F$14:$F$151,RAB!$C$14:$C$151,C785)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SUMIFS(RAB!$F$14:$F$151,RAB!$C$14:$C$151,C786)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SUMIFS(RAB!$F$14:$F$151,RAB!$C$14:$C$151,C787)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SUMIFS(RAB!$F$14:$F$151,RAB!$C$14:$C$151,C788)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SUMIFS(RAB!$F$14:$F$151,RAB!$C$14:$C$151,C789)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SUMIFS(RAB!$F$14:$F$151,RAB!$C$14:$C$151,C790)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SUMIFS(RAB!$F$14:$F$151,RAB!$C$14:$C$151,C791)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SUMIFS(RAB!$F$14:$F$151,RAB!$C$14:$C$151,C792)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SUMIFS(RAB!$F$14:$F$151,RAB!$C$14:$C$151,C793)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SUMIFS(RAB!$F$14:$F$151,RAB!$C$14:$C$151,C794)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SUMIFS(RAB!$F$14:$F$151,RAB!$C$14:$C$151,C795)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SUMIFS(RAB!$F$14:$F$151,RAB!$C$14:$C$151,C796)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SUMIFS(RAB!$F$14:$F$151,RAB!$C$14:$C$151,C797)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SUMIFS(RAB!$F$14:$F$151,RAB!$C$14:$C$151,C798)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SUMIFS(RAB!$F$14:$F$151,RAB!$C$14:$C$151,C799)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SUMIFS(RAB!$F$14:$F$151,RAB!$C$14:$C$151,C800)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SUMIFS(RAB!$F$14:$F$151,RAB!$C$14:$C$151,C801)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SUMIFS(RAB!$F$14:$F$151,RAB!$C$14:$C$151,C802)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SUMIFS(RAB!$F$14:$F$151,RAB!$C$14:$C$151,C803)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SUMIFS(RAB!$F$14:$F$151,RAB!$C$14:$C$151,C804)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SUMIFS(RAB!$F$14:$F$151,RAB!$C$14:$C$151,C805)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SUMIFS(RAB!$F$14:$F$151,RAB!$C$14:$C$151,C806)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SUMIFS(RAB!$F$14:$F$151,RAB!$C$14:$C$151,C807)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SUMIFS(RAB!$F$14:$F$151,RAB!$C$14:$C$151,C808)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SUMIFS(RAB!$F$14:$F$151,RAB!$C$14:$C$151,C809)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SUMIFS(RAB!$F$14:$F$151,RAB!$C$14:$C$151,C810)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SUMIFS(RAB!$F$14:$F$151,RAB!$C$14:$C$151,C811)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SUMIFS(RAB!$F$14:$F$151,RAB!$C$14:$C$151,C812)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SUMIFS(RAB!$F$14:$F$151,RAB!$C$14:$C$151,C813)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SUMIFS(RAB!$F$14:$F$151,RAB!$C$14:$C$151,C814)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SUMIFS(RAB!$F$14:$F$151,RAB!$C$14:$C$151,C815)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SUMIFS(RAB!$F$14:$F$151,RAB!$C$14:$C$151,C816)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SUMIFS(RAB!$F$14:$F$151,RAB!$C$14:$C$151,C817)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SUMIFS(RAB!$F$14:$F$151,RAB!$C$14:$C$151,C818)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SUMIFS(RAB!$F$14:$F$151,RAB!$C$14:$C$151,C819)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SUMIFS(RAB!$F$14:$F$151,RAB!$C$14:$C$151,C820)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SUMIFS(RAB!$F$14:$F$151,RAB!$C$14:$C$151,C821)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SUMIFS(RAB!$F$14:$F$151,RAB!$C$14:$C$151,C822)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SUMIFS(RAB!$F$14:$F$151,RAB!$C$14:$C$151,C823)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SUMIFS(RAB!$F$14:$F$151,RAB!$C$14:$C$151,C824)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SUMIFS(RAB!$F$14:$F$151,RAB!$C$14:$C$151,C825)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SUMIFS(RAB!$F$14:$F$151,RAB!$C$14:$C$151,C826)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SUMIFS(RAB!$F$14:$F$151,RAB!$C$14:$C$151,C827)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SUMIFS(RAB!$F$14:$F$151,RAB!$C$14:$C$151,C828)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SUMIFS(RAB!$F$14:$F$151,RAB!$C$14:$C$151,C829)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SUMIFS(RAB!$F$14:$F$151,RAB!$C$14:$C$151,C830)</f>
        <v>1</v>
      </c>
      <c r="E830" s="26">
        <f t="shared" ca="1" si="34"/>
        <v>1</v>
      </c>
      <c r="F830" s="26">
        <f ca="1">IF(D830=0,0,SUM($E$713:E830))</f>
        <v>4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SUMIFS(RAB!$F$14:$F$151,RAB!$C$14:$C$151,C831)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SUMIFS(RAB!$F$14:$F$151,RAB!$C$14:$C$151,C832)</f>
        <v>82</v>
      </c>
      <c r="E832" s="26">
        <f t="shared" ca="1" si="34"/>
        <v>1</v>
      </c>
      <c r="F832" s="26">
        <f ca="1">IF(D832=0,0,SUM($E$713:E832))</f>
        <v>5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SUMIFS(RAB!$F$14:$F$151,RAB!$C$14:$C$151,C833)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SUMIFS(RAB!$F$14:$F$151,RAB!$C$14:$C$151,C834)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SUMIFS(RAB!$F$14:$F$151,RAB!$C$14:$C$151,C835)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SUMIFS(RAB!$F$14:$F$151,RAB!$C$14:$C$151,C836)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SUMIFS(RAB!$F$14:$F$151,RAB!$C$14:$C$151,C837)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SUMIFS(RAB!$F$14:$F$151,RAB!$C$14:$C$151,C838)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SUMIFS(RAB!$F$14:$F$151,RAB!$C$14:$C$151,C839)</f>
        <v>122</v>
      </c>
      <c r="E839" s="26">
        <f t="shared" ca="1" si="34"/>
        <v>1</v>
      </c>
      <c r="F839" s="26">
        <f ca="1">IF(D839=0,0,SUM($E$713:E839))</f>
        <v>6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SUMIFS(RAB!$F$14:$F$151,RAB!$C$14:$C$151,C840)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SUMIFS(RAB!$F$14:$F$151,RAB!$C$14:$C$151,C841)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SUMIFS(RAB!$F$14:$F$151,RAB!$C$14:$C$151,C842)</f>
        <v>1155</v>
      </c>
      <c r="E842" s="26">
        <f t="shared" ca="1" si="34"/>
        <v>1</v>
      </c>
      <c r="F842" s="26">
        <f ca="1">IF(D842=0,0,SUM($E$713:E842))</f>
        <v>7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SUMIFS(RAB!$F$14:$F$151,RAB!$C$14:$C$151,C843)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SUMIFS(RAB!$F$14:$F$151,RAB!$C$14:$C$151,C844)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SUMIFS(RAB!$F$14:$F$151,RAB!$C$14:$C$151,C845)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SUMIFS(RAB!$F$14:$F$151,RAB!$C$14:$C$151,C846)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SUMIFS(RAB!$F$14:$F$151,RAB!$C$14:$C$151,C847)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SUMIFS(RAB!$F$14:$F$151,RAB!$C$14:$C$151,C848)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SUMIFS(RAB!$F$14:$F$151,RAB!$C$14:$C$151,C849)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SUMIFS(RAB!$F$14:$F$151,RAB!$C$14:$C$151,C850)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SUMIFS(RAB!$F$14:$F$151,RAB!$C$14:$C$151,C851)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SUMIFS(RAB!$F$14:$F$151,RAB!$C$14:$C$151,C852)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SUMIFS(RAB!$F$14:$F$151,RAB!$C$14:$C$151,C853)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SUMIFS(RAB!$F$14:$F$151,RAB!$C$14:$C$151,C854)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SUMIFS(RAB!$F$14:$F$151,RAB!$C$14:$C$151,C855)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SUMIFS(RAB!$F$14:$F$151,RAB!$C$14:$C$151,C856)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SUMIFS(RAB!$F$14:$F$151,RAB!$C$14:$C$151,C857)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SUMIFS(RAB!$F$14:$F$151,RAB!$C$14:$C$151,C858)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SUMIFS(RAB!$F$14:$F$151,RAB!$C$14:$C$151,C859)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SUMIFS(RAB!$F$14:$F$151,RAB!$C$14:$C$151,C860)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SUMIFS(RAB!$F$14:$F$151,RAB!$C$14:$C$151,C861)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SUMIFS(RAB!$F$14:$F$151,RAB!$C$14:$C$151,C862)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SUMIFS(RAB!$F$14:$F$151,RAB!$C$14:$C$151,C863)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SUMIFS(RAB!$F$14:$F$151,RAB!$C$14:$C$151,C864)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SUMIFS(RAB!$F$14:$F$151,RAB!$C$14:$C$151,C865)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SUMIFS(RAB!$F$14:$F$151,RAB!$C$14:$C$151,C866)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SUMIFS(RAB!$F$14:$F$151,RAB!$C$14:$C$151,C867)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SUMIFS(RAB!$F$14:$F$151,RAB!$C$14:$C$151,C868)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SUMIFS(RAB!$F$14:$F$151,RAB!$C$14:$C$151,C869)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SUMIFS(RAB!$F$14:$F$151,RAB!$C$14:$C$151,C870)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SUMIFS(RAB!$F$14:$F$151,RAB!$C$14:$C$151,C871)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SUMIFS(RAB!$F$14:$F$151,RAB!$C$14:$C$151,C872)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SUMIFS(RAB!$F$14:$F$151,RAB!$C$14:$C$151,C873)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SUMIFS(RAB!$F$14:$F$151,RAB!$C$14:$C$151,C874)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SUMIFS(RAB!$F$14:$F$151,RAB!$C$14:$C$151,C875)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SUMIFS(RAB!$F$14:$F$151,RAB!$C$14:$C$151,C876)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SUMIFS(RAB!$F$14:$F$151,RAB!$C$14:$C$151,C877)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SUMIFS(RAB!$F$14:$F$151,RAB!$C$14:$C$151,C878)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SUMIFS(RAB!$F$14:$F$151,RAB!$C$14:$C$151,C879)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SUMIFS(RAB!$F$14:$F$151,RAB!$C$14:$C$151,C880)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SUMIFS(RAB!$F$14:$F$151,RAB!$C$14:$C$151,C881)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SUMIFS(RAB!$F$14:$F$151,RAB!$C$14:$C$151,C882)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SUMIFS(RAB!$F$14:$F$151,RAB!$C$14:$C$151,C883)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SUMIFS(RAB!$F$14:$F$151,RAB!$C$14:$C$151,C884)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SUMIFS(RAB!$F$14:$F$151,RAB!$C$14:$C$151,C885)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SUMIFS(RAB!$F$14:$F$151,RAB!$C$14:$C$151,C886)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SUMIFS(RAB!$F$14:$F$151,RAB!$C$14:$C$151,C887)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SUMIFS(RAB!$F$14:$F$151,RAB!$C$14:$C$151,C888)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SUMIFS(RAB!$F$14:$F$151,RAB!$C$14:$C$151,C889)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SUMIFS(RAB!$F$14:$F$151,RAB!$C$14:$C$151,C890)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SUMIFS(RAB!$F$14:$F$151,RAB!$C$14:$C$151,C891)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SUMIFS(RAB!$F$14:$F$151,RAB!$C$14:$C$151,C892)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SUMIFS(RAB!$F$14:$F$151,RAB!$C$14:$C$151,C893)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SUMIFS(RAB!$F$14:$F$151,RAB!$C$14:$C$151,C894)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SUMIFS(RAB!$F$14:$F$151,RAB!$C$14:$C$151,C895)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SUMIFS(RAB!$F$14:$F$151,RAB!$C$14:$C$151,C896)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SUMIFS(RAB!$F$14:$F$151,RAB!$C$14:$C$151,C897)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SUMIFS(RAB!$F$14:$F$151,RAB!$C$14:$C$151,C898)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SUMIFS(RAB!$F$14:$F$151,RAB!$C$14:$C$151,C899)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SUMIFS(RAB!$F$14:$F$151,RAB!$C$14:$C$151,C900)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SUMIFS(RAB!$F$14:$F$151,RAB!$C$14:$C$151,C901)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SUMIFS(RAB!$F$14:$F$151,RAB!$C$14:$C$151,C902)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SUMIFS(RAB!$F$14:$F$151,RAB!$C$14:$C$151,C903)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SUMIFS(RAB!$F$14:$F$151,RAB!$C$14:$C$151,C904)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SUMIFS(RAB!$F$14:$F$151,RAB!$C$14:$C$151,C905)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SUMIFS(RAB!$F$14:$F$151,RAB!$C$14:$C$151,C906)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SUMIFS(RAB!$F$14:$F$151,RAB!$C$14:$C$151,C907)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SUMIFS(RAB!$F$14:$F$151,RAB!$C$14:$C$151,C908)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SUMIFS(RAB!$F$14:$F$151,RAB!$C$14:$C$151,C909)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SUMIFS(RAB!$F$14:$F$151,RAB!$C$14:$C$151,C910)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SUMIFS(RAB!$F$14:$F$151,RAB!$C$14:$C$151,C911)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SUMIFS(RAB!$F$14:$F$151,RAB!$C$14:$C$151,C912)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SUMIFS(RAB!$F$14:$F$151,RAB!$C$14:$C$151,C913)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SUMIFS(RAB!$F$14:$F$151,RAB!$C$14:$C$151,C914)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SUMIFS(RAB!$F$14:$F$151,RAB!$C$14:$C$151,C915)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SUMIFS(RAB!$F$14:$F$151,RAB!$C$14:$C$151,C916)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SUMIFS(RAB!$F$14:$F$151,RAB!$C$14:$C$151,C917)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SUMIFS(RAB!$F$14:$F$151,RAB!$C$14:$C$151,C918)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SUMIFS(RAB!$F$14:$F$151,RAB!$C$14:$C$151,C919)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SUMIFS(RAB!$F$14:$F$151,RAB!$C$14:$C$151,C920)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SUMIFS(RAB!$F$14:$F$151,RAB!$C$14:$C$151,C921)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SUMIFS(RAB!$F$14:$F$151,RAB!$C$14:$C$151,C922)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SUMIFS(RAB!$F$14:$F$151,RAB!$C$14:$C$151,C923)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SUMIFS(RAB!$F$14:$F$151,RAB!$C$14:$C$151,C924)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SUMIFS(RAB!$F$14:$F$151,RAB!$C$14:$C$151,C925)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SUMIFS(RAB!$F$14:$F$151,RAB!$C$14:$C$151,C926)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SUMIFS(RAB!$F$14:$F$151,RAB!$C$14:$C$151,C927)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SUMIFS(RAB!$F$14:$F$151,RAB!$C$14:$C$151,C928)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SUMIFS(RAB!$F$14:$F$151,RAB!$C$14:$C$151,C929)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SUMIFS(RAB!$F$14:$F$151,RAB!$C$14:$C$151,C930)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SUMIFS(RAB!$F$14:$F$151,RAB!$C$14:$C$151,C931)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SUMIFS(RAB!$F$14:$F$151,RAB!$C$14:$C$151,C932)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SUMIFS(RAB!$F$14:$F$151,RAB!$C$14:$C$151,C933)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SUMIFS(RAB!$F$14:$F$151,RAB!$C$14:$C$151,C934)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SUMIFS(RAB!$F$14:$F$151,RAB!$C$14:$C$151,C935)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SUMIFS(RAB!$F$14:$F$151,RAB!$C$14:$C$151,C936)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SUMIFS(RAB!$F$14:$F$151,RAB!$C$14:$C$151,C937)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SUMIFS(RAB!$F$14:$F$151,RAB!$C$14:$C$151,C938)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SUMIFS(RAB!$F$14:$F$151,RAB!$C$14:$C$151,C939)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SUMIFS(RAB!$F$14:$F$151,RAB!$C$14:$C$151,C940)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SUMIFS(RAB!$F$14:$F$151,RAB!$C$14:$C$151,C941)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SUMIFS(RAB!$F$14:$F$151,RAB!$C$14:$C$151,C942)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SUMIFS(RAB!$F$14:$F$151,RAB!$C$14:$C$151,C943)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SUMIFS(RAB!$F$14:$F$151,RAB!$C$14:$C$151,C944)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SUMIFS(RAB!$F$14:$F$151,RAB!$C$14:$C$151,C945)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SUMIFS(RAB!$F$14:$F$151,RAB!$C$14:$C$151,C946)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SUMIFS(RAB!$F$14:$F$151,RAB!$C$14:$C$151,C947)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SUMIFS(RAB!$F$14:$F$151,RAB!$C$14:$C$151,C948)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SUMIFS(RAB!$F$14:$F$151,RAB!$C$14:$C$151,C949)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SUMIFS(RAB!$F$14:$F$151,RAB!$C$14:$C$151,C950)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SUMIFS(RAB!$F$14:$F$151,RAB!$C$14:$C$151,C951)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SUMIFS(RAB!$F$14:$F$151,RAB!$C$14:$C$151,C952)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SUMIFS(RAB!$F$14:$F$151,RAB!$C$14:$C$151,C953)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SUMIFS(RAB!$F$14:$F$151,RAB!$C$14:$C$151,C954)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SUMIFS(RAB!$F$14:$F$151,RAB!$C$14:$C$151,C955)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SUMIFS(RAB!$F$14:$F$151,RAB!$C$14:$C$151,C956)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SUMIFS(RAB!$F$14:$F$151,RAB!$C$14:$C$151,C957)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SUMIFS(RAB!$F$14:$F$151,RAB!$C$14:$C$151,C958)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SUMIFS(RAB!$F$14:$F$151,RAB!$C$14:$C$151,C959)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SUMIFS(RAB!$F$14:$F$151,RAB!$C$14:$C$151,C960)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SUMIFS(RAB!$F$14:$F$151,RAB!$C$14:$C$151,C961)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SUMIFS(RAB!$F$14:$F$151,RAB!$C$14:$C$151,C962)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SUMIFS(RAB!$F$14:$F$151,RAB!$C$14:$C$151,C963)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SUMIFS(RAB!$F$14:$F$151,RAB!$C$14:$C$151,C964)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SUMIFS(RAB!$F$14:$F$151,RAB!$C$14:$C$151,C965)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SUMIFS(RAB!$F$14:$F$151,RAB!$C$14:$C$151,C966)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SUMIFS(RAB!$F$14:$F$151,RAB!$C$14:$C$151,C967)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SUMIFS(RAB!$F$14:$F$151,RAB!$C$14:$C$151,C968)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SUMIFS(RAB!$F$14:$F$151,RAB!$C$14:$C$151,C969)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SUMIFS(RAB!$F$14:$F$151,RAB!$C$14:$C$151,C970)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SUMIFS(RAB!$F$14:$F$151,RAB!$C$14:$C$151,C971)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SUMIFS(RAB!$F$14:$F$151,RAB!$C$14:$C$151,C972)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SUMIFS(RAB!$F$14:$F$151,RAB!$C$14:$C$151,C973)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SUMIFS(RAB!$F$14:$F$151,RAB!$C$14:$C$151,C974)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SUMIFS(RAB!$F$14:$F$151,RAB!$C$14:$C$151,C975)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SUMIFS(RAB!$F$14:$F$151,RAB!$C$14:$C$151,C976)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SUMIFS(RAB!$F$14:$F$151,RAB!$C$14:$C$151,C977)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SUMIFS(RAB!$F$14:$F$151,RAB!$C$14:$C$151,C978)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SUMIFS(RAB!$F$14:$F$151,RAB!$C$14:$C$151,C979)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SUMIFS(RAB!$F$14:$F$151,RAB!$C$14:$C$151,C980)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SUMIFS(RAB!$F$14:$F$151,RAB!$C$14:$C$151,C981)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SUMIFS(RAB!$F$14:$F$151,RAB!$C$14:$C$151,C982)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SUMIFS(RAB!$F$14:$F$151,RAB!$C$14:$C$151,C983)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SUMIFS(RAB!$F$14:$F$151,RAB!$C$14:$C$151,C984)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SUMIFS(RAB!$F$14:$F$151,RAB!$C$14:$C$151,C985)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SUMIFS(RAB!$F$14:$F$151,RAB!$C$14:$C$151,C986)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SUMIFS(RAB!$F$14:$F$151,RAB!$C$14:$C$151,C987)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SUMIFS(RAB!$F$14:$F$151,RAB!$C$14:$C$151,C988)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SUMIFS(RAB!$F$14:$F$151,RAB!$C$14:$C$151,C989)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SUMIFS(RAB!$F$14:$F$151,RAB!$C$14:$C$151,C990)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SUMIFS(RAB!$F$14:$F$151,RAB!$C$14:$C$151,C991)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SUMIFS(RAB!$F$14:$F$151,RAB!$C$14:$C$151,C992)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SUMIFS(RAB!$F$14:$F$151,RAB!$C$14:$C$151,C993)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SUMIFS(RAB!$F$14:$F$151,RAB!$C$14:$C$151,C994)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SUMIFS(RAB!$F$14:$F$151,RAB!$C$14:$C$151,C995)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SUMIFS(RAB!$F$14:$F$151,RAB!$C$14:$C$151,C996)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SUMIFS(RAB!$F$14:$F$151,RAB!$C$14:$C$151,C997)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SUMIFS(RAB!$F$14:$F$151,RAB!$C$14:$C$151,C998)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SUMIFS(RAB!$F$14:$F$151,RAB!$C$14:$C$151,C999)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SUMIFS(RAB!$F$14:$F$151,RAB!$C$14:$C$151,C1000)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SUMIFS(RAB!$F$14:$F$151,RAB!$C$14:$C$151,C1001)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SUMIFS(RAB!$F$14:$F$151,RAB!$C$14:$C$151,C1002)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SUMIFS(RAB!$F$14:$F$151,RAB!$C$14:$C$151,C1003)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SUMIFS(RAB!$F$14:$F$151,RAB!$C$14:$C$151,C1004)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SUMIFS(RAB!$F$14:$F$151,RAB!$C$14:$C$151,C1005)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SUMIFS(RAB!$F$14:$F$151,RAB!$C$14:$C$151,C1006)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SUMIFS(RAB!$F$14:$F$151,RAB!$C$14:$C$151,C1007)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SUMIFS(RAB!$F$14:$F$151,RAB!$C$14:$C$151,C1008)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SUMIFS(RAB!$F$14:$F$151,RAB!$C$14:$C$151,C1009)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SUMIFS(RAB!$F$14:$F$151,RAB!$C$14:$C$151,C1010)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SUMIFS(RAB!$F$14:$F$151,RAB!$C$14:$C$151,C1011)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SUMIFS(RAB!$F$14:$F$151,RAB!$C$14:$C$151,C1012)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SUMIFS(RAB!$F$14:$F$151,RAB!$C$14:$C$151,C1013)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SUMIFS(RAB!$F$14:$F$151,RAB!$C$14:$C$151,C1014)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SUMIFS(RAB!$F$14:$F$151,RAB!$C$14:$C$151,C1015)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SUMIFS(RAB!$F$14:$F$151,RAB!$C$14:$C$151,C1016)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SUMIFS(RAB!$F$14:$F$151,RAB!$C$14:$C$151,C1017)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SUMIFS(RAB!$F$14:$F$151,RAB!$C$14:$C$151,C1018)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SUMIFS(RAB!$F$14:$F$151,RAB!$C$14:$C$151,C1019)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SUMIFS(RAB!$F$14:$F$151,RAB!$C$14:$C$151,C1020)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SUMIFS(RAB!$F$14:$F$151,RAB!$C$14:$C$151,C1021)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SUMIFS(RAB!$F$14:$F$151,RAB!$C$14:$C$151,C1022)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SUMIFS(RAB!$F$14:$F$151,RAB!$C$14:$C$151,C1023)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SUMIFS(RAB!$F$14:$F$151,RAB!$C$14:$C$151,C1024)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SUMIFS(RAB!$F$14:$F$151,RAB!$C$14:$C$151,C1025)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SUMIFS(RAB!$F$14:$F$151,RAB!$C$14:$C$151,C1026)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SUMIFS(RAB!$F$14:$F$151,RAB!$C$14:$C$151,C1027)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SUMIFS(RAB!$F$14:$F$151,RAB!$C$14:$C$151,C1028)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SUMIFS(RAB!$F$14:$F$151,RAB!$C$14:$C$151,C1029)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SUMIFS(RAB!$F$14:$F$151,RAB!$C$14:$C$151,C1030)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SUMIFS(RAB!$F$14:$F$151,RAB!$C$14:$C$151,C1031)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SUMIFS(RAB!$F$14:$F$151,RAB!$C$14:$C$151,C1032)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SUMIFS(RAB!$F$14:$F$151,RAB!$C$14:$C$151,C1033)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SUMIFS(RAB!$F$14:$F$151,RAB!$C$14:$C$151,C1034)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SUMIFS(RAB!$F$14:$F$151,RAB!$C$14:$C$151,C1035)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SUMIFS(RAB!$F$14:$F$151,RAB!$C$14:$C$151,C1036)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SUMIFS(RAB!$F$14:$F$151,RAB!$C$14:$C$151,C1037)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SUMIFS(RAB!$F$14:$F$151,RAB!$C$14:$C$151,C1038)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SUMIFS(RAB!$F$14:$F$151,RAB!$C$14:$C$151,C1039)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SUMIFS(RAB!$F$14:$F$151,RAB!$C$14:$C$151,C1040)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SUMIFS(RAB!$F$14:$F$151,RAB!$C$14:$C$151,C1041)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SUMIFS(RAB!$F$14:$F$151,RAB!$C$14:$C$151,C1042)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SUMIFS(RAB!$F$14:$F$151,RAB!$C$14:$C$151,C1043)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SUMIFS(RAB!$F$14:$F$151,RAB!$C$14:$C$151,C1044)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SUMIFS(RAB!$F$14:$F$151,RAB!$C$14:$C$151,C1045)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SUMIFS(RAB!$F$14:$F$151,RAB!$C$14:$C$151,C1046)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SUMIFS(RAB!$F$14:$F$151,RAB!$C$14:$C$151,C1047)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SUMIFS(RAB!$F$14:$F$151,RAB!$C$14:$C$151,C1048)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SUMIFS(RAB!$F$14:$F$151,RAB!$C$14:$C$151,C1049)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SUMIFS(RAB!$F$14:$F$151,RAB!$C$14:$C$151,C1050)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SUMIFS(RAB!$F$14:$F$151,RAB!$C$14:$C$151,C1051)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SUMIFS(RAB!$F$14:$F$151,RAB!$C$14:$C$151,C1052)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SUMIFS(RAB!$F$14:$F$151,RAB!$C$14:$C$151,C1053)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SUMIFS(RAB!$F$14:$F$151,RAB!$C$14:$C$151,C1054)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SUMIFS(RAB!$F$14:$F$151,RAB!$C$14:$C$151,C1055)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SUMIFS(RAB!$F$14:$F$151,RAB!$C$14:$C$151,C1056)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SUMIFS(RAB!$F$14:$F$151,RAB!$C$14:$C$151,C1057)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SUMIFS(RAB!$F$14:$F$151,RAB!$C$14:$C$151,C1058)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SUMIFS(RAB!$F$14:$F$151,RAB!$C$14:$C$151,C1059)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SUMIFS(RAB!$F$14:$F$151,RAB!$C$14:$C$151,C1060)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SUMIFS(RAB!$F$14:$F$151,RAB!$C$14:$C$151,C1061)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SUMIFS(RAB!$F$14:$F$151,RAB!$C$14:$C$151,C1062)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SUMIFS(RAB!$F$14:$F$151,RAB!$C$14:$C$151,C1063)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SUMIFS(RAB!$F$14:$F$151,RAB!$C$14:$C$151,C1064)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SUMIFS(RAB!$F$14:$F$151,RAB!$C$14:$C$151,C1065)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SUMIFS(RAB!$F$14:$F$151,RAB!$C$14:$C$151,C1066)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SUMIFS(RAB!$F$14:$F$151,RAB!$C$14:$C$151,C1067)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SUMIFS(RAB!$F$14:$F$151,RAB!$C$14:$C$151,C1068)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SUMIFS(RAB!$F$14:$F$151,RAB!$C$14:$C$151,C1069)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SUMIFS(RAB!$F$14:$F$151,RAB!$C$14:$C$151,C1070)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SUMIFS(RAB!$F$14:$F$151,RAB!$C$14:$C$151,C1071)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SUMIFS(RAB!$F$14:$F$151,RAB!$C$14:$C$151,C1072)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SUMIFS(RAB!$F$14:$F$151,RAB!$C$14:$C$151,C1073)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SUMIFS(RAB!$F$14:$F$151,RAB!$C$14:$C$151,C1074)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SUMIFS(RAB!$F$14:$F$151,RAB!$C$14:$C$151,C1075)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SUMIFS(RAB!$F$14:$F$151,RAB!$C$14:$C$151,C1076)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SUMIFS(RAB!$F$14:$F$151,RAB!$C$14:$C$151,C1077)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SUMIFS(RAB!$F$14:$F$151,RAB!$C$14:$C$151,C1078)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SUMIFS(RAB!$F$14:$F$151,RAB!$C$14:$C$151,C1079)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SUMIFS(RAB!$F$14:$F$151,RAB!$C$14:$C$151,C1080)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SUMIFS(RAB!$F$14:$F$151,RAB!$C$14:$C$151,C1081)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SUMIFS(RAB!$F$14:$F$151,RAB!$C$14:$C$151,C1082)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SUMIFS(RAB!$F$14:$F$151,RAB!$C$14:$C$151,C1083)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SUMIFS(RAB!$F$14:$F$151,RAB!$C$14:$C$151,C1084)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SUMIFS(RAB!$F$14:$F$151,RAB!$C$14:$C$151,C1085)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SUMIFS(RAB!$F$14:$F$151,RAB!$C$14:$C$151,C1086)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SUMIFS(RAB!$F$14:$F$151,RAB!$C$14:$C$151,C1087)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SUMIFS(RAB!$F$14:$F$151,RAB!$C$14:$C$151,C1088)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SUMIFS(RAB!$F$14:$F$151,RAB!$C$14:$C$151,C1089)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SUMIFS(RAB!$F$14:$F$151,RAB!$C$14:$C$151,C1090)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SUMIFS(RAB!$F$14:$F$151,RAB!$C$14:$C$151,C1091)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SUMIFS(RAB!$F$14:$F$151,RAB!$C$14:$C$151,C1092)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SUMIFS(RAB!$F$14:$F$151,RAB!$C$14:$C$151,C1093)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SUMIFS(RAB!$F$14:$F$151,RAB!$C$14:$C$151,C1094)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SUMIFS(RAB!$F$14:$F$151,RAB!$C$14:$C$151,C1095)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SUMIFS(RAB!$F$14:$F$151,RAB!$C$14:$C$151,C1096)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SUMIFS(RAB!$F$14:$F$151,RAB!$C$14:$C$151,C1097)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SUMIFS(RAB!$F$14:$F$151,RAB!$C$14:$C$151,C1098)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SUMIFS(RAB!$F$14:$F$151,RAB!$C$14:$C$151,C1099)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SUMIFS(RAB!$F$14:$F$151,RAB!$C$14:$C$151,C1100)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SUMIFS(RAB!$F$14:$F$151,RAB!$C$14:$C$151,C1101)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SUMIFS(RAB!$F$14:$F$151,RAB!$C$14:$C$151,C1102)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SUMIFS(RAB!$F$14:$F$151,RAB!$C$14:$C$151,C1103)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SUMIFS(RAB!$F$14:$F$151,RAB!$C$14:$C$151,C1104)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SUMIFS(RAB!$F$14:$F$151,RAB!$C$14:$C$151,C1105)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SUMIFS(RAB!$F$14:$F$151,RAB!$C$14:$C$151,C1106)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SUMIFS(RAB!$F$14:$F$151,RAB!$C$14:$C$151,C1107)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SUMIFS(RAB!$F$14:$F$151,RAB!$C$14:$C$151,C1108)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SUMIFS(RAB!$F$14:$F$151,RAB!$C$14:$C$151,C1109)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SUMIFS(RAB!$F$14:$F$151,RAB!$C$14:$C$151,C1110)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SUMIFS(RAB!$F$14:$F$151,RAB!$C$14:$C$151,C1111)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SUMIFS(RAB!$F$14:$F$151,RAB!$C$14:$C$151,C1112)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SUMIFS(RAB!$F$14:$F$151,RAB!$C$14:$C$151,C1113)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SUMIFS(RAB!$F$14:$F$151,RAB!$C$14:$C$151,C1114)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SUMIFS(RAB!$F$14:$F$151,RAB!$C$14:$C$151,C1115)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SUMIFS(RAB!$F$14:$F$151,RAB!$C$14:$C$151,C1116)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SUMIFS(RAB!$F$14:$F$151,RAB!$C$14:$C$151,C1117)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SUMIFS(RAB!$F$14:$F$151,RAB!$C$14:$C$151,C1118)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SUMIFS(RAB!$F$14:$F$151,RAB!$C$14:$C$151,C1119)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SUMIFS(RAB!$F$14:$F$151,RAB!$C$14:$C$151,C1120)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SUMIFS(RAB!$F$14:$F$151,RAB!$C$14:$C$151,C1121)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SUMIFS(RAB!$F$14:$F$151,RAB!$C$14:$C$151,C1122)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SUMIFS(RAB!$F$14:$F$151,RAB!$C$14:$C$151,C1123)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SUMIFS(RAB!$F$14:$F$151,RAB!$C$14:$C$151,C1124)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SUMIFS(RAB!$F$14:$F$151,RAB!$C$14:$C$151,C1125)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SUMIFS(RAB!$F$14:$F$151,RAB!$C$14:$C$151,C1126)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SUMIFS(RAB!$F$14:$F$151,RAB!$C$14:$C$151,C1127)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SUMIFS(RAB!$F$14:$F$151,RAB!$C$14:$C$151,C1128)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SUMIFS(RAB!$F$14:$F$151,RAB!$C$14:$C$151,C1129)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SUMIFS(RAB!$F$14:$F$151,RAB!$C$14:$C$151,C1130)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SUMIFS(RAB!$F$14:$F$151,RAB!$C$14:$C$151,C1131)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SUMIFS(RAB!$F$14:$F$151,RAB!$C$14:$C$151,C1132)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SUMIFS(RAB!$F$14:$F$151,RAB!$C$14:$C$151,C1133)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SUMIFS(RAB!$F$14:$F$151,RAB!$C$14:$C$151,C1134)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SUMIFS(RAB!$F$14:$F$151,RAB!$C$14:$C$151,C1135)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SUMIFS(RAB!$F$14:$F$151,RAB!$C$14:$C$151,C1136)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SUMIFS(RAB!$F$14:$F$151,RAB!$C$14:$C$151,C1137)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SUMIFS(RAB!$F$14:$F$151,RAB!$C$14:$C$151,C1138)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SUMIFS(RAB!$F$14:$F$151,RAB!$C$14:$C$151,C1139)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SUMIFS(RAB!$F$14:$F$151,RAB!$C$14:$C$151,C1140)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SUMIFS(RAB!$F$14:$F$151,RAB!$C$14:$C$151,C1141)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SUMIFS(RAB!$F$14:$F$151,RAB!$C$14:$C$151,C1142)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SUMIFS(RAB!$F$14:$F$151,RAB!$C$14:$C$151,C1143)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SUMIFS(RAB!$F$14:$F$151,RAB!$C$14:$C$151,C1144)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SUMIFS(RAB!$F$14:$F$151,RAB!$C$14:$C$151,C1145)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SUMIFS(RAB!$F$14:$F$151,RAB!$C$14:$C$151,C1146)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SUMIFS(RAB!$F$14:$F$151,RAB!$C$14:$C$151,C1147)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SUMIFS(RAB!$F$14:$F$151,RAB!$C$14:$C$151,C1148)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SUMIFS(RAB!$F$14:$F$151,RAB!$C$14:$C$151,C1149)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SUMIFS(RAB!$F$14:$F$151,RAB!$C$14:$C$151,C1150)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SUMIFS(RAB!$F$14:$F$151,RAB!$C$14:$C$151,C1151)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SUMIFS(RAB!$F$14:$F$151,RAB!$C$14:$C$151,C1152)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SUMIFS(RAB!$F$14:$F$151,RAB!$C$14:$C$151,C1153)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SUMIFS(RAB!$F$14:$F$151,RAB!$C$14:$C$151,C1154)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SUMIFS(RAB!$F$14:$F$151,RAB!$C$14:$C$151,C1155)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SUMIFS(RAB!$F$14:$F$151,RAB!$C$14:$C$151,C1156)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SUMIFS(RAB!$F$14:$F$151,RAB!$C$14:$C$151,C1157)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SUMIFS(RAB!$F$14:$F$151,RAB!$C$14:$C$151,C1158)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SUMIFS(RAB!$F$14:$F$151,RAB!$C$14:$C$151,C1159)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SUMIFS(RAB!$F$14:$F$151,RAB!$C$14:$C$151,C1160)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SUMIFS(RAB!$F$14:$F$151,RAB!$C$14:$C$151,C1161)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SUMIFS(RAB!$F$14:$F$151,RAB!$C$14:$C$151,C1162)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SUMIFS(RAB!$F$14:$F$151,RAB!$C$14:$C$151,C1163)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SUMIFS(RAB!$F$14:$F$151,RAB!$C$14:$C$151,C1164)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SUMIFS(RAB!$F$14:$F$151,RAB!$C$14:$C$151,C1165)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SUMIFS(RAB!$F$14:$F$151,RAB!$C$14:$C$151,C1166)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SUMIFS(RAB!$F$14:$F$151,RAB!$C$14:$C$151,C1167)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SUMIFS(RAB!$F$14:$F$151,RAB!$C$14:$C$151,C1168)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SUMIFS(RAB!$F$14:$F$151,RAB!$C$14:$C$151,C1169)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SUMIFS(RAB!$F$14:$F$151,RAB!$C$14:$C$151,C1170)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SUMIFS(RAB!$F$14:$F$151,RAB!$C$14:$C$151,C1171)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SUMIFS(RAB!$F$14:$F$151,RAB!$C$14:$C$151,C1172)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SUMIFS(RAB!$F$14:$F$151,RAB!$C$14:$C$151,C1173)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SUMIFS(RAB!$F$14:$F$151,RAB!$C$14:$C$151,C1174)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SUMIFS(RAB!$F$14:$F$151,RAB!$C$14:$C$151,C1175)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SUMIFS(RAB!$F$14:$F$151,RAB!$C$14:$C$151,C1176)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SUMIFS(RAB!$F$14:$F$151,RAB!$C$14:$C$151,C1177)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SUMIFS(RAB!$F$14:$F$151,RAB!$C$14:$C$151,C1178)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SUMIFS(RAB!$F$14:$F$151,RAB!$C$14:$C$151,C1179)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SUMIFS(RAB!$F$14:$F$151,RAB!$C$14:$C$151,C1180)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SUMIFS(RAB!$F$14:$F$151,RAB!$C$14:$C$151,C1181)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SUMIFS(RAB!$F$14:$F$151,RAB!$C$14:$C$151,C1182)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SUMIFS(RAB!$F$14:$F$151,RAB!$C$14:$C$151,C1183)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SUMIFS(RAB!$F$14:$F$151,RAB!$C$14:$C$151,C1184)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SUMIFS(RAB!$F$14:$F$151,RAB!$C$14:$C$151,C1185)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SUMIFS(RAB!$F$14:$F$151,RAB!$C$14:$C$151,C1186)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SUMIFS(RAB!$F$14:$F$151,RAB!$C$14:$C$151,C1187)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SUMIFS(RAB!$F$14:$F$151,RAB!$C$14:$C$151,C1188)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SUMIFS(RAB!$F$14:$F$151,RAB!$C$14:$C$151,C1189)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SUMIFS(RAB!$F$14:$F$151,RAB!$C$14:$C$151,C1190)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SUMIFS(RAB!$F$14:$F$151,RAB!$C$14:$C$151,C1191)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SUMIFS(RAB!$F$14:$F$151,RAB!$C$14:$C$151,C1192)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SUMIFS(RAB!$F$14:$F$151,RAB!$C$14:$C$151,C1193)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SUMIFS(RAB!$F$14:$F$151,RAB!$C$14:$C$151,C1194)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SUMIFS(RAB!$F$14:$F$151,RAB!$C$14:$C$151,C1195)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SUMIFS(RAB!$F$14:$F$151,RAB!$C$14:$C$151,C1196)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SUMIFS(RAB!$F$14:$F$151,RAB!$C$14:$C$151,C1197)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SUMIFS(RAB!$F$14:$F$151,RAB!$C$14:$C$151,C1198)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SUMIFS(RAB!$F$14:$F$151,RAB!$C$14:$C$151,C1199)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SUMIFS(RAB!$F$14:$F$151,RAB!$C$14:$C$151,C1200)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SUMIFS(RAB!$F$14:$F$151,RAB!$C$14:$C$151,C1201)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SUMIFS(RAB!$F$14:$F$151,RAB!$C$14:$C$151,C1202)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SUMIFS(RAB!$F$14:$F$151,RAB!$C$14:$C$151,C1203)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SUMIFS(RAB!$F$14:$F$151,RAB!$C$14:$C$151,C1204)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SUMIFS(RAB!$F$14:$F$151,RAB!$C$14:$C$151,C1205)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SUMIFS(RAB!$F$14:$F$151,RAB!$C$14:$C$151,C1206)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SUMIFS(RAB!$F$14:$F$151,RAB!$C$14:$C$151,C1207)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SUMIFS(RAB!$F$14:$F$151,RAB!$C$14:$C$151,C1208)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SUMIFS(RAB!$F$14:$F$151,RAB!$C$14:$C$151,C1209)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SUMIFS(RAB!$F$14:$F$151,RAB!$C$14:$C$151,C1210)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SUMIFS(RAB!$F$14:$F$151,RAB!$C$14:$C$151,C1211)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SUMIFS(RAB!$F$14:$F$151,RAB!$C$14:$C$151,C1212)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SUMIFS(RAB!$F$14:$F$151,RAB!$C$14:$C$151,C1213)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SUMIFS(RAB!$F$14:$F$151,RAB!$C$14:$C$151,C1214)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SUMIFS(RAB!$F$14:$F$151,RAB!$C$14:$C$151,C1215)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SUMIFS(RAB!$F$14:$F$151,RAB!$C$14:$C$151,C1216)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SUMIFS(RAB!$F$14:$F$151,RAB!$C$14:$C$151,C1217)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SUMIFS(RAB!$F$14:$F$151,RAB!$C$14:$C$151,C1218)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SUMIFS(RAB!$F$14:$F$151,RAB!$C$14:$C$151,C1219)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SUMIFS(RAB!$F$14:$F$151,RAB!$C$14:$C$151,C1220)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SUMIFS(RAB!$F$14:$F$151,RAB!$C$14:$C$151,C1221)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SUMIFS(RAB!$F$14:$F$151,RAB!$C$14:$C$151,C1222)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SUMIFS(RAB!$F$14:$F$151,RAB!$C$14:$C$151,C1223)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SUMIFS(RAB!$F$14:$F$151,RAB!$C$14:$C$151,C1224)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SUMIFS(RAB!$F$14:$F$151,RAB!$C$14:$C$151,C1225)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SUMIFS(RAB!$F$14:$F$151,RAB!$C$14:$C$151,C1226)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SUMIFS(RAB!$F$14:$F$151,RAB!$C$14:$C$151,C1227)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SUMIFS(RAB!$F$14:$F$151,RAB!$C$14:$C$151,C1228)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SUMIFS(RAB!$F$14:$F$151,RAB!$C$14:$C$151,C1229)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SUMIFS(RAB!$F$14:$F$151,RAB!$C$14:$C$151,C1230)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SUMIFS(RAB!$F$14:$F$151,RAB!$C$14:$C$151,C1231)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SUMIFS(RAB!$F$14:$F$151,RAB!$C$14:$C$151,C1232)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SUMIFS(RAB!$F$14:$F$151,RAB!$C$14:$C$151,C1233)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SUMIFS(RAB!$F$14:$F$151,RAB!$C$14:$C$151,C1234)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SUMIFS(RAB!$F$14:$F$151,RAB!$C$14:$C$151,C1235)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SUMIFS(RAB!$F$14:$F$151,RAB!$C$14:$C$151,C1236)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SUMIFS(RAB!$F$14:$F$151,RAB!$C$14:$C$151,C1237)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SUMIFS(RAB!$F$14:$F$151,RAB!$C$14:$C$151,C1238)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SUMIFS(RAB!$F$14:$F$151,RAB!$C$14:$C$151,C1239)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SUMIFS(RAB!$F$14:$F$151,RAB!$C$14:$C$151,C1240)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SUMIFS(RAB!$F$14:$F$151,RAB!$C$14:$C$151,C1241)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SUMIFS(RAB!$F$14:$F$151,RAB!$C$14:$C$151,C1242)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SUMIFS(RAB!$F$14:$F$151,RAB!$C$14:$C$151,C1243)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SUMIFS(RAB!$F$14:$F$151,RAB!$C$14:$C$151,C1244)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SUMIFS(RAB!$F$14:$F$151,RAB!$C$14:$C$151,C1245)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SUMIFS(RAB!$F$14:$F$151,RAB!$C$14:$C$151,C1246)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SUMIFS(RAB!$F$14:$F$151,RAB!$C$14:$C$151,C1247)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SUMIFS(RAB!$F$14:$F$151,RAB!$C$14:$C$151,C1248)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SUMIFS(RAB!$F$14:$F$151,RAB!$C$14:$C$151,C1249)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SUMIFS(RAB!$F$14:$F$151,RAB!$C$14:$C$151,C1250)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SUMIFS(RAB!$F$14:$F$151,RAB!$C$14:$C$151,C1251)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SUMIFS(RAB!$F$14:$F$151,RAB!$C$14:$C$151,C1252)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SUMIFS(RAB!$F$14:$F$151,RAB!$C$14:$C$151,C1253)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SUMIFS(RAB!$F$14:$F$151,RAB!$C$14:$C$151,C1254)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SUMIFS(RAB!$F$14:$F$151,RAB!$C$14:$C$151,C1255)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SUMIFS(RAB!$F$14:$F$151,RAB!$C$14:$C$151,C1256)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SUMIFS(RAB!$F$14:$F$151,RAB!$C$14:$C$151,C1257)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SUMIFS(RAB!$F$14:$F$151,RAB!$C$14:$C$151,C1258)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SUMIFS(RAB!$F$14:$F$151,RAB!$C$14:$C$151,C1259)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SUMIFS(RAB!$F$14:$F$151,RAB!$C$14:$C$151,C1260)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SUMIFS(RAB!$F$14:$F$151,RAB!$C$14:$C$151,C1261)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SUMIFS(RAB!$F$14:$F$151,RAB!$C$14:$C$151,C1262)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SUMIFS(RAB!$F$14:$F$151,RAB!$C$14:$C$151,C1263)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SUMIFS(RAB!$F$14:$F$151,RAB!$C$14:$C$151,C1264)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SUMIFS(RAB!$F$14:$F$151,RAB!$C$14:$C$151,C1265)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SUMIFS(RAB!$F$14:$F$151,RAB!$C$14:$C$151,C1266)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SUMIFS(RAB!$F$14:$F$151,RAB!$C$14:$C$151,C1267)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SUMIFS(RAB!$F$14:$F$151,RAB!$C$14:$C$151,C1268)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SUMIFS(RAB!$F$14:$F$151,RAB!$C$14:$C$151,C1269)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SUMIFS(RAB!$F$14:$F$151,RAB!$C$14:$C$151,C1270)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SUMIFS(RAB!$F$14:$F$151,RAB!$C$14:$C$151,C1271)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SUMIFS(RAB!$F$14:$F$151,RAB!$C$14:$C$151,C1272)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SUMIFS(RAB!$F$14:$F$151,RAB!$C$14:$C$151,C1273)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SUMIFS(RAB!$F$14:$F$151,RAB!$C$14:$C$151,C1274)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SUMIFS(RAB!$F$14:$F$151,RAB!$C$14:$C$151,C1275)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SUMIFS(RAB!$F$14:$F$151,RAB!$C$14:$C$151,C1276)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SUMIFS(RAB!$F$14:$F$151,RAB!$C$14:$C$151,C1277)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SUMIFS(RAB!$F$14:$F$151,RAB!$C$14:$C$151,C1278)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SUMIFS(RAB!$F$14:$F$151,RAB!$C$14:$C$151,C1279)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SUMIFS(RAB!$F$14:$F$151,RAB!$C$14:$C$151,C1280)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SUMIFS(RAB!$F$14:$F$151,RAB!$C$14:$C$151,C1281)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SUMIFS(RAB!$F$14:$F$151,RAB!$C$14:$C$151,C1282)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SUMIFS(RAB!$F$14:$F$151,RAB!$C$14:$C$151,C1283)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SUMIFS(RAB!$F$14:$F$151,RAB!$C$14:$C$151,C1284)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SUMIFS(RAB!$F$14:$F$151,RAB!$C$14:$C$151,C1285)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SUMIFS(RAB!$F$14:$F$151,RAB!$C$14:$C$151,C1286)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SUMIFS(RAB!$F$14:$F$151,RAB!$C$14:$C$151,C1287)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SUMIFS(RAB!$F$14:$F$151,RAB!$C$14:$C$151,C1288)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SUMIFS(RAB!$F$14:$F$151,RAB!$C$14:$C$151,C1289)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SUMIFS(RAB!$F$14:$F$151,RAB!$C$14:$C$151,C1290)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SUMIFS(RAB!$F$14:$F$151,RAB!$C$14:$C$151,C1291)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SUMIFS(RAB!$F$14:$F$151,RAB!$C$14:$C$151,C1292)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SUMIFS(RAB!$F$14:$F$151,RAB!$C$14:$C$151,C1293)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SUMIFS(RAB!$F$14:$F$151,RAB!$C$14:$C$151,C1294)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SUMIFS(RAB!$F$14:$F$151,RAB!$C$14:$C$151,C1295)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SUMIFS(RAB!$F$14:$F$151,RAB!$C$14:$C$151,C1296)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SUMIFS(RAB!$F$14:$F$151,RAB!$C$14:$C$151,C1297)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SUMIFS(RAB!$F$14:$F$151,RAB!$C$14:$C$151,C1298)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SUMIFS(RAB!$F$14:$F$151,RAB!$C$14:$C$151,C1299)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SUMIFS(RAB!$F$14:$F$151,RAB!$C$14:$C$151,C1300)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SUMIFS(RAB!$F$14:$F$151,RAB!$C$14:$C$151,C1301)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SUMIFS(RAB!$F$14:$F$151,RAB!$C$14:$C$151,C1302)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SUMIFS(RAB!$F$14:$F$151,RAB!$C$14:$C$151,C1303)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SUMIFS(RAB!$F$14:$F$151,RAB!$C$14:$C$151,C1304)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SUMIFS(RAB!$F$14:$F$151,RAB!$C$14:$C$151,C1305)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SUMIFS(RAB!$F$14:$F$151,RAB!$C$14:$C$151,C1306)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SUMIFS(RAB!$F$14:$F$151,RAB!$C$14:$C$151,C1307)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SUMIFS(RAB!$F$14:$F$151,RAB!$C$14:$C$151,C1308)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SUMIFS(RAB!$F$14:$F$151,RAB!$C$14:$C$151,C1309)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SUMIFS(RAB!$F$14:$F$151,RAB!$C$14:$C$151,C1310)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SUMIFS(RAB!$F$14:$F$151,RAB!$C$14:$C$151,C1311)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SUMIFS(RAB!$F$14:$F$151,RAB!$C$14:$C$151,C1312)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SUMIFS(RAB!$F$14:$F$151,RAB!$C$14:$C$151,C1313)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SUMIFS(RAB!$F$14:$F$151,RAB!$C$14:$C$151,C1314)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SUMIFS(RAB!$F$14:$F$151,RAB!$C$14:$C$151,C1315)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SUMIFS(RAB!$F$14:$F$151,RAB!$C$14:$C$151,C1316)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SUMIFS(RAB!$F$14:$F$151,RAB!$C$14:$C$151,C1317)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SUMIFS(RAB!$F$14:$F$151,RAB!$C$14:$C$151,C1318)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SUMIFS(RAB!$F$14:$F$151,RAB!$C$14:$C$151,C1319)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SUMIFS(RAB!$F$14:$F$151,RAB!$C$14:$C$151,C1320)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35" priority="5" operator="equal">
      <formula>0</formula>
    </cfRule>
  </conditionalFormatting>
  <conditionalFormatting sqref="A10:L65536">
    <cfRule type="cellIs" dxfId="34" priority="1" operator="equal">
      <formula>0</formula>
    </cfRule>
  </conditionalFormatting>
  <conditionalFormatting sqref="C12:C711">
    <cfRule type="cellIs" dxfId="33" priority="66" stopIfTrue="1" operator="equal">
      <formula>0</formula>
    </cfRule>
  </conditionalFormatting>
  <conditionalFormatting sqref="E712:E65536">
    <cfRule type="cellIs" dxfId="32" priority="16" stopIfTrue="1" operator="equal">
      <formula>0</formula>
    </cfRule>
  </conditionalFormatting>
  <conditionalFormatting sqref="G1:G11 E6:E11 E1:E3 H7 H10:H11 F10:F711 G712:G65536">
    <cfRule type="cellIs" dxfId="31" priority="69" stopIfTrue="1" operator="equal">
      <formula>0</formula>
    </cfRule>
  </conditionalFormatting>
  <conditionalFormatting sqref="G12:H711">
    <cfRule type="cellIs" dxfId="30" priority="12" stopIfTrue="1" operator="equal">
      <formula>0</formula>
    </cfRule>
  </conditionalFormatting>
  <conditionalFormatting sqref="I7:K7">
    <cfRule type="cellIs" dxfId="29" priority="4" stopIfTrue="1" operator="equal">
      <formula>0</formula>
    </cfRule>
  </conditionalFormatting>
  <conditionalFormatting sqref="I10:L711">
    <cfRule type="cellIs" dxfId="28" priority="2" stopIfTrue="1" operator="equal">
      <formula>0</formula>
    </cfRule>
  </conditionalFormatting>
  <conditionalFormatting sqref="L1:L6">
    <cfRule type="cellIs" dxfId="27" priority="10" operator="equal">
      <formula>0</formula>
    </cfRule>
  </conditionalFormatting>
  <conditionalFormatting sqref="M1:IV1048576 A8:G9">
    <cfRule type="cellIs" dxfId="2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6" sqref="G6:K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0" t="s">
        <v>1131</v>
      </c>
      <c r="C4" s="560"/>
      <c r="D4" s="560"/>
      <c r="E4" s="560"/>
      <c r="F4" s="560"/>
      <c r="G4" s="560"/>
      <c r="H4" s="560"/>
      <c r="I4" s="560"/>
      <c r="J4" s="560"/>
      <c r="K4" s="56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53" t="str">
        <f>RAB!G6</f>
        <v>PUTRA MANGUNJIWAN ASRI VI DMK</v>
      </c>
      <c r="H6" s="553"/>
      <c r="I6" s="553"/>
      <c r="J6" s="553"/>
      <c r="K6" s="553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MANGUNJIWAN - KAB. DEMAK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61" t="s">
        <v>0</v>
      </c>
      <c r="C11" s="563" t="s">
        <v>1</v>
      </c>
      <c r="D11" s="566" t="s">
        <v>44</v>
      </c>
      <c r="E11" s="566" t="s">
        <v>45</v>
      </c>
      <c r="F11" s="566" t="s">
        <v>2</v>
      </c>
      <c r="G11" s="567" t="s">
        <v>43</v>
      </c>
      <c r="H11" s="566" t="s">
        <v>3</v>
      </c>
      <c r="I11" s="566"/>
      <c r="J11" s="566"/>
      <c r="K11" s="570"/>
      <c r="M11" s="33"/>
      <c r="N11" s="33"/>
      <c r="O11" s="33"/>
      <c r="P11" s="33"/>
      <c r="R11" s="34"/>
      <c r="S11" s="74"/>
      <c r="T11" s="74"/>
    </row>
    <row r="12" spans="1:21" ht="15" customHeight="1">
      <c r="B12" s="562"/>
      <c r="C12" s="564"/>
      <c r="D12" s="556"/>
      <c r="E12" s="556"/>
      <c r="F12" s="556"/>
      <c r="G12" s="568"/>
      <c r="H12" s="558" t="s">
        <v>48</v>
      </c>
      <c r="I12" s="558" t="s">
        <v>5</v>
      </c>
      <c r="J12" s="556" t="s">
        <v>49</v>
      </c>
      <c r="K12" s="55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2"/>
      <c r="C13" s="565"/>
      <c r="D13" s="556"/>
      <c r="E13" s="556"/>
      <c r="F13" s="556"/>
      <c r="G13" s="569"/>
      <c r="H13" s="559"/>
      <c r="I13" s="559"/>
      <c r="J13" s="556"/>
      <c r="K13" s="55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1132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SATUAN'!$C$7:$C$1509,0),0)),"",OFFSET('HARGA SATUAN'!$I$6,MATCH(C16,'HARGA SATUAN'!$C$7:$C$1509,0),0))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SATUAN'!$C$7:$C$1509,0),0)),"",OFFSET('HARGA SATUAN'!$D$6,MATCH(C17,'HARGA SATUAN'!$C$7:$C$1509,0),0))</f>
        <v>HDW</v>
      </c>
      <c r="E17" s="101" t="str">
        <f ca="1">IF(B17="+","Unit",IF(ISERROR(OFFSET('HARGA SATUAN'!$E$6,MATCH(C17,'HARGA SATUAN'!$C$7:$C$1509,0),0)),"",OFFSET('HARGA SATUAN'!$E$6,MATCH(C17,'HARGA SATUAN'!$C$7:$C$1509,0),0)))</f>
        <v>Btg</v>
      </c>
      <c r="F17" s="101">
        <f t="shared" ca="1" si="5"/>
        <v>1</v>
      </c>
      <c r="G17" s="41">
        <f ca="1">IF(ISERROR(OFFSET('HARGA SATUAN'!$I$6,MATCH(C17,'HARGA SATUAN'!$C$7:$C$1509,0),0)),"",OFFSET('HARGA SATUAN'!$I$6,MATCH(C17,'HARGA SATUAN'!$C$7:$C$1509,0),0))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 t="str">
        <f t="shared" ca="1" si="5"/>
        <v/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4" t="s">
        <v>1012</v>
      </c>
      <c r="D38" s="554"/>
      <c r="E38" s="554"/>
      <c r="F38" s="554"/>
      <c r="G38" s="77" t="s">
        <v>9</v>
      </c>
      <c r="H38" s="55">
        <f ca="1">SUM(H14:H37)</f>
        <v>0</v>
      </c>
      <c r="I38" s="55">
        <f ca="1">SUM(I14:I37)</f>
        <v>16222200</v>
      </c>
      <c r="J38" s="55">
        <f ca="1">SUM(J14:J37)</f>
        <v>0</v>
      </c>
      <c r="K38" s="55">
        <f ca="1">SUM(K14:K37)</f>
        <v>16222200</v>
      </c>
      <c r="L38" s="44"/>
      <c r="R38" s="99"/>
      <c r="S38" s="99"/>
      <c r="T38" s="99"/>
    </row>
    <row r="39" spans="1:20" s="36" customFormat="1">
      <c r="A39" s="30"/>
      <c r="B39" s="56"/>
      <c r="C39" s="555" t="s">
        <v>465</v>
      </c>
      <c r="D39" s="555"/>
      <c r="E39" s="555"/>
      <c r="F39" s="555"/>
      <c r="G39" s="59" t="s">
        <v>9</v>
      </c>
      <c r="H39" s="60">
        <f ca="1">H38*0.1</f>
        <v>0</v>
      </c>
      <c r="I39" s="60">
        <f ca="1">I38*0.1</f>
        <v>1622220</v>
      </c>
      <c r="J39" s="60">
        <f ca="1">J38*0.1</f>
        <v>0</v>
      </c>
      <c r="K39" s="60">
        <f ca="1">K38*0.1</f>
        <v>1622220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4" t="s">
        <v>466</v>
      </c>
      <c r="D40" s="544"/>
      <c r="E40" s="544"/>
      <c r="F40" s="544"/>
      <c r="G40" s="61" t="s">
        <v>9</v>
      </c>
      <c r="H40" s="78">
        <f ca="1">SUM(H38:H39)</f>
        <v>0</v>
      </c>
      <c r="I40" s="78">
        <f ca="1">SUM(I38:I39)</f>
        <v>17844420</v>
      </c>
      <c r="J40" s="61">
        <f ca="1">SUM(J38:J39)</f>
        <v>0</v>
      </c>
      <c r="K40" s="61">
        <f ca="1">SUM(K38:K39)</f>
        <v>17844420</v>
      </c>
      <c r="L40" s="44"/>
      <c r="R40" s="99"/>
      <c r="S40" s="99"/>
      <c r="T40" s="99"/>
    </row>
    <row r="41" spans="1:20" s="36" customFormat="1">
      <c r="A41" s="30"/>
      <c r="B41" s="547" t="e">
        <f ca="1">"Terbilang : ( "&amp;L42&amp;" Rupiah )"</f>
        <v>#NAME?</v>
      </c>
      <c r="C41" s="548"/>
      <c r="D41" s="548"/>
      <c r="E41" s="548"/>
      <c r="F41" s="548"/>
      <c r="G41" s="548"/>
      <c r="H41" s="548"/>
      <c r="I41" s="548"/>
      <c r="J41" s="548"/>
      <c r="K41" s="549"/>
      <c r="L41" s="44"/>
      <c r="R41" s="58"/>
      <c r="S41" s="58"/>
      <c r="T41" s="58"/>
    </row>
    <row r="42" spans="1:20" s="36" customFormat="1">
      <c r="A42" s="30"/>
      <c r="B42" s="550"/>
      <c r="C42" s="551"/>
      <c r="D42" s="551"/>
      <c r="E42" s="551"/>
      <c r="F42" s="551"/>
      <c r="G42" s="551"/>
      <c r="H42" s="551"/>
      <c r="I42" s="551"/>
      <c r="J42" s="551"/>
      <c r="K42" s="552"/>
      <c r="L42" s="62" t="e">
        <f ca="1">PROPER([114]!terbilang(K40))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1142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SUMIFS(RAB!$F$14:$F$151,RAB!$C$14:$C$151,'REKAP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SUMIFS(RAB!$F$14:$F$151,RAB!$C$14:$C$151,'REKAP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SUMIFS(RAB!$F$14:$F$151,RAB!$C$14:$C$151,'REKAP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SUMIFS(RAB!$F$14:$F$151,RAB!$C$14:$C$151,'REKAP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SUMIFS(RAB!$F$14:$F$151,RAB!$C$14:$C$151,'REKAP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SUMIFS(RAB!$F$14:$F$151,RAB!$C$14:$C$151,'REKAP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SUMIFS(RAB!$F$14:$F$151,RAB!$C$14:$C$151,'REKAP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SUMIFS(RAB!$F$14:$F$151,RAB!$C$14:$C$151,'REKAP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SUMIFS(RAB!$F$14:$F$151,RAB!$C$14:$C$151,'REKAP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SUMIFS(RAB!$F$14:$F$151,RAB!$C$14:$C$151,'REKAP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SUMIFS(RAB!$F$14:$F$151,RAB!$C$14:$C$151,'REKAP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SUMIFS(RAB!$F$14:$F$151,RAB!$C$14:$C$151,'REKAP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SUMIFS(RAB!$F$14:$F$151,RAB!$C$14:$C$151,'REKAP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SUMIFS(RAB!$F$14:$F$151,RAB!$C$14:$C$151,'REKAP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SUMIFS(RAB!$F$14:$F$151,RAB!$C$14:$C$151,'REKAP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SUMIFS(RAB!$F$14:$F$151,RAB!$C$14:$C$151,'REKAP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SUMIFS(RAB!$F$14:$F$151,RAB!$C$14:$C$151,'REKAP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SUMIFS(RAB!$F$14:$F$151,RAB!$C$14:$C$151,'REKAP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SUMIFS(RAB!$F$14:$F$151,RAB!$C$14:$C$151,'REKAP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SUMIFS(RAB!$F$14:$F$151,RAB!$C$14:$C$151,'REKAP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2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2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5" activePane="bottomRight" state="frozen"/>
      <selection activeCell="D209" sqref="D209"/>
      <selection pane="topRight" activeCell="D209" sqref="D209"/>
      <selection pane="bottomLeft" activeCell="D209" sqref="D209"/>
      <selection pane="bottomRight" activeCell="D18" sqref="D18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0" t="s">
        <v>1038</v>
      </c>
      <c r="C4" s="560"/>
      <c r="D4" s="560"/>
      <c r="E4" s="560"/>
      <c r="F4" s="560"/>
      <c r="G4" s="560"/>
      <c r="H4" s="560"/>
      <c r="I4" s="560"/>
      <c r="J4" s="560"/>
      <c r="K4" s="56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53" t="str">
        <f>RAB!G6</f>
        <v>PUTRA MANGUNJIWAN ASRI VI DMK</v>
      </c>
      <c r="H6" s="553"/>
      <c r="I6" s="553"/>
      <c r="J6" s="553"/>
      <c r="K6" s="553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MANGUNJIWAN - KAB. DEMAK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61" t="s">
        <v>0</v>
      </c>
      <c r="C11" s="563" t="s">
        <v>1</v>
      </c>
      <c r="D11" s="566" t="s">
        <v>44</v>
      </c>
      <c r="E11" s="566" t="s">
        <v>45</v>
      </c>
      <c r="F11" s="566" t="s">
        <v>2</v>
      </c>
      <c r="G11" s="567" t="s">
        <v>43</v>
      </c>
      <c r="H11" s="566" t="s">
        <v>3</v>
      </c>
      <c r="I11" s="566"/>
      <c r="J11" s="566"/>
      <c r="K11" s="570"/>
      <c r="M11" s="33"/>
      <c r="N11" s="33"/>
      <c r="O11" s="33"/>
      <c r="P11" s="33"/>
      <c r="R11" s="34"/>
      <c r="S11" s="74"/>
      <c r="T11" s="74"/>
    </row>
    <row r="12" spans="1:21" ht="15" customHeight="1">
      <c r="B12" s="562"/>
      <c r="C12" s="564"/>
      <c r="D12" s="556"/>
      <c r="E12" s="556"/>
      <c r="F12" s="556"/>
      <c r="G12" s="568"/>
      <c r="H12" s="558" t="s">
        <v>48</v>
      </c>
      <c r="I12" s="558" t="s">
        <v>5</v>
      </c>
      <c r="J12" s="556" t="s">
        <v>49</v>
      </c>
      <c r="K12" s="55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2"/>
      <c r="C13" s="565"/>
      <c r="D13" s="556"/>
      <c r="E13" s="556"/>
      <c r="F13" s="556"/>
      <c r="G13" s="569"/>
      <c r="H13" s="559"/>
      <c r="I13" s="559"/>
      <c r="J13" s="556"/>
      <c r="K13" s="55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1038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77</v>
      </c>
      <c r="G16" s="41">
        <f ca="1">IF(ISERROR(OFFSET('HARGA SATUAN'!$I$6,MATCH(C16,'HARGA SATUAN'!$C$7:$C$1509,0),0)),"",OFFSET('HARGA SATUAN'!$I$6,MATCH(C16,'HARGA SATUAN'!$C$7:$C$1509,0),0))</f>
        <v>327600</v>
      </c>
      <c r="H16" s="42">
        <f t="shared" ca="1" si="1"/>
        <v>25225200</v>
      </c>
      <c r="I16" s="42">
        <f t="shared" ca="1" si="2"/>
        <v>0</v>
      </c>
      <c r="J16" s="42">
        <f t="shared" ca="1" si="3"/>
        <v>0</v>
      </c>
      <c r="K16" s="43">
        <f t="shared" ca="1" si="0"/>
        <v>25225200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77</v>
      </c>
      <c r="G17" s="41">
        <f ca="1">IF(ISERROR(OFFSET('HARGA SATUAN'!$I$6,MATCH(C17,'HARGA SATUAN'!$C$7:$C$1509,0),0)),"",OFFSET('HARGA SATUAN'!$I$6,MATCH(C17,'HARGA SATUAN'!$C$7:$C$1509,0),0))</f>
        <v>39000</v>
      </c>
      <c r="H17" s="42">
        <f t="shared" ca="1" si="1"/>
        <v>3003000</v>
      </c>
      <c r="I17" s="42">
        <f t="shared" ca="1" si="2"/>
        <v>0</v>
      </c>
      <c r="J17" s="42">
        <f t="shared" ca="1" si="3"/>
        <v>0</v>
      </c>
      <c r="K17" s="43">
        <f t="shared" ca="1" si="0"/>
        <v>3003000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Tarik ( Suspension Polymer )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Set</v>
      </c>
      <c r="F19" s="101">
        <f t="shared" ca="1" si="6"/>
        <v>1</v>
      </c>
      <c r="G19" s="41">
        <f ca="1">IF(ISERROR(OFFSET('HARGA SATUAN'!$I$6,MATCH(C19,'HARGA SATUAN'!$C$7:$C$1509,0),0)),"",OFFSET('HARGA SATUAN'!$I$6,MATCH(C19,'HARGA SATUAN'!$C$7:$C$1509,0),0))</f>
        <v>205700</v>
      </c>
      <c r="H19" s="42">
        <f t="shared" ca="1" si="1"/>
        <v>205700</v>
      </c>
      <c r="I19" s="42">
        <f t="shared" ca="1" si="2"/>
        <v>0</v>
      </c>
      <c r="J19" s="42">
        <f t="shared" ca="1" si="3"/>
        <v>0</v>
      </c>
      <c r="K19" s="43">
        <f t="shared" ca="1" si="0"/>
        <v>205700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Mtr</v>
      </c>
      <c r="F20" s="101">
        <f t="shared" ca="1" si="6"/>
        <v>82</v>
      </c>
      <c r="G20" s="41">
        <f ca="1">IF(ISERROR(OFFSET('HARGA SATUAN'!$I$6,MATCH(C20,'HARGA SATUAN'!$C$7:$C$1509,0),0)),"",OFFSET('HARGA SATUAN'!$I$6,MATCH(C20,'HARGA SATUAN'!$C$7:$C$1509,0),0))</f>
        <v>14200</v>
      </c>
      <c r="H20" s="42">
        <f t="shared" ca="1" si="1"/>
        <v>1164400</v>
      </c>
      <c r="I20" s="42">
        <f t="shared" ca="1" si="2"/>
        <v>0</v>
      </c>
      <c r="J20" s="42">
        <f t="shared" ca="1" si="3"/>
        <v>0</v>
      </c>
      <c r="K20" s="43">
        <f t="shared" ca="1" si="0"/>
        <v>1164400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01">
        <f t="shared" ca="1" si="6"/>
        <v>122</v>
      </c>
      <c r="G21" s="41">
        <f ca="1">IF(ISERROR(OFFSET('HARGA SATUAN'!$I$6,MATCH(C21,'HARGA SATUAN'!$C$7:$C$1509,0),0)),"",OFFSET('HARGA SATUAN'!$I$6,MATCH(C21,'HARGA SATUAN'!$C$7:$C$1509,0),0))</f>
        <v>53300</v>
      </c>
      <c r="H21" s="42">
        <f t="shared" ca="1" si="1"/>
        <v>6502600</v>
      </c>
      <c r="I21" s="42">
        <f t="shared" ca="1" si="2"/>
        <v>0</v>
      </c>
      <c r="J21" s="42">
        <f t="shared" ca="1" si="3"/>
        <v>0</v>
      </c>
      <c r="K21" s="43">
        <f t="shared" ca="1" si="0"/>
        <v>6502600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01">
        <f t="shared" ca="1" si="6"/>
        <v>1155</v>
      </c>
      <c r="G22" s="41">
        <f ca="1">IF(ISERROR(OFFSET('HARGA SATUAN'!$I$6,MATCH(C22,'HARGA SATUAN'!$C$7:$C$1509,0),0)),"",OFFSET('HARGA SATUAN'!$I$6,MATCH(C22,'HARGA SATUAN'!$C$7:$C$1509,0),0))</f>
        <v>4300</v>
      </c>
      <c r="H22" s="42">
        <f t="shared" ca="1" si="1"/>
        <v>4966500</v>
      </c>
      <c r="I22" s="42">
        <f t="shared" ca="1" si="2"/>
        <v>0</v>
      </c>
      <c r="J22" s="42">
        <f t="shared" ca="1" si="3"/>
        <v>0</v>
      </c>
      <c r="K22" s="43">
        <f t="shared" ca="1" si="0"/>
        <v>4966500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ref="B23:B31" ca="1" si="7">IF(C23="","",A23)</f>
        <v/>
      </c>
      <c r="C23" s="109" t="str">
        <f t="shared" ref="C23:C31" ca="1" si="8">IF(ISERROR(OFFSET($C$223,MATCH(A23,$F$224:$F$373,0),0)),"",OFFSET($C$223,MATCH(A23,$F$224:$F$373,0),0))</f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ref="F23:F31" ca="1" si="9">IF(ISERROR(OFFSET($D$223,MATCH(A23,$F$224:$F$373,0),0)),"",OFFSET($D$223,MATCH(A23,$F$224:$F$373,0),0))</f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ref="H23:H31" ca="1" si="10">IF(OR(D23="MDU",D23="MDU-KD"),G23*F23,0)</f>
        <v>0</v>
      </c>
      <c r="I23" s="42">
        <f t="shared" ref="I23:I31" ca="1" si="11">IF(D23="HDW",G23*F23,0)</f>
        <v>0</v>
      </c>
      <c r="J23" s="42">
        <f t="shared" ref="J23:J31" ca="1" si="12">IF(D23="JASA",G23*F23,0)</f>
        <v>0</v>
      </c>
      <c r="K23" s="43">
        <f t="shared" ref="K23:K31" ca="1" si="13">SUM(H23:J23)</f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7"/>
        <v/>
      </c>
      <c r="C24" s="109" t="str">
        <f t="shared" ca="1" si="8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9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ca="1" si="10"/>
        <v>0</v>
      </c>
      <c r="I24" s="42">
        <f t="shared" ca="1" si="11"/>
        <v>0</v>
      </c>
      <c r="J24" s="42">
        <f t="shared" ca="1" si="12"/>
        <v>0</v>
      </c>
      <c r="K24" s="43">
        <f t="shared" ca="1" si="13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8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9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0"/>
        <v>0</v>
      </c>
      <c r="I25" s="42">
        <f t="shared" ca="1" si="11"/>
        <v>0</v>
      </c>
      <c r="J25" s="42">
        <f t="shared" ca="1" si="12"/>
        <v>0</v>
      </c>
      <c r="K25" s="43">
        <f t="shared" ca="1" si="13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8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9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0"/>
        <v>0</v>
      </c>
      <c r="I26" s="42">
        <f t="shared" ca="1" si="11"/>
        <v>0</v>
      </c>
      <c r="J26" s="42">
        <f t="shared" ca="1" si="12"/>
        <v>0</v>
      </c>
      <c r="K26" s="43">
        <f t="shared" ca="1" si="13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8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9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0"/>
        <v>0</v>
      </c>
      <c r="I27" s="42">
        <f t="shared" ca="1" si="11"/>
        <v>0</v>
      </c>
      <c r="J27" s="42">
        <f t="shared" ca="1" si="12"/>
        <v>0</v>
      </c>
      <c r="K27" s="43">
        <f t="shared" ca="1" si="13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8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9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0"/>
        <v>0</v>
      </c>
      <c r="I28" s="42">
        <f t="shared" ca="1" si="11"/>
        <v>0</v>
      </c>
      <c r="J28" s="42">
        <f t="shared" ca="1" si="12"/>
        <v>0</v>
      </c>
      <c r="K28" s="43">
        <f t="shared" ca="1" si="13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8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9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0"/>
        <v>0</v>
      </c>
      <c r="I29" s="42">
        <f t="shared" ca="1" si="11"/>
        <v>0</v>
      </c>
      <c r="J29" s="42">
        <f t="shared" ca="1" si="12"/>
        <v>0</v>
      </c>
      <c r="K29" s="43">
        <f t="shared" ca="1" si="13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8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9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0"/>
        <v>0</v>
      </c>
      <c r="I30" s="42">
        <f t="shared" ca="1" si="11"/>
        <v>0</v>
      </c>
      <c r="J30" s="42">
        <f t="shared" ca="1" si="12"/>
        <v>0</v>
      </c>
      <c r="K30" s="43">
        <f t="shared" ca="1" si="13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8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9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0"/>
        <v>0</v>
      </c>
      <c r="I31" s="42">
        <f t="shared" ca="1" si="11"/>
        <v>0</v>
      </c>
      <c r="J31" s="42">
        <f t="shared" ca="1" si="12"/>
        <v>0</v>
      </c>
      <c r="K31" s="43">
        <f t="shared" ca="1" si="13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4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4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4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4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4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4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4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4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4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4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4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4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15">IF(OR(D79="MDU",D79="MDU-KD"),G79*F79,0)</f>
        <v>0</v>
      </c>
      <c r="I79" s="42">
        <f t="shared" ref="I79:I115" ca="1" si="16">IF(D79="HDW",G79*F79,0)</f>
        <v>0</v>
      </c>
      <c r="J79" s="42">
        <f t="shared" ref="J79:J115" ca="1" si="17">IF(D79="JASA",G79*F79,0)</f>
        <v>0</v>
      </c>
      <c r="K79" s="43">
        <f t="shared" ca="1" si="14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15"/>
        <v>0</v>
      </c>
      <c r="I80" s="42">
        <f t="shared" ca="1" si="16"/>
        <v>0</v>
      </c>
      <c r="J80" s="42">
        <f t="shared" ca="1" si="17"/>
        <v>0</v>
      </c>
      <c r="K80" s="43">
        <f t="shared" ca="1" si="14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8">IF(C81="","",A81)</f>
        <v/>
      </c>
      <c r="C81" s="109" t="str">
        <f t="shared" ref="C81:C144" ca="1" si="19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20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15"/>
        <v>0</v>
      </c>
      <c r="I81" s="42">
        <f t="shared" ca="1" si="16"/>
        <v>0</v>
      </c>
      <c r="J81" s="42">
        <f t="shared" ca="1" si="17"/>
        <v>0</v>
      </c>
      <c r="K81" s="43">
        <f t="shared" ca="1" si="14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8"/>
        <v/>
      </c>
      <c r="C82" s="109" t="str">
        <f t="shared" ca="1" si="19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20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15"/>
        <v>0</v>
      </c>
      <c r="I82" s="42">
        <f t="shared" ca="1" si="16"/>
        <v>0</v>
      </c>
      <c r="J82" s="42">
        <f t="shared" ca="1" si="17"/>
        <v>0</v>
      </c>
      <c r="K82" s="43">
        <f t="shared" ca="1" si="14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8"/>
        <v/>
      </c>
      <c r="C83" s="109" t="str">
        <f t="shared" ca="1" si="19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20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15"/>
        <v>0</v>
      </c>
      <c r="I83" s="42">
        <f t="shared" ca="1" si="16"/>
        <v>0</v>
      </c>
      <c r="J83" s="42">
        <f t="shared" ca="1" si="17"/>
        <v>0</v>
      </c>
      <c r="K83" s="43">
        <f t="shared" ca="1" si="14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8"/>
        <v/>
      </c>
      <c r="C84" s="109" t="str">
        <f t="shared" ca="1" si="19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20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15"/>
        <v>0</v>
      </c>
      <c r="I84" s="42">
        <f t="shared" ca="1" si="16"/>
        <v>0</v>
      </c>
      <c r="J84" s="42">
        <f t="shared" ca="1" si="17"/>
        <v>0</v>
      </c>
      <c r="K84" s="43">
        <f t="shared" ca="1" si="14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8"/>
        <v/>
      </c>
      <c r="C85" s="109" t="str">
        <f t="shared" ca="1" si="19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20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15"/>
        <v>0</v>
      </c>
      <c r="I85" s="42">
        <f t="shared" ca="1" si="16"/>
        <v>0</v>
      </c>
      <c r="J85" s="42">
        <f t="shared" ca="1" si="17"/>
        <v>0</v>
      </c>
      <c r="K85" s="43">
        <f t="shared" ca="1" si="14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8"/>
        <v/>
      </c>
      <c r="C86" s="109" t="str">
        <f t="shared" ca="1" si="19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20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15"/>
        <v>0</v>
      </c>
      <c r="I86" s="42">
        <f t="shared" ca="1" si="16"/>
        <v>0</v>
      </c>
      <c r="J86" s="42">
        <f t="shared" ca="1" si="17"/>
        <v>0</v>
      </c>
      <c r="K86" s="43">
        <f t="shared" ca="1" si="14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8"/>
        <v/>
      </c>
      <c r="C87" s="109" t="str">
        <f t="shared" ca="1" si="19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20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15"/>
        <v>0</v>
      </c>
      <c r="I87" s="42">
        <f t="shared" ca="1" si="16"/>
        <v>0</v>
      </c>
      <c r="J87" s="42">
        <f t="shared" ca="1" si="17"/>
        <v>0</v>
      </c>
      <c r="K87" s="43">
        <f t="shared" ca="1" si="14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8"/>
        <v/>
      </c>
      <c r="C88" s="109" t="str">
        <f t="shared" ca="1" si="19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20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15"/>
        <v>0</v>
      </c>
      <c r="I88" s="42">
        <f t="shared" ca="1" si="16"/>
        <v>0</v>
      </c>
      <c r="J88" s="42">
        <f t="shared" ca="1" si="17"/>
        <v>0</v>
      </c>
      <c r="K88" s="43">
        <f t="shared" ca="1" si="14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8"/>
        <v/>
      </c>
      <c r="C89" s="109" t="str">
        <f t="shared" ca="1" si="19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20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15"/>
        <v>0</v>
      </c>
      <c r="I89" s="42">
        <f t="shared" ca="1" si="16"/>
        <v>0</v>
      </c>
      <c r="J89" s="42">
        <f t="shared" ca="1" si="17"/>
        <v>0</v>
      </c>
      <c r="K89" s="43">
        <f t="shared" ca="1" si="14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8"/>
        <v/>
      </c>
      <c r="C90" s="109" t="str">
        <f t="shared" ca="1" si="19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20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15"/>
        <v>0</v>
      </c>
      <c r="I90" s="42">
        <f t="shared" ca="1" si="16"/>
        <v>0</v>
      </c>
      <c r="J90" s="42">
        <f t="shared" ca="1" si="17"/>
        <v>0</v>
      </c>
      <c r="K90" s="43">
        <f t="shared" ca="1" si="14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8"/>
        <v/>
      </c>
      <c r="C91" s="109" t="str">
        <f t="shared" ca="1" si="19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20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15"/>
        <v>0</v>
      </c>
      <c r="I91" s="42">
        <f t="shared" ca="1" si="16"/>
        <v>0</v>
      </c>
      <c r="J91" s="42">
        <f t="shared" ca="1" si="17"/>
        <v>0</v>
      </c>
      <c r="K91" s="43">
        <f t="shared" ca="1" si="14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8"/>
        <v/>
      </c>
      <c r="C92" s="109" t="str">
        <f t="shared" ca="1" si="19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20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15"/>
        <v>0</v>
      </c>
      <c r="I92" s="42">
        <f t="shared" ca="1" si="16"/>
        <v>0</v>
      </c>
      <c r="J92" s="42">
        <f t="shared" ca="1" si="17"/>
        <v>0</v>
      </c>
      <c r="K92" s="43">
        <f t="shared" ca="1" si="14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8"/>
        <v/>
      </c>
      <c r="C93" s="109" t="str">
        <f t="shared" ca="1" si="19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20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15"/>
        <v>0</v>
      </c>
      <c r="I93" s="42">
        <f t="shared" ca="1" si="16"/>
        <v>0</v>
      </c>
      <c r="J93" s="42">
        <f t="shared" ca="1" si="17"/>
        <v>0</v>
      </c>
      <c r="K93" s="43">
        <f t="shared" ca="1" si="14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8"/>
        <v/>
      </c>
      <c r="C94" s="109" t="str">
        <f t="shared" ca="1" si="19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20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15"/>
        <v>0</v>
      </c>
      <c r="I94" s="42">
        <f t="shared" ca="1" si="16"/>
        <v>0</v>
      </c>
      <c r="J94" s="42">
        <f t="shared" ca="1" si="17"/>
        <v>0</v>
      </c>
      <c r="K94" s="43">
        <f t="shared" ca="1" si="14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8"/>
        <v/>
      </c>
      <c r="C95" s="109" t="str">
        <f t="shared" ca="1" si="19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20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15"/>
        <v>0</v>
      </c>
      <c r="I95" s="42">
        <f t="shared" ca="1" si="16"/>
        <v>0</v>
      </c>
      <c r="J95" s="42">
        <f t="shared" ca="1" si="17"/>
        <v>0</v>
      </c>
      <c r="K95" s="43">
        <f t="shared" ca="1" si="14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8"/>
        <v/>
      </c>
      <c r="C96" s="109" t="str">
        <f t="shared" ca="1" si="19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20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15"/>
        <v>0</v>
      </c>
      <c r="I96" s="42">
        <f t="shared" ca="1" si="16"/>
        <v>0</v>
      </c>
      <c r="J96" s="42">
        <f t="shared" ca="1" si="17"/>
        <v>0</v>
      </c>
      <c r="K96" s="43">
        <f t="shared" ca="1" si="14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8"/>
        <v/>
      </c>
      <c r="C97" s="109" t="str">
        <f t="shared" ca="1" si="19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20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15"/>
        <v>0</v>
      </c>
      <c r="I97" s="42">
        <f t="shared" ca="1" si="16"/>
        <v>0</v>
      </c>
      <c r="J97" s="42">
        <f t="shared" ca="1" si="17"/>
        <v>0</v>
      </c>
      <c r="K97" s="43">
        <f t="shared" ca="1" si="14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8"/>
        <v/>
      </c>
      <c r="C98" s="109" t="str">
        <f t="shared" ca="1" si="19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20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15"/>
        <v>0</v>
      </c>
      <c r="I98" s="42">
        <f t="shared" ca="1" si="16"/>
        <v>0</v>
      </c>
      <c r="J98" s="42">
        <f t="shared" ca="1" si="17"/>
        <v>0</v>
      </c>
      <c r="K98" s="43">
        <f t="shared" ca="1" si="14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8"/>
        <v/>
      </c>
      <c r="C99" s="109" t="str">
        <f t="shared" ca="1" si="19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20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15"/>
        <v>0</v>
      </c>
      <c r="I99" s="42">
        <f t="shared" ca="1" si="16"/>
        <v>0</v>
      </c>
      <c r="J99" s="42">
        <f t="shared" ca="1" si="17"/>
        <v>0</v>
      </c>
      <c r="K99" s="43">
        <f t="shared" ca="1" si="14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8"/>
        <v/>
      </c>
      <c r="C100" s="109" t="str">
        <f t="shared" ca="1" si="19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20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15"/>
        <v>0</v>
      </c>
      <c r="I100" s="42">
        <f t="shared" ca="1" si="16"/>
        <v>0</v>
      </c>
      <c r="J100" s="42">
        <f t="shared" ca="1" si="17"/>
        <v>0</v>
      </c>
      <c r="K100" s="43">
        <f t="shared" ca="1" si="14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8"/>
        <v/>
      </c>
      <c r="C101" s="109" t="str">
        <f t="shared" ca="1" si="19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20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15"/>
        <v>0</v>
      </c>
      <c r="I101" s="42">
        <f t="shared" ca="1" si="16"/>
        <v>0</v>
      </c>
      <c r="J101" s="42">
        <f t="shared" ca="1" si="17"/>
        <v>0</v>
      </c>
      <c r="K101" s="43">
        <f t="shared" ca="1" si="14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8"/>
        <v/>
      </c>
      <c r="C102" s="109" t="str">
        <f t="shared" ca="1" si="19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20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15"/>
        <v>0</v>
      </c>
      <c r="I102" s="42">
        <f t="shared" ca="1" si="16"/>
        <v>0</v>
      </c>
      <c r="J102" s="42">
        <f t="shared" ca="1" si="17"/>
        <v>0</v>
      </c>
      <c r="K102" s="43">
        <f t="shared" ca="1" si="14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8"/>
        <v/>
      </c>
      <c r="C103" s="109" t="str">
        <f t="shared" ca="1" si="19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20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15"/>
        <v>0</v>
      </c>
      <c r="I103" s="42">
        <f t="shared" ca="1" si="16"/>
        <v>0</v>
      </c>
      <c r="J103" s="42">
        <f t="shared" ca="1" si="17"/>
        <v>0</v>
      </c>
      <c r="K103" s="43">
        <f t="shared" ca="1" si="14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8"/>
        <v/>
      </c>
      <c r="C104" s="109" t="str">
        <f t="shared" ca="1" si="19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20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15"/>
        <v>0</v>
      </c>
      <c r="I104" s="42">
        <f t="shared" ca="1" si="16"/>
        <v>0</v>
      </c>
      <c r="J104" s="42">
        <f t="shared" ca="1" si="17"/>
        <v>0</v>
      </c>
      <c r="K104" s="43">
        <f t="shared" ca="1" si="14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8"/>
        <v/>
      </c>
      <c r="C105" s="109" t="str">
        <f t="shared" ca="1" si="19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20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15"/>
        <v>0</v>
      </c>
      <c r="I105" s="42">
        <f t="shared" ca="1" si="16"/>
        <v>0</v>
      </c>
      <c r="J105" s="42">
        <f t="shared" ca="1" si="17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8"/>
        <v/>
      </c>
      <c r="C106" s="109" t="str">
        <f t="shared" ca="1" si="19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20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15"/>
        <v>0</v>
      </c>
      <c r="I106" s="42">
        <f t="shared" ca="1" si="16"/>
        <v>0</v>
      </c>
      <c r="J106" s="42">
        <f t="shared" ca="1" si="17"/>
        <v>0</v>
      </c>
      <c r="K106" s="43">
        <f t="shared" ref="K106:K114" ca="1" si="21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8"/>
        <v/>
      </c>
      <c r="C107" s="109" t="str">
        <f t="shared" ca="1" si="19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20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15"/>
        <v>0</v>
      </c>
      <c r="I107" s="42">
        <f t="shared" ca="1" si="16"/>
        <v>0</v>
      </c>
      <c r="J107" s="42">
        <f t="shared" ca="1" si="17"/>
        <v>0</v>
      </c>
      <c r="K107" s="43">
        <f t="shared" ca="1" si="21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8"/>
        <v/>
      </c>
      <c r="C108" s="109" t="str">
        <f t="shared" ca="1" si="19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20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15"/>
        <v>0</v>
      </c>
      <c r="I108" s="42">
        <f t="shared" ca="1" si="16"/>
        <v>0</v>
      </c>
      <c r="J108" s="42">
        <f t="shared" ca="1" si="17"/>
        <v>0</v>
      </c>
      <c r="K108" s="43">
        <f t="shared" ca="1" si="21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8"/>
        <v/>
      </c>
      <c r="C109" s="109" t="str">
        <f t="shared" ca="1" si="19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20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15"/>
        <v>0</v>
      </c>
      <c r="I109" s="42">
        <f t="shared" ca="1" si="16"/>
        <v>0</v>
      </c>
      <c r="J109" s="42">
        <f t="shared" ca="1" si="17"/>
        <v>0</v>
      </c>
      <c r="K109" s="43">
        <f t="shared" ca="1" si="21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8"/>
        <v/>
      </c>
      <c r="C110" s="109" t="str">
        <f t="shared" ca="1" si="19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20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15"/>
        <v>0</v>
      </c>
      <c r="I110" s="42">
        <f t="shared" ca="1" si="16"/>
        <v>0</v>
      </c>
      <c r="J110" s="42">
        <f t="shared" ca="1" si="17"/>
        <v>0</v>
      </c>
      <c r="K110" s="43">
        <f t="shared" ca="1" si="21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8"/>
        <v/>
      </c>
      <c r="C111" s="109" t="str">
        <f t="shared" ca="1" si="19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20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15"/>
        <v>0</v>
      </c>
      <c r="I111" s="42">
        <f t="shared" ca="1" si="16"/>
        <v>0</v>
      </c>
      <c r="J111" s="42">
        <f t="shared" ca="1" si="17"/>
        <v>0</v>
      </c>
      <c r="K111" s="43">
        <f t="shared" ca="1" si="21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8"/>
        <v/>
      </c>
      <c r="C112" s="109" t="str">
        <f t="shared" ca="1" si="19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20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15"/>
        <v>0</v>
      </c>
      <c r="I112" s="42">
        <f t="shared" ca="1" si="16"/>
        <v>0</v>
      </c>
      <c r="J112" s="42">
        <f t="shared" ca="1" si="17"/>
        <v>0</v>
      </c>
      <c r="K112" s="43">
        <f t="shared" ca="1" si="21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8"/>
        <v/>
      </c>
      <c r="C113" s="109" t="str">
        <f t="shared" ca="1" si="19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20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15"/>
        <v>0</v>
      </c>
      <c r="I113" s="42">
        <f t="shared" ca="1" si="16"/>
        <v>0</v>
      </c>
      <c r="J113" s="42">
        <f t="shared" ca="1" si="17"/>
        <v>0</v>
      </c>
      <c r="K113" s="43">
        <f t="shared" ca="1" si="21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8"/>
        <v/>
      </c>
      <c r="C114" s="109" t="str">
        <f t="shared" ca="1" si="19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20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15"/>
        <v>0</v>
      </c>
      <c r="I114" s="42">
        <f t="shared" ca="1" si="16"/>
        <v>0</v>
      </c>
      <c r="J114" s="42">
        <f t="shared" ca="1" si="17"/>
        <v>0</v>
      </c>
      <c r="K114" s="43">
        <f t="shared" ca="1" si="21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8"/>
        <v/>
      </c>
      <c r="C115" s="109" t="str">
        <f t="shared" ca="1" si="19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20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15"/>
        <v>0</v>
      </c>
      <c r="I115" s="42">
        <f t="shared" ca="1" si="16"/>
        <v>0</v>
      </c>
      <c r="J115" s="42">
        <f t="shared" ca="1" si="17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8"/>
        <v/>
      </c>
      <c r="C116" s="109" t="str">
        <f t="shared" ca="1" si="19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20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22">IF(OR(D116="MDU",D116="MDU-KD"),G116*F116,0)</f>
        <v>0</v>
      </c>
      <c r="I116" s="42">
        <f t="shared" ref="I116:I165" ca="1" si="23">IF(D116="HDW",G116*F116,0)</f>
        <v>0</v>
      </c>
      <c r="J116" s="42">
        <f t="shared" ref="J116:J165" ca="1" si="24">IF(D116="JASA",G116*F116,0)</f>
        <v>0</v>
      </c>
      <c r="K116" s="43">
        <f t="shared" ref="K116:K165" ca="1" si="25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8"/>
        <v/>
      </c>
      <c r="C117" s="109" t="str">
        <f t="shared" ca="1" si="19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20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22"/>
        <v>0</v>
      </c>
      <c r="I117" s="42">
        <f t="shared" ca="1" si="23"/>
        <v>0</v>
      </c>
      <c r="J117" s="42">
        <f t="shared" ca="1" si="24"/>
        <v>0</v>
      </c>
      <c r="K117" s="43">
        <f t="shared" ca="1" si="25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8"/>
        <v/>
      </c>
      <c r="C118" s="109" t="str">
        <f t="shared" ca="1" si="19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20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22"/>
        <v>0</v>
      </c>
      <c r="I118" s="42">
        <f t="shared" ca="1" si="23"/>
        <v>0</v>
      </c>
      <c r="J118" s="42">
        <f t="shared" ca="1" si="24"/>
        <v>0</v>
      </c>
      <c r="K118" s="43">
        <f t="shared" ca="1" si="25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8"/>
        <v/>
      </c>
      <c r="C119" s="109" t="str">
        <f t="shared" ca="1" si="19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20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22"/>
        <v>0</v>
      </c>
      <c r="I119" s="42">
        <f t="shared" ca="1" si="23"/>
        <v>0</v>
      </c>
      <c r="J119" s="42">
        <f t="shared" ca="1" si="24"/>
        <v>0</v>
      </c>
      <c r="K119" s="43">
        <f t="shared" ca="1" si="25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8"/>
        <v/>
      </c>
      <c r="C120" s="109" t="str">
        <f t="shared" ca="1" si="19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20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22"/>
        <v>0</v>
      </c>
      <c r="I120" s="42">
        <f t="shared" ca="1" si="23"/>
        <v>0</v>
      </c>
      <c r="J120" s="42">
        <f t="shared" ca="1" si="24"/>
        <v>0</v>
      </c>
      <c r="K120" s="43">
        <f t="shared" ca="1" si="25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8"/>
        <v/>
      </c>
      <c r="C121" s="109" t="str">
        <f t="shared" ca="1" si="19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20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22"/>
        <v>0</v>
      </c>
      <c r="I121" s="42">
        <f t="shared" ca="1" si="23"/>
        <v>0</v>
      </c>
      <c r="J121" s="42">
        <f t="shared" ca="1" si="24"/>
        <v>0</v>
      </c>
      <c r="K121" s="43">
        <f t="shared" ca="1" si="25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8"/>
        <v/>
      </c>
      <c r="C122" s="109" t="str">
        <f t="shared" ca="1" si="19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20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22"/>
        <v>0</v>
      </c>
      <c r="I122" s="42">
        <f t="shared" ca="1" si="23"/>
        <v>0</v>
      </c>
      <c r="J122" s="42">
        <f t="shared" ca="1" si="24"/>
        <v>0</v>
      </c>
      <c r="K122" s="43">
        <f t="shared" ca="1" si="25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8"/>
        <v/>
      </c>
      <c r="C123" s="109" t="str">
        <f t="shared" ca="1" si="19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20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22"/>
        <v>0</v>
      </c>
      <c r="I123" s="42">
        <f t="shared" ca="1" si="23"/>
        <v>0</v>
      </c>
      <c r="J123" s="42">
        <f t="shared" ca="1" si="24"/>
        <v>0</v>
      </c>
      <c r="K123" s="43">
        <f t="shared" ca="1" si="25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8"/>
        <v/>
      </c>
      <c r="C124" s="109" t="str">
        <f t="shared" ca="1" si="19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20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22"/>
        <v>0</v>
      </c>
      <c r="I124" s="42">
        <f t="shared" ca="1" si="23"/>
        <v>0</v>
      </c>
      <c r="J124" s="42">
        <f t="shared" ca="1" si="24"/>
        <v>0</v>
      </c>
      <c r="K124" s="43">
        <f t="shared" ca="1" si="25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8"/>
        <v/>
      </c>
      <c r="C125" s="109" t="str">
        <f t="shared" ca="1" si="19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20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22"/>
        <v>0</v>
      </c>
      <c r="I125" s="42">
        <f t="shared" ca="1" si="23"/>
        <v>0</v>
      </c>
      <c r="J125" s="42">
        <f t="shared" ca="1" si="24"/>
        <v>0</v>
      </c>
      <c r="K125" s="43">
        <f t="shared" ca="1" si="25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8"/>
        <v/>
      </c>
      <c r="C126" s="109" t="str">
        <f t="shared" ca="1" si="19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20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22"/>
        <v>0</v>
      </c>
      <c r="I126" s="42">
        <f t="shared" ca="1" si="23"/>
        <v>0</v>
      </c>
      <c r="J126" s="42">
        <f t="shared" ca="1" si="24"/>
        <v>0</v>
      </c>
      <c r="K126" s="43">
        <f t="shared" ca="1" si="25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8"/>
        <v/>
      </c>
      <c r="C127" s="109" t="str">
        <f t="shared" ca="1" si="19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20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22"/>
        <v>0</v>
      </c>
      <c r="I127" s="42">
        <f t="shared" ca="1" si="23"/>
        <v>0</v>
      </c>
      <c r="J127" s="42">
        <f t="shared" ca="1" si="24"/>
        <v>0</v>
      </c>
      <c r="K127" s="43">
        <f t="shared" ca="1" si="25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8"/>
        <v/>
      </c>
      <c r="C128" s="109" t="str">
        <f t="shared" ca="1" si="19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20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22"/>
        <v>0</v>
      </c>
      <c r="I128" s="42">
        <f t="shared" ca="1" si="23"/>
        <v>0</v>
      </c>
      <c r="J128" s="42">
        <f t="shared" ca="1" si="24"/>
        <v>0</v>
      </c>
      <c r="K128" s="43">
        <f t="shared" ca="1" si="25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8"/>
        <v/>
      </c>
      <c r="C129" s="109" t="str">
        <f t="shared" ca="1" si="19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20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22"/>
        <v>0</v>
      </c>
      <c r="I129" s="42">
        <f t="shared" ca="1" si="23"/>
        <v>0</v>
      </c>
      <c r="J129" s="42">
        <f t="shared" ca="1" si="24"/>
        <v>0</v>
      </c>
      <c r="K129" s="43">
        <f t="shared" ca="1" si="25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8"/>
        <v/>
      </c>
      <c r="C130" s="109" t="str">
        <f t="shared" ca="1" si="19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20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22"/>
        <v>0</v>
      </c>
      <c r="I130" s="42">
        <f t="shared" ca="1" si="23"/>
        <v>0</v>
      </c>
      <c r="J130" s="42">
        <f t="shared" ca="1" si="24"/>
        <v>0</v>
      </c>
      <c r="K130" s="43">
        <f t="shared" ca="1" si="25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8"/>
        <v/>
      </c>
      <c r="C131" s="109" t="str">
        <f t="shared" ca="1" si="19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20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22"/>
        <v>0</v>
      </c>
      <c r="I131" s="42">
        <f t="shared" ca="1" si="23"/>
        <v>0</v>
      </c>
      <c r="J131" s="42">
        <f t="shared" ca="1" si="24"/>
        <v>0</v>
      </c>
      <c r="K131" s="43">
        <f t="shared" ca="1" si="25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8"/>
        <v/>
      </c>
      <c r="C132" s="109" t="str">
        <f t="shared" ca="1" si="19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20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22"/>
        <v>0</v>
      </c>
      <c r="I132" s="42">
        <f t="shared" ca="1" si="23"/>
        <v>0</v>
      </c>
      <c r="J132" s="42">
        <f t="shared" ca="1" si="24"/>
        <v>0</v>
      </c>
      <c r="K132" s="43">
        <f t="shared" ca="1" si="25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8"/>
        <v/>
      </c>
      <c r="C133" s="109" t="str">
        <f t="shared" ca="1" si="19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20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22"/>
        <v>0</v>
      </c>
      <c r="I133" s="42">
        <f t="shared" ca="1" si="23"/>
        <v>0</v>
      </c>
      <c r="J133" s="42">
        <f t="shared" ca="1" si="24"/>
        <v>0</v>
      </c>
      <c r="K133" s="43">
        <f t="shared" ca="1" si="25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8"/>
        <v/>
      </c>
      <c r="C134" s="109" t="str">
        <f t="shared" ca="1" si="19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20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22"/>
        <v>0</v>
      </c>
      <c r="I134" s="42">
        <f t="shared" ca="1" si="23"/>
        <v>0</v>
      </c>
      <c r="J134" s="42">
        <f t="shared" ca="1" si="24"/>
        <v>0</v>
      </c>
      <c r="K134" s="43">
        <f t="shared" ca="1" si="25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8"/>
        <v/>
      </c>
      <c r="C135" s="109" t="str">
        <f t="shared" ca="1" si="19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20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22"/>
        <v>0</v>
      </c>
      <c r="I135" s="42">
        <f t="shared" ca="1" si="23"/>
        <v>0</v>
      </c>
      <c r="J135" s="42">
        <f t="shared" ca="1" si="24"/>
        <v>0</v>
      </c>
      <c r="K135" s="43">
        <f t="shared" ca="1" si="25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8"/>
        <v/>
      </c>
      <c r="C136" s="109" t="str">
        <f t="shared" ca="1" si="19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20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22"/>
        <v>0</v>
      </c>
      <c r="I136" s="42">
        <f t="shared" ca="1" si="23"/>
        <v>0</v>
      </c>
      <c r="J136" s="42">
        <f t="shared" ca="1" si="24"/>
        <v>0</v>
      </c>
      <c r="K136" s="43">
        <f t="shared" ca="1" si="25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8"/>
        <v/>
      </c>
      <c r="C137" s="109" t="str">
        <f t="shared" ca="1" si="19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20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22"/>
        <v>0</v>
      </c>
      <c r="I137" s="42">
        <f t="shared" ca="1" si="23"/>
        <v>0</v>
      </c>
      <c r="J137" s="42">
        <f t="shared" ca="1" si="24"/>
        <v>0</v>
      </c>
      <c r="K137" s="43">
        <f t="shared" ca="1" si="25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8"/>
        <v/>
      </c>
      <c r="C138" s="109" t="str">
        <f t="shared" ca="1" si="19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20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22"/>
        <v>0</v>
      </c>
      <c r="I138" s="42">
        <f t="shared" ca="1" si="23"/>
        <v>0</v>
      </c>
      <c r="J138" s="42">
        <f t="shared" ca="1" si="24"/>
        <v>0</v>
      </c>
      <c r="K138" s="43">
        <f t="shared" ca="1" si="25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8"/>
        <v/>
      </c>
      <c r="C139" s="109" t="str">
        <f t="shared" ca="1" si="19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20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22"/>
        <v>0</v>
      </c>
      <c r="I139" s="42">
        <f t="shared" ca="1" si="23"/>
        <v>0</v>
      </c>
      <c r="J139" s="42">
        <f t="shared" ca="1" si="24"/>
        <v>0</v>
      </c>
      <c r="K139" s="43">
        <f t="shared" ca="1" si="25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8"/>
        <v/>
      </c>
      <c r="C140" s="109" t="str">
        <f t="shared" ca="1" si="19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20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22"/>
        <v>0</v>
      </c>
      <c r="I140" s="42">
        <f t="shared" ca="1" si="23"/>
        <v>0</v>
      </c>
      <c r="J140" s="42">
        <f t="shared" ca="1" si="24"/>
        <v>0</v>
      </c>
      <c r="K140" s="43">
        <f t="shared" ca="1" si="25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8"/>
        <v/>
      </c>
      <c r="C141" s="109" t="str">
        <f t="shared" ca="1" si="19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20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22"/>
        <v>0</v>
      </c>
      <c r="I141" s="42">
        <f t="shared" ca="1" si="23"/>
        <v>0</v>
      </c>
      <c r="J141" s="42">
        <f t="shared" ca="1" si="24"/>
        <v>0</v>
      </c>
      <c r="K141" s="43">
        <f t="shared" ca="1" si="25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8"/>
        <v/>
      </c>
      <c r="C142" s="109" t="str">
        <f t="shared" ca="1" si="19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20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22"/>
        <v>0</v>
      </c>
      <c r="I142" s="42">
        <f t="shared" ca="1" si="23"/>
        <v>0</v>
      </c>
      <c r="J142" s="42">
        <f t="shared" ca="1" si="24"/>
        <v>0</v>
      </c>
      <c r="K142" s="43">
        <f t="shared" ca="1" si="25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8"/>
        <v/>
      </c>
      <c r="C143" s="109" t="str">
        <f t="shared" ca="1" si="19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20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22"/>
        <v>0</v>
      </c>
      <c r="I143" s="42">
        <f t="shared" ca="1" si="23"/>
        <v>0</v>
      </c>
      <c r="J143" s="42">
        <f t="shared" ca="1" si="24"/>
        <v>0</v>
      </c>
      <c r="K143" s="43">
        <f t="shared" ca="1" si="25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8"/>
        <v/>
      </c>
      <c r="C144" s="109" t="str">
        <f t="shared" ca="1" si="19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20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22"/>
        <v>0</v>
      </c>
      <c r="I144" s="42">
        <f t="shared" ca="1" si="23"/>
        <v>0</v>
      </c>
      <c r="J144" s="42">
        <f t="shared" ca="1" si="24"/>
        <v>0</v>
      </c>
      <c r="K144" s="43">
        <f t="shared" ca="1" si="25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8"/>
        <v/>
      </c>
      <c r="C145" s="109" t="str">
        <f t="shared" ref="C145:C165" ca="1" si="26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7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22"/>
        <v>0</v>
      </c>
      <c r="I145" s="42">
        <f t="shared" ca="1" si="23"/>
        <v>0</v>
      </c>
      <c r="J145" s="42">
        <f t="shared" ca="1" si="24"/>
        <v>0</v>
      </c>
      <c r="K145" s="43">
        <f t="shared" ca="1" si="25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8"/>
        <v/>
      </c>
      <c r="C146" s="109" t="str">
        <f t="shared" ca="1" si="26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7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22"/>
        <v>0</v>
      </c>
      <c r="I146" s="42">
        <f t="shared" ca="1" si="23"/>
        <v>0</v>
      </c>
      <c r="J146" s="42">
        <f t="shared" ca="1" si="24"/>
        <v>0</v>
      </c>
      <c r="K146" s="43">
        <f t="shared" ca="1" si="25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8"/>
        <v/>
      </c>
      <c r="C147" s="109" t="str">
        <f t="shared" ca="1" si="26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7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22"/>
        <v>0</v>
      </c>
      <c r="I147" s="42">
        <f t="shared" ca="1" si="23"/>
        <v>0</v>
      </c>
      <c r="J147" s="42">
        <f t="shared" ca="1" si="24"/>
        <v>0</v>
      </c>
      <c r="K147" s="43">
        <f t="shared" ca="1" si="25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8"/>
        <v/>
      </c>
      <c r="C148" s="109" t="str">
        <f t="shared" ca="1" si="26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7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22"/>
        <v>0</v>
      </c>
      <c r="I148" s="42">
        <f t="shared" ca="1" si="23"/>
        <v>0</v>
      </c>
      <c r="J148" s="42">
        <f t="shared" ca="1" si="24"/>
        <v>0</v>
      </c>
      <c r="K148" s="43">
        <f t="shared" ca="1" si="25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8"/>
        <v/>
      </c>
      <c r="C149" s="109" t="str">
        <f t="shared" ca="1" si="26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7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22"/>
        <v>0</v>
      </c>
      <c r="I149" s="42">
        <f t="shared" ca="1" si="23"/>
        <v>0</v>
      </c>
      <c r="J149" s="42">
        <f t="shared" ca="1" si="24"/>
        <v>0</v>
      </c>
      <c r="K149" s="43">
        <f t="shared" ca="1" si="25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8"/>
        <v/>
      </c>
      <c r="C150" s="109" t="str">
        <f t="shared" ca="1" si="26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7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22"/>
        <v>0</v>
      </c>
      <c r="I150" s="42">
        <f t="shared" ca="1" si="23"/>
        <v>0</v>
      </c>
      <c r="J150" s="42">
        <f t="shared" ca="1" si="24"/>
        <v>0</v>
      </c>
      <c r="K150" s="43">
        <f t="shared" ca="1" si="25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8"/>
        <v/>
      </c>
      <c r="C151" s="109" t="str">
        <f t="shared" ca="1" si="26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7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22"/>
        <v>0</v>
      </c>
      <c r="I151" s="42">
        <f t="shared" ca="1" si="23"/>
        <v>0</v>
      </c>
      <c r="J151" s="42">
        <f t="shared" ca="1" si="24"/>
        <v>0</v>
      </c>
      <c r="K151" s="43">
        <f t="shared" ca="1" si="25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8"/>
        <v/>
      </c>
      <c r="C152" s="109" t="str">
        <f t="shared" ca="1" si="26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7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22"/>
        <v>0</v>
      </c>
      <c r="I152" s="42">
        <f t="shared" ca="1" si="23"/>
        <v>0</v>
      </c>
      <c r="J152" s="42">
        <f t="shared" ca="1" si="24"/>
        <v>0</v>
      </c>
      <c r="K152" s="43">
        <f t="shared" ca="1" si="25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8"/>
        <v/>
      </c>
      <c r="C153" s="109" t="str">
        <f t="shared" ca="1" si="26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7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22"/>
        <v>0</v>
      </c>
      <c r="I153" s="42">
        <f t="shared" ca="1" si="23"/>
        <v>0</v>
      </c>
      <c r="J153" s="42">
        <f t="shared" ca="1" si="24"/>
        <v>0</v>
      </c>
      <c r="K153" s="43">
        <f t="shared" ca="1" si="25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8"/>
        <v/>
      </c>
      <c r="C154" s="109" t="str">
        <f t="shared" ca="1" si="26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7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22"/>
        <v>0</v>
      </c>
      <c r="I154" s="42">
        <f t="shared" ca="1" si="23"/>
        <v>0</v>
      </c>
      <c r="J154" s="42">
        <f t="shared" ca="1" si="24"/>
        <v>0</v>
      </c>
      <c r="K154" s="43">
        <f t="shared" ca="1" si="25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8"/>
        <v/>
      </c>
      <c r="C155" s="109" t="str">
        <f t="shared" ca="1" si="26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7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22"/>
        <v>0</v>
      </c>
      <c r="I155" s="42">
        <f t="shared" ca="1" si="23"/>
        <v>0</v>
      </c>
      <c r="J155" s="42">
        <f t="shared" ca="1" si="24"/>
        <v>0</v>
      </c>
      <c r="K155" s="43">
        <f t="shared" ca="1" si="25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8"/>
        <v/>
      </c>
      <c r="C156" s="109" t="str">
        <f t="shared" ca="1" si="26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7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22"/>
        <v>0</v>
      </c>
      <c r="I156" s="42">
        <f t="shared" ca="1" si="23"/>
        <v>0</v>
      </c>
      <c r="J156" s="42">
        <f t="shared" ca="1" si="24"/>
        <v>0</v>
      </c>
      <c r="K156" s="43">
        <f t="shared" ca="1" si="25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8"/>
        <v/>
      </c>
      <c r="C157" s="109" t="str">
        <f t="shared" ca="1" si="26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7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22"/>
        <v>0</v>
      </c>
      <c r="I157" s="42">
        <f t="shared" ca="1" si="23"/>
        <v>0</v>
      </c>
      <c r="J157" s="42">
        <f t="shared" ca="1" si="24"/>
        <v>0</v>
      </c>
      <c r="K157" s="43">
        <f t="shared" ca="1" si="25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8"/>
        <v/>
      </c>
      <c r="C158" s="109" t="str">
        <f t="shared" ca="1" si="26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7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22"/>
        <v>0</v>
      </c>
      <c r="I158" s="42">
        <f t="shared" ca="1" si="23"/>
        <v>0</v>
      </c>
      <c r="J158" s="42">
        <f t="shared" ca="1" si="24"/>
        <v>0</v>
      </c>
      <c r="K158" s="43">
        <f t="shared" ca="1" si="25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8"/>
        <v/>
      </c>
      <c r="C159" s="109" t="str">
        <f t="shared" ca="1" si="26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7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22"/>
        <v>0</v>
      </c>
      <c r="I159" s="42">
        <f t="shared" ca="1" si="23"/>
        <v>0</v>
      </c>
      <c r="J159" s="42">
        <f t="shared" ca="1" si="24"/>
        <v>0</v>
      </c>
      <c r="K159" s="43">
        <f t="shared" ca="1" si="25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8"/>
        <v/>
      </c>
      <c r="C160" s="109" t="str">
        <f t="shared" ca="1" si="26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7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22"/>
        <v>0</v>
      </c>
      <c r="I160" s="42">
        <f t="shared" ca="1" si="23"/>
        <v>0</v>
      </c>
      <c r="J160" s="42">
        <f t="shared" ca="1" si="24"/>
        <v>0</v>
      </c>
      <c r="K160" s="43">
        <f t="shared" ca="1" si="25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8"/>
        <v/>
      </c>
      <c r="C161" s="109" t="str">
        <f t="shared" ca="1" si="26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7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22"/>
        <v>0</v>
      </c>
      <c r="I161" s="42">
        <f t="shared" ca="1" si="23"/>
        <v>0</v>
      </c>
      <c r="J161" s="42">
        <f t="shared" ca="1" si="24"/>
        <v>0</v>
      </c>
      <c r="K161" s="43">
        <f t="shared" ca="1" si="25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8"/>
        <v/>
      </c>
      <c r="C162" s="109" t="str">
        <f t="shared" ca="1" si="26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7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22"/>
        <v>0</v>
      </c>
      <c r="I162" s="42">
        <f t="shared" ca="1" si="23"/>
        <v>0</v>
      </c>
      <c r="J162" s="42">
        <f t="shared" ca="1" si="24"/>
        <v>0</v>
      </c>
      <c r="K162" s="43">
        <f t="shared" ca="1" si="25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8"/>
        <v/>
      </c>
      <c r="C163" s="109" t="str">
        <f t="shared" ca="1" si="26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7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22"/>
        <v>0</v>
      </c>
      <c r="I163" s="42">
        <f t="shared" ca="1" si="23"/>
        <v>0</v>
      </c>
      <c r="J163" s="42">
        <f t="shared" ca="1" si="24"/>
        <v>0</v>
      </c>
      <c r="K163" s="43">
        <f t="shared" ca="1" si="25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8"/>
        <v/>
      </c>
      <c r="C164" s="109" t="str">
        <f t="shared" ca="1" si="26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7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22"/>
        <v>0</v>
      </c>
      <c r="I164" s="42">
        <f t="shared" ca="1" si="23"/>
        <v>0</v>
      </c>
      <c r="J164" s="42">
        <f t="shared" ca="1" si="24"/>
        <v>0</v>
      </c>
      <c r="K164" s="43">
        <f t="shared" ca="1" si="25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8"/>
        <v/>
      </c>
      <c r="C165" s="109" t="str">
        <f t="shared" ca="1" si="26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7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22"/>
        <v>0</v>
      </c>
      <c r="I165" s="42">
        <f t="shared" ca="1" si="23"/>
        <v>0</v>
      </c>
      <c r="J165" s="42">
        <f t="shared" ca="1" si="24"/>
        <v>0</v>
      </c>
      <c r="K165" s="43">
        <f t="shared" ca="1" si="25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4" t="s">
        <v>1012</v>
      </c>
      <c r="D168" s="554"/>
      <c r="E168" s="554"/>
      <c r="F168" s="554"/>
      <c r="G168" s="77" t="s">
        <v>9</v>
      </c>
      <c r="H168" s="55">
        <f ca="1">SUM(H14:H167)</f>
        <v>68912800</v>
      </c>
      <c r="I168" s="55">
        <f ca="1">SUM(I14:I167)</f>
        <v>0</v>
      </c>
      <c r="J168" s="55">
        <f ca="1">SUM(J14:J167)</f>
        <v>0</v>
      </c>
      <c r="K168" s="55">
        <f ca="1">SUM(K14:K167)</f>
        <v>68912800</v>
      </c>
      <c r="L168" s="44"/>
      <c r="R168" s="99"/>
      <c r="S168" s="99"/>
      <c r="T168" s="99"/>
    </row>
    <row r="169" spans="1:20" s="36" customFormat="1">
      <c r="A169" s="30"/>
      <c r="B169" s="56"/>
      <c r="C169" s="555" t="s">
        <v>465</v>
      </c>
      <c r="D169" s="555"/>
      <c r="E169" s="555"/>
      <c r="F169" s="555"/>
      <c r="G169" s="59" t="s">
        <v>9</v>
      </c>
      <c r="H169" s="60">
        <f ca="1">H168*0.1</f>
        <v>6891280</v>
      </c>
      <c r="I169" s="60">
        <f ca="1">I168*0.1</f>
        <v>0</v>
      </c>
      <c r="J169" s="60">
        <f ca="1">J168*0.1</f>
        <v>0</v>
      </c>
      <c r="K169" s="60">
        <f ca="1">K168*0.1</f>
        <v>6891280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4" t="s">
        <v>466</v>
      </c>
      <c r="D170" s="544"/>
      <c r="E170" s="544"/>
      <c r="F170" s="544"/>
      <c r="G170" s="61" t="s">
        <v>9</v>
      </c>
      <c r="H170" s="78">
        <f ca="1">SUM(H168:H169)</f>
        <v>75804080</v>
      </c>
      <c r="I170" s="78">
        <f ca="1">SUM(I168:I169)</f>
        <v>0</v>
      </c>
      <c r="J170" s="61">
        <f ca="1">SUM(J168:J169)</f>
        <v>0</v>
      </c>
      <c r="K170" s="61">
        <f ca="1">SUM(K168:K169)</f>
        <v>75804080</v>
      </c>
      <c r="L170" s="44"/>
      <c r="R170" s="99"/>
      <c r="S170" s="99"/>
      <c r="T170" s="99"/>
    </row>
    <row r="171" spans="1:20" s="36" customFormat="1">
      <c r="A171" s="30"/>
      <c r="B171" s="547" t="e">
        <f ca="1">"Terbilang : ( "&amp;L172&amp;" Rupiah )"</f>
        <v>#NAME?</v>
      </c>
      <c r="C171" s="548"/>
      <c r="D171" s="548"/>
      <c r="E171" s="548"/>
      <c r="F171" s="548"/>
      <c r="G171" s="548"/>
      <c r="H171" s="548"/>
      <c r="I171" s="548"/>
      <c r="J171" s="548"/>
      <c r="K171" s="549"/>
      <c r="L171" s="44"/>
      <c r="R171" s="58"/>
      <c r="S171" s="58"/>
      <c r="T171" s="58"/>
    </row>
    <row r="172" spans="1:20" s="36" customFormat="1">
      <c r="A172" s="30"/>
      <c r="B172" s="550"/>
      <c r="C172" s="551"/>
      <c r="D172" s="551"/>
      <c r="E172" s="551"/>
      <c r="F172" s="551"/>
      <c r="G172" s="551"/>
      <c r="H172" s="551"/>
      <c r="I172" s="551"/>
      <c r="J172" s="551"/>
      <c r="K172" s="552"/>
      <c r="L172" s="62" t="e">
        <f ca="1">PROPER([114]!terbilang(K170))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1143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SUMIFS(RAB!$F$14:$F$151,RAB!$C$14:$C$151,C224)</f>
        <v>77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SUMIFS(RAB!$F$14:$F$151,RAB!$C$14:$C$151,C225)</f>
        <v>0</v>
      </c>
      <c r="E225" s="24">
        <f t="shared" ref="E225:E288" ca="1" si="28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SUMIFS(RAB!$F$14:$F$151,RAB!$C$14:$C$151,C226)</f>
        <v>0</v>
      </c>
      <c r="E226" s="24">
        <f t="shared" ca="1" si="28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SUMIFS(RAB!$F$14:$F$151,RAB!$C$14:$C$151,C227)</f>
        <v>0</v>
      </c>
      <c r="E227" s="24">
        <f t="shared" ca="1" si="28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SUMIFS(RAB!$F$14:$F$151,RAB!$C$14:$C$151,C228)</f>
        <v>0</v>
      </c>
      <c r="E228" s="24">
        <f t="shared" ca="1" si="28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SUMIFS(RAB!$F$14:$F$151,RAB!$C$14:$C$151,C229)</f>
        <v>0</v>
      </c>
      <c r="E229" s="24">
        <f t="shared" ca="1" si="28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SUMIFS(RAB!$F$14:$F$151,RAB!$C$14:$C$151,C230)</f>
        <v>0</v>
      </c>
      <c r="E230" s="24">
        <f t="shared" ca="1" si="28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SUMIFS(RAB!$F$14:$F$151,RAB!$C$14:$C$151,C231)</f>
        <v>0</v>
      </c>
      <c r="E231" s="24">
        <f t="shared" ca="1" si="28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SUMIFS(RAB!$F$14:$F$151,RAB!$C$14:$C$151,C232)</f>
        <v>0</v>
      </c>
      <c r="E232" s="24">
        <f t="shared" ca="1" si="28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SUMIFS(RAB!$F$14:$F$151,RAB!$C$14:$C$151,C233)</f>
        <v>77</v>
      </c>
      <c r="E233" s="24">
        <f t="shared" ca="1" si="28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SUMIFS(RAB!$F$14:$F$151,RAB!$C$14:$C$151,C234)</f>
        <v>0</v>
      </c>
      <c r="E234" s="24">
        <f t="shared" ca="1" si="28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SUMIFS(RAB!$F$14:$F$151,RAB!$C$14:$C$151,C235)</f>
        <v>0</v>
      </c>
      <c r="E235" s="24">
        <f t="shared" ca="1" si="28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SUMIFS(RAB!$F$14:$F$151,RAB!$C$14:$C$151,C236)</f>
        <v>0</v>
      </c>
      <c r="E236" s="24">
        <f t="shared" ca="1" si="28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SUMIFS(RAB!$F$14:$F$151,RAB!$C$14:$C$151,C237)</f>
        <v>0</v>
      </c>
      <c r="E237" s="24">
        <f t="shared" ca="1" si="28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SUMIFS(RAB!$F$14:$F$151,RAB!$C$14:$C$151,C238)</f>
        <v>0</v>
      </c>
      <c r="E238" s="24">
        <f t="shared" ca="1" si="28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SUMIFS(RAB!$F$14:$F$151,RAB!$C$14:$C$151,C239)</f>
        <v>0</v>
      </c>
      <c r="E239" s="24">
        <f t="shared" ca="1" si="28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SUMIFS(RAB!$F$14:$F$151,RAB!$C$14:$C$151,C240)</f>
        <v>0</v>
      </c>
      <c r="E240" s="24">
        <f t="shared" ca="1" si="28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SUMIFS(RAB!$F$14:$F$151,RAB!$C$14:$C$151,C241)</f>
        <v>0</v>
      </c>
      <c r="E241" s="24">
        <f t="shared" ca="1" si="28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SUMIFS(RAB!$F$14:$F$151,RAB!$C$14:$C$151,C242)</f>
        <v>0</v>
      </c>
      <c r="E242" s="24">
        <f t="shared" ca="1" si="28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SUMIFS(RAB!$F$14:$F$151,RAB!$C$14:$C$151,C243)</f>
        <v>0</v>
      </c>
      <c r="E243" s="24">
        <f t="shared" ca="1" si="28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SUMIFS(RAB!$F$14:$F$151,RAB!$C$14:$C$151,C244)</f>
        <v>0</v>
      </c>
      <c r="E244" s="24">
        <f t="shared" ca="1" si="28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SUMIFS(RAB!$F$14:$F$151,RAB!$C$14:$C$151,C245)</f>
        <v>0</v>
      </c>
      <c r="E245" s="24">
        <f t="shared" ca="1" si="28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SUMIFS(RAB!$F$14:$F$151,RAB!$C$14:$C$151,C246)</f>
        <v>0</v>
      </c>
      <c r="E246" s="24">
        <f t="shared" ca="1" si="28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SUMIFS(RAB!$F$14:$F$151,RAB!$C$14:$C$151,C247)</f>
        <v>0</v>
      </c>
      <c r="E247" s="24">
        <f t="shared" ca="1" si="28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SUMIFS(RAB!$F$14:$F$151,RAB!$C$14:$C$151,C248)</f>
        <v>0</v>
      </c>
      <c r="E248" s="24">
        <f t="shared" ca="1" si="28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SUMIFS(RAB!$F$14:$F$151,RAB!$C$14:$C$151,C249)</f>
        <v>0</v>
      </c>
      <c r="E249" s="24">
        <f t="shared" ca="1" si="28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SUMIFS(RAB!$F$14:$F$151,RAB!$C$14:$C$151,C250)</f>
        <v>0</v>
      </c>
      <c r="E250" s="24">
        <f t="shared" ca="1" si="28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SUMIFS(RAB!$F$14:$F$151,RAB!$C$14:$C$151,C251)</f>
        <v>0</v>
      </c>
      <c r="E251" s="24">
        <f t="shared" ca="1" si="28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SUMIFS(RAB!$F$14:$F$151,RAB!$C$14:$C$151,C252)</f>
        <v>0</v>
      </c>
      <c r="E252" s="24">
        <f t="shared" ca="1" si="28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SUMIFS(RAB!$F$14:$F$151,RAB!$C$14:$C$151,C253)</f>
        <v>0</v>
      </c>
      <c r="E253" s="24">
        <f t="shared" ca="1" si="28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SUMIFS(RAB!$F$14:$F$151,RAB!$C$14:$C$151,C254)</f>
        <v>0</v>
      </c>
      <c r="E254" s="24">
        <f t="shared" ca="1" si="28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SUMIFS(RAB!$F$14:$F$151,RAB!$C$14:$C$151,C255)</f>
        <v>0</v>
      </c>
      <c r="E255" s="24">
        <f t="shared" ca="1" si="28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SUMIFS(RAB!$F$14:$F$151,RAB!$C$14:$C$151,C256)</f>
        <v>0</v>
      </c>
      <c r="E256" s="24">
        <f t="shared" ca="1" si="28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SUMIFS(RAB!$F$14:$F$151,RAB!$C$14:$C$151,C257)</f>
        <v>0</v>
      </c>
      <c r="E257" s="24">
        <f t="shared" ca="1" si="28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SUMIFS(RAB!$F$14:$F$151,RAB!$C$14:$C$151,C258)</f>
        <v>0</v>
      </c>
      <c r="E258" s="24">
        <f t="shared" ca="1" si="28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SUMIFS(RAB!$F$14:$F$151,RAB!$C$14:$C$151,C259)</f>
        <v>0</v>
      </c>
      <c r="E259" s="24">
        <f t="shared" ca="1" si="28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SUMIFS(RAB!$F$14:$F$151,RAB!$C$14:$C$151,C260)</f>
        <v>0</v>
      </c>
      <c r="E260" s="24">
        <f t="shared" ca="1" si="28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SUMIFS(RAB!$F$14:$F$151,RAB!$C$14:$C$151,C261)</f>
        <v>0</v>
      </c>
      <c r="E261" s="24">
        <f t="shared" ca="1" si="28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SUMIFS(RAB!$F$14:$F$151,RAB!$C$14:$C$151,C262)</f>
        <v>0</v>
      </c>
      <c r="E262" s="24">
        <f t="shared" ca="1" si="28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SUMIFS(RAB!$F$14:$F$151,RAB!$C$14:$C$151,C263)</f>
        <v>0</v>
      </c>
      <c r="E263" s="24">
        <f t="shared" ca="1" si="28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SUMIFS(RAB!$F$14:$F$151,RAB!$C$14:$C$151,C264)</f>
        <v>0</v>
      </c>
      <c r="E264" s="24">
        <f t="shared" ca="1" si="28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SUMIFS(RAB!$F$14:$F$151,RAB!$C$14:$C$151,C265)</f>
        <v>0</v>
      </c>
      <c r="E265" s="24">
        <f t="shared" ca="1" si="28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SUMIFS(RAB!$F$14:$F$151,RAB!$C$14:$C$151,C266)</f>
        <v>0</v>
      </c>
      <c r="E266" s="24">
        <f t="shared" ca="1" si="28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SUMIFS(RAB!$F$14:$F$151,RAB!$C$14:$C$151,C267)</f>
        <v>0</v>
      </c>
      <c r="E267" s="24">
        <f t="shared" ca="1" si="28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SUMIFS(RAB!$F$14:$F$151,RAB!$C$14:$C$151,C268)</f>
        <v>0</v>
      </c>
      <c r="E268" s="24">
        <f t="shared" ca="1" si="28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SUMIFS(RAB!$F$14:$F$151,RAB!$C$14:$C$151,C269)</f>
        <v>0</v>
      </c>
      <c r="E269" s="24">
        <f t="shared" ca="1" si="28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SUMIFS(RAB!$F$14:$F$151,RAB!$C$14:$C$151,C270)</f>
        <v>0</v>
      </c>
      <c r="E270" s="24">
        <f t="shared" ca="1" si="28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SUMIFS(RAB!$F$14:$F$151,RAB!$C$14:$C$151,C271)</f>
        <v>0</v>
      </c>
      <c r="E271" s="24">
        <f t="shared" ca="1" si="28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SUMIFS(RAB!$F$14:$F$151,RAB!$C$14:$C$151,C272)</f>
        <v>0</v>
      </c>
      <c r="E272" s="24">
        <f t="shared" ca="1" si="28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SUMIFS(RAB!$F$14:$F$151,RAB!$C$14:$C$151,C273)</f>
        <v>0</v>
      </c>
      <c r="E273" s="24">
        <f t="shared" ca="1" si="28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SUMIFS(RAB!$F$14:$F$151,RAB!$C$14:$C$151,C274)</f>
        <v>0</v>
      </c>
      <c r="E274" s="24">
        <f t="shared" ca="1" si="28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SUMIFS(RAB!$F$14:$F$151,RAB!$C$14:$C$151,C275)</f>
        <v>0</v>
      </c>
      <c r="E275" s="24">
        <f t="shared" ca="1" si="28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SUMIFS(RAB!$F$14:$F$151,RAB!$C$14:$C$151,C276)</f>
        <v>0</v>
      </c>
      <c r="E276" s="24">
        <f t="shared" ca="1" si="28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SUMIFS(RAB!$F$14:$F$151,RAB!$C$14:$C$151,C277)</f>
        <v>0</v>
      </c>
      <c r="E277" s="24">
        <f t="shared" ca="1" si="28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SUMIFS(RAB!$F$14:$F$151,RAB!$C$14:$C$151,C278)</f>
        <v>0</v>
      </c>
      <c r="E278" s="24">
        <f t="shared" ca="1" si="28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SUMIFS(RAB!$F$14:$F$151,RAB!$C$14:$C$151,C279)</f>
        <v>0</v>
      </c>
      <c r="E279" s="24">
        <f t="shared" ca="1" si="28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SUMIFS(RAB!$F$14:$F$151,RAB!$C$14:$C$151,C280)</f>
        <v>0</v>
      </c>
      <c r="E280" s="24">
        <f t="shared" ca="1" si="28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SUMIFS(RAB!$F$14:$F$151,RAB!$C$14:$C$151,C281)</f>
        <v>0</v>
      </c>
      <c r="E281" s="24">
        <f t="shared" ca="1" si="28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SUMIFS(RAB!$F$14:$F$151,RAB!$C$14:$C$151,C282)</f>
        <v>0</v>
      </c>
      <c r="E282" s="24">
        <f t="shared" ca="1" si="28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SUMIFS(RAB!$F$14:$F$151,RAB!$C$14:$C$151,C283)</f>
        <v>0</v>
      </c>
      <c r="E283" s="24">
        <f t="shared" ca="1" si="28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SUMIFS(RAB!$F$14:$F$151,RAB!$C$14:$C$151,C284)</f>
        <v>0</v>
      </c>
      <c r="E284" s="24">
        <f t="shared" ca="1" si="28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SUMIFS(RAB!$F$14:$F$151,RAB!$C$14:$C$151,C285)</f>
        <v>0</v>
      </c>
      <c r="E285" s="24">
        <f t="shared" ca="1" si="28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SUMIFS(RAB!$F$14:$F$151,RAB!$C$14:$C$151,C286)</f>
        <v>0</v>
      </c>
      <c r="E286" s="24">
        <f t="shared" ca="1" si="28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SUMIFS(RAB!$F$14:$F$151,RAB!$C$14:$C$151,C287)</f>
        <v>0</v>
      </c>
      <c r="E287" s="24">
        <f t="shared" ca="1" si="28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SUMIFS(RAB!$F$14:$F$151,RAB!$C$14:$C$151,C288)</f>
        <v>0</v>
      </c>
      <c r="E288" s="24">
        <f t="shared" ca="1" si="28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SUMIFS(RAB!$F$14:$F$151,RAB!$C$14:$C$151,C289)</f>
        <v>0</v>
      </c>
      <c r="E289" s="24">
        <f t="shared" ref="E289:E352" ca="1" si="29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SUMIFS(RAB!$F$14:$F$151,RAB!$C$14:$C$151,C290)</f>
        <v>0</v>
      </c>
      <c r="E290" s="24">
        <f t="shared" ca="1" si="29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SUMIFS(RAB!$F$14:$F$151,RAB!$C$14:$C$151,C291)</f>
        <v>0</v>
      </c>
      <c r="E291" s="24">
        <f t="shared" ca="1" si="29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SUMIFS(RAB!$F$14:$F$151,RAB!$C$14:$C$151,C292)</f>
        <v>0</v>
      </c>
      <c r="E292" s="24">
        <f t="shared" ca="1" si="29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SUMIFS(RAB!$F$14:$F$151,RAB!$C$14:$C$151,C293)</f>
        <v>0</v>
      </c>
      <c r="E293" s="24">
        <f t="shared" ca="1" si="29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SUMIFS(RAB!$F$14:$F$151,RAB!$C$14:$C$151,C294)</f>
        <v>0</v>
      </c>
      <c r="E294" s="24">
        <f t="shared" ca="1" si="29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SUMIFS(RAB!$F$14:$F$151,RAB!$C$14:$C$151,C295)</f>
        <v>0</v>
      </c>
      <c r="E295" s="24">
        <f t="shared" ca="1" si="29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SUMIFS(RAB!$F$14:$F$151,RAB!$C$14:$C$151,C296)</f>
        <v>0</v>
      </c>
      <c r="E296" s="24">
        <f t="shared" ca="1" si="29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SUMIFS(RAB!$F$14:$F$151,RAB!$C$14:$C$151,C297)</f>
        <v>0</v>
      </c>
      <c r="E297" s="24">
        <f t="shared" ca="1" si="29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SUMIFS(RAB!$F$14:$F$151,RAB!$C$14:$C$151,C298)</f>
        <v>0</v>
      </c>
      <c r="E298" s="24">
        <f t="shared" ca="1" si="29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SUMIFS(RAB!$F$14:$F$151,RAB!$C$14:$C$151,C299)</f>
        <v>0</v>
      </c>
      <c r="E299" s="24">
        <f t="shared" ca="1" si="29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SUMIFS(RAB!$F$14:$F$151,RAB!$C$14:$C$151,C300)</f>
        <v>0</v>
      </c>
      <c r="E300" s="24">
        <f t="shared" ca="1" si="29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SUMIFS(RAB!$F$14:$F$151,RAB!$C$14:$C$151,C301)</f>
        <v>0</v>
      </c>
      <c r="E301" s="24">
        <f t="shared" ca="1" si="29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SUMIFS(RAB!$F$14:$F$151,RAB!$C$14:$C$151,C302)</f>
        <v>0</v>
      </c>
      <c r="E302" s="24">
        <f t="shared" ca="1" si="29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SUMIFS(RAB!$F$14:$F$151,RAB!$C$14:$C$151,C303)</f>
        <v>0</v>
      </c>
      <c r="E303" s="24">
        <f t="shared" ca="1" si="29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SUMIFS(RAB!$F$14:$F$151,RAB!$C$14:$C$151,C304)</f>
        <v>0</v>
      </c>
      <c r="E304" s="24">
        <f t="shared" ca="1" si="29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SUMIFS(RAB!$F$14:$F$151,RAB!$C$14:$C$151,C305)</f>
        <v>0</v>
      </c>
      <c r="E305" s="24">
        <f t="shared" ca="1" si="29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SUMIFS(RAB!$F$14:$F$151,RAB!$C$14:$C$151,C306)</f>
        <v>0</v>
      </c>
      <c r="E306" s="24">
        <f t="shared" ca="1" si="29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SUMIFS(RAB!$F$14:$F$151,RAB!$C$14:$C$151,C307)</f>
        <v>0</v>
      </c>
      <c r="E307" s="24">
        <f t="shared" ca="1" si="29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SUMIFS(RAB!$F$14:$F$151,RAB!$C$14:$C$151,C308)</f>
        <v>0</v>
      </c>
      <c r="E308" s="24">
        <f t="shared" ca="1" si="29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SUMIFS(RAB!$F$14:$F$151,RAB!$C$14:$C$151,C309)</f>
        <v>0</v>
      </c>
      <c r="E309" s="24">
        <f t="shared" ca="1" si="29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SUMIFS(RAB!$F$14:$F$151,RAB!$C$14:$C$151,C310)</f>
        <v>0</v>
      </c>
      <c r="E310" s="24">
        <f t="shared" ca="1" si="29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SUMIFS(RAB!$F$14:$F$151,RAB!$C$14:$C$151,C311)</f>
        <v>0</v>
      </c>
      <c r="E311" s="24">
        <f t="shared" ca="1" si="29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SUMIFS(RAB!$F$14:$F$151,RAB!$C$14:$C$151,C312)</f>
        <v>1</v>
      </c>
      <c r="E312" s="24">
        <f t="shared" ca="1" si="29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SUMIFS(RAB!$F$14:$F$151,RAB!$C$14:$C$151,C313)</f>
        <v>0</v>
      </c>
      <c r="E313" s="24">
        <f t="shared" ca="1" si="29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SUMIFS(RAB!$F$14:$F$151,RAB!$C$14:$C$151,C314)</f>
        <v>0</v>
      </c>
      <c r="E314" s="24">
        <f t="shared" ca="1" si="29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SUMIFS(RAB!$F$14:$F$151,RAB!$C$14:$C$151,C315)</f>
        <v>0</v>
      </c>
      <c r="E315" s="24">
        <f t="shared" ca="1" si="29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SUMIFS(RAB!$F$14:$F$151,RAB!$C$14:$C$151,C316)</f>
        <v>0</v>
      </c>
      <c r="E316" s="24">
        <f t="shared" ca="1" si="29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SUMIFS(RAB!$F$14:$F$151,RAB!$C$14:$C$151,C317)</f>
        <v>0</v>
      </c>
      <c r="E317" s="24">
        <f t="shared" ca="1" si="29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SUMIFS(RAB!$F$14:$F$151,RAB!$C$14:$C$151,C318)</f>
        <v>0</v>
      </c>
      <c r="E318" s="24">
        <f t="shared" ca="1" si="29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SUMIFS(RAB!$F$14:$F$151,RAB!$C$14:$C$151,C319)</f>
        <v>0</v>
      </c>
      <c r="E319" s="24">
        <f t="shared" ca="1" si="29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SUMIFS(RAB!$F$14:$F$151,RAB!$C$14:$C$151,C320)</f>
        <v>0</v>
      </c>
      <c r="E320" s="24">
        <f t="shared" ca="1" si="29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SUMIFS(RAB!$F$14:$F$151,RAB!$C$14:$C$151,C321)</f>
        <v>0</v>
      </c>
      <c r="E321" s="24">
        <f t="shared" ca="1" si="29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SUMIFS(RAB!$F$14:$F$151,RAB!$C$14:$C$151,C322)</f>
        <v>0</v>
      </c>
      <c r="E322" s="24">
        <f t="shared" ca="1" si="29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SUMIFS(RAB!$F$14:$F$151,RAB!$C$14:$C$151,C323)</f>
        <v>0</v>
      </c>
      <c r="E323" s="24">
        <f t="shared" ca="1" si="29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SUMIFS(RAB!$F$14:$F$151,RAB!$C$14:$C$151,C324)</f>
        <v>0</v>
      </c>
      <c r="E324" s="24">
        <f t="shared" ca="1" si="29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SUMIFS(RAB!$F$14:$F$151,RAB!$C$14:$C$151,C325)</f>
        <v>0</v>
      </c>
      <c r="E325" s="24">
        <f t="shared" ca="1" si="29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SUMIFS(RAB!$F$14:$F$151,RAB!$C$14:$C$151,C326)</f>
        <v>0</v>
      </c>
      <c r="E326" s="24">
        <f t="shared" ca="1" si="29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SUMIFS(RAB!$F$14:$F$151,RAB!$C$14:$C$151,C327)</f>
        <v>0</v>
      </c>
      <c r="E327" s="24">
        <f t="shared" ca="1" si="29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SUMIFS(RAB!$F$14:$F$151,RAB!$C$14:$C$151,C328)</f>
        <v>0</v>
      </c>
      <c r="E328" s="24">
        <f t="shared" ca="1" si="29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SUMIFS(RAB!$F$14:$F$151,RAB!$C$14:$C$151,C329)</f>
        <v>0</v>
      </c>
      <c r="E329" s="24">
        <f t="shared" ca="1" si="29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SUMIFS(RAB!$F$14:$F$151,RAB!$C$14:$C$151,C330)</f>
        <v>0</v>
      </c>
      <c r="E330" s="24">
        <f t="shared" ca="1" si="29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SUMIFS(RAB!$F$14:$F$151,RAB!$C$14:$C$151,C331)</f>
        <v>0</v>
      </c>
      <c r="E331" s="24">
        <f t="shared" ca="1" si="29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SUMIFS(RAB!$F$14:$F$151,RAB!$C$14:$C$151,C332)</f>
        <v>0</v>
      </c>
      <c r="E332" s="24">
        <f t="shared" ca="1" si="29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SUMIFS(RAB!$F$14:$F$151,RAB!$C$14:$C$151,C333)</f>
        <v>0</v>
      </c>
      <c r="E333" s="24">
        <f t="shared" ca="1" si="29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SUMIFS(RAB!$F$14:$F$151,RAB!$C$14:$C$151,C334)</f>
        <v>0</v>
      </c>
      <c r="E334" s="24">
        <f t="shared" ca="1" si="29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SUMIFS(RAB!$F$14:$F$151,RAB!$C$14:$C$151,C335)</f>
        <v>0</v>
      </c>
      <c r="E335" s="24">
        <f t="shared" ca="1" si="29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SUMIFS(RAB!$F$14:$F$151,RAB!$C$14:$C$151,C336)</f>
        <v>0</v>
      </c>
      <c r="E336" s="24">
        <f t="shared" ca="1" si="29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SUMIFS(RAB!$F$14:$F$151,RAB!$C$14:$C$151,C337)</f>
        <v>0</v>
      </c>
      <c r="E337" s="24">
        <f t="shared" ca="1" si="29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SUMIFS(RAB!$F$14:$F$151,RAB!$C$14:$C$151,C338)</f>
        <v>0</v>
      </c>
      <c r="E338" s="24">
        <f t="shared" ca="1" si="29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SUMIFS(RAB!$F$14:$F$151,RAB!$C$14:$C$151,C339)</f>
        <v>0</v>
      </c>
      <c r="E339" s="24">
        <f t="shared" ca="1" si="29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SUMIFS(RAB!$F$14:$F$151,RAB!$C$14:$C$151,C340)</f>
        <v>1</v>
      </c>
      <c r="E340" s="24">
        <f t="shared" ca="1" si="29"/>
        <v>1</v>
      </c>
      <c r="F340" s="24">
        <f ca="1">IF(D340=0,0,SUM($E$223:E340))</f>
        <v>4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SUMIFS(RAB!$F$14:$F$151,RAB!$C$14:$C$151,C341)</f>
        <v>0</v>
      </c>
      <c r="E341" s="24">
        <f t="shared" ca="1" si="29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SUMIFS(RAB!$F$14:$F$151,RAB!$C$14:$C$151,C342)</f>
        <v>82</v>
      </c>
      <c r="E342" s="24">
        <f t="shared" ca="1" si="29"/>
        <v>1</v>
      </c>
      <c r="F342" s="24">
        <f ca="1">IF(D342=0,0,SUM($E$223:E342))</f>
        <v>5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SUMIFS(RAB!$F$14:$F$151,RAB!$C$14:$C$151,C343)</f>
        <v>0</v>
      </c>
      <c r="E343" s="24">
        <f t="shared" ca="1" si="29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SUMIFS(RAB!$F$14:$F$151,RAB!$C$14:$C$151,C344)</f>
        <v>0</v>
      </c>
      <c r="E344" s="24">
        <f t="shared" ca="1" si="29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SUMIFS(RAB!$F$14:$F$151,RAB!$C$14:$C$151,C345)</f>
        <v>0</v>
      </c>
      <c r="E345" s="24">
        <f t="shared" ca="1" si="29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SUMIFS(RAB!$F$14:$F$151,RAB!$C$14:$C$151,C346)</f>
        <v>0</v>
      </c>
      <c r="E346" s="24">
        <f t="shared" ca="1" si="29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SUMIFS(RAB!$F$14:$F$151,RAB!$C$14:$C$151,C347)</f>
        <v>0</v>
      </c>
      <c r="E347" s="24">
        <f t="shared" ca="1" si="29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SUMIFS(RAB!$F$14:$F$151,RAB!$C$14:$C$151,C348)</f>
        <v>0</v>
      </c>
      <c r="E348" s="24">
        <f t="shared" ca="1" si="29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SUMIFS(RAB!$F$14:$F$151,RAB!$C$14:$C$151,C349)</f>
        <v>122</v>
      </c>
      <c r="E349" s="24">
        <f t="shared" ca="1" si="29"/>
        <v>1</v>
      </c>
      <c r="F349" s="24">
        <f ca="1">IF(D349=0,0,SUM($E$223:E349))</f>
        <v>6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SUMIFS(RAB!$F$14:$F$151,RAB!$C$14:$C$151,C350)</f>
        <v>0</v>
      </c>
      <c r="E350" s="24">
        <f t="shared" ca="1" si="29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SUMIFS(RAB!$F$14:$F$151,RAB!$C$14:$C$151,C351)</f>
        <v>0</v>
      </c>
      <c r="E351" s="24">
        <f t="shared" ca="1" si="29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SUMIFS(RAB!$F$14:$F$151,RAB!$C$14:$C$151,C352)</f>
        <v>1155</v>
      </c>
      <c r="E352" s="24">
        <f t="shared" ca="1" si="29"/>
        <v>1</v>
      </c>
      <c r="F352" s="24">
        <f ca="1">IF(D352=0,0,SUM($E$223:E352))</f>
        <v>7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SUMIFS(RAB!$F$14:$F$151,RAB!$C$14:$C$151,C353)</f>
        <v>0</v>
      </c>
      <c r="E353" s="24">
        <f t="shared" ref="E353:E373" ca="1" si="30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SUMIFS(RAB!$F$14:$F$151,RAB!$C$14:$C$151,C354)</f>
        <v>0</v>
      </c>
      <c r="E354" s="24">
        <f t="shared" ca="1" si="30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SUMIFS(RAB!$F$14:$F$151,RAB!$C$14:$C$151,C355)</f>
        <v>0</v>
      </c>
      <c r="E355" s="24">
        <f t="shared" ca="1" si="30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SUMIFS(RAB!$F$14:$F$151,RAB!$C$14:$C$151,C356)</f>
        <v>0</v>
      </c>
      <c r="E356" s="24">
        <f t="shared" ca="1" si="30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SUMIFS(RAB!$F$14:$F$151,RAB!$C$14:$C$151,C357)</f>
        <v>0</v>
      </c>
      <c r="E357" s="24">
        <f t="shared" ca="1" si="30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SUMIFS(RAB!$F$14:$F$151,RAB!$C$14:$C$151,C358)</f>
        <v>0</v>
      </c>
      <c r="E358" s="24">
        <f t="shared" ca="1" si="30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SUMIFS(RAB!$F$14:$F$151,RAB!$C$14:$C$151,C359)</f>
        <v>0</v>
      </c>
      <c r="E359" s="24">
        <f t="shared" ca="1" si="30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SUMIFS(RAB!$F$14:$F$151,RAB!$C$14:$C$151,C360)</f>
        <v>0</v>
      </c>
      <c r="E360" s="24">
        <f t="shared" ca="1" si="30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SUMIFS(RAB!$F$14:$F$151,RAB!$C$14:$C$151,C361)</f>
        <v>0</v>
      </c>
      <c r="E361" s="24">
        <f t="shared" ca="1" si="30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SUMIFS(RAB!$F$14:$F$151,RAB!$C$14:$C$151,C362)</f>
        <v>0</v>
      </c>
      <c r="E362" s="24">
        <f t="shared" ca="1" si="30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SUMIFS(RAB!$F$14:$F$151,RAB!$C$14:$C$151,C363)</f>
        <v>0</v>
      </c>
      <c r="E363" s="24">
        <f t="shared" ca="1" si="30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SUMIFS(RAB!$F$14:$F$151,RAB!$C$14:$C$151,C364)</f>
        <v>0</v>
      </c>
      <c r="E364" s="24">
        <f t="shared" ca="1" si="30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SUMIFS(RAB!$F$14:$F$151,RAB!$C$14:$C$151,C365)</f>
        <v>0</v>
      </c>
      <c r="E365" s="24">
        <f t="shared" ca="1" si="30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SUMIFS(RAB!$F$14:$F$151,RAB!$C$14:$C$151,C366)</f>
        <v>0</v>
      </c>
      <c r="E366" s="24">
        <f t="shared" ca="1" si="30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SUMIFS(RAB!$F$14:$F$151,RAB!$C$14:$C$151,C367)</f>
        <v>0</v>
      </c>
      <c r="E367" s="24">
        <f t="shared" ca="1" si="30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SUMIFS(RAB!$F$14:$F$151,RAB!$C$14:$C$151,C368)</f>
        <v>0</v>
      </c>
      <c r="E368" s="24">
        <f t="shared" ca="1" si="30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SUMIFS(RAB!$F$14:$F$151,RAB!$C$14:$C$151,C369)</f>
        <v>0</v>
      </c>
      <c r="E369" s="24">
        <f t="shared" ca="1" si="30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SUMIFS(RAB!$F$14:$F$151,RAB!$C$14:$C$151,C370)</f>
        <v>0</v>
      </c>
      <c r="E370" s="24">
        <f t="shared" ca="1" si="30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SUMIFS(RAB!$F$14:$F$151,RAB!$C$14:$C$151,C371)</f>
        <v>0</v>
      </c>
      <c r="E371" s="24">
        <f t="shared" ca="1" si="30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SUMIFS(RAB!$F$14:$F$151,RAB!$C$14:$C$151,C372)</f>
        <v>0</v>
      </c>
      <c r="E372" s="24">
        <f t="shared" ca="1" si="30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SUMIFS(RAB!$F$14:$F$151,RAB!$C$14:$C$151,C373)</f>
        <v>0</v>
      </c>
      <c r="E373" s="24">
        <f t="shared" ca="1" si="30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23" priority="5" operator="equal">
      <formula>0</formula>
    </cfRule>
  </conditionalFormatting>
  <conditionalFormatting sqref="C16:C165">
    <cfRule type="cellIs" dxfId="22" priority="4" stopIfTrue="1" operator="equal">
      <formula>0</formula>
    </cfRule>
  </conditionalFormatting>
  <conditionalFormatting sqref="C16:E165">
    <cfRule type="cellIs" dxfId="21" priority="1" operator="equal">
      <formula>0</formula>
    </cfRule>
  </conditionalFormatting>
  <conditionalFormatting sqref="D224:F373">
    <cfRule type="cellIs" dxfId="20" priority="8" operator="equal">
      <formula>0</formula>
    </cfRule>
  </conditionalFormatting>
  <conditionalFormatting sqref="E1:E3 G1:G31 E6:E15 H12:I12 N13 F14:F15 H14:K31 E166:K166 G166:G223 E167:F167 H167:K167">
    <cfRule type="cellIs" dxfId="19" priority="43" stopIfTrue="1" operator="equal">
      <formula>0</formula>
    </cfRule>
  </conditionalFormatting>
  <conditionalFormatting sqref="E171:E65536">
    <cfRule type="cellIs" dxfId="18" priority="9" stopIfTrue="1" operator="equal">
      <formula>0</formula>
    </cfRule>
  </conditionalFormatting>
  <conditionalFormatting sqref="G224">
    <cfRule type="cellIs" dxfId="17" priority="10" operator="equal">
      <formula>0</formula>
    </cfRule>
  </conditionalFormatting>
  <conditionalFormatting sqref="G225:G65536">
    <cfRule type="cellIs" dxfId="16" priority="14" stopIfTrue="1" operator="equal">
      <formula>0</formula>
    </cfRule>
  </conditionalFormatting>
  <conditionalFormatting sqref="R14:T166 G32:K165">
    <cfRule type="cellIs" dxfId="1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86"/>
    </row>
    <row r="4" spans="4:4" ht="57" customHeight="1">
      <c r="D4" s="386">
        <v>3</v>
      </c>
    </row>
    <row r="5" spans="4:4" ht="57" customHeight="1">
      <c r="D5" s="38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zoomScale="55" zoomScaleNormal="55" zoomScaleSheetLayoutView="85" workbookViewId="0">
      <selection activeCell="O19" sqref="O19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5" t="s">
        <v>1458</v>
      </c>
      <c r="C2" s="575"/>
      <c r="D2" s="575"/>
      <c r="E2" s="575"/>
      <c r="I2" s="206"/>
    </row>
    <row r="3" spans="1:12" s="205" customFormat="1" ht="13.5" customHeight="1" thickBot="1">
      <c r="B3" s="212"/>
      <c r="C3" s="212"/>
      <c r="D3" s="212"/>
      <c r="E3" s="212"/>
      <c r="I3" s="206"/>
    </row>
    <row r="4" spans="1:12" s="205" customFormat="1" ht="29.25" customHeight="1">
      <c r="A4" s="209"/>
      <c r="B4" s="580" t="s">
        <v>1534</v>
      </c>
      <c r="C4" s="581"/>
      <c r="D4" s="581"/>
      <c r="E4" s="582"/>
      <c r="F4" s="368"/>
      <c r="G4" s="368"/>
      <c r="H4" s="369"/>
      <c r="I4" s="609" t="s">
        <v>1535</v>
      </c>
      <c r="J4" s="610"/>
      <c r="K4" s="610"/>
      <c r="L4" s="611"/>
    </row>
    <row r="5" spans="1:12" ht="34.5" customHeight="1">
      <c r="A5" s="204"/>
      <c r="B5" s="371" t="s">
        <v>1383</v>
      </c>
      <c r="C5" s="211" t="s">
        <v>9</v>
      </c>
      <c r="D5" s="576" t="str">
        <f>DATA!D14</f>
        <v>PUTRA MANGUNJIWAN ASRI VI</v>
      </c>
      <c r="E5" s="577"/>
      <c r="F5" s="208"/>
      <c r="G5" s="208"/>
      <c r="I5" s="372" t="s">
        <v>1383</v>
      </c>
      <c r="J5" s="211" t="s">
        <v>9</v>
      </c>
      <c r="K5" s="612" t="str">
        <f>D5</f>
        <v>PUTRA MANGUNJIWAN ASRI VI</v>
      </c>
      <c r="L5" s="613"/>
    </row>
    <row r="6" spans="1:12" ht="31.5" customHeight="1">
      <c r="A6" s="204"/>
      <c r="B6" s="371" t="s">
        <v>1531</v>
      </c>
      <c r="C6" s="211" t="s">
        <v>9</v>
      </c>
      <c r="D6" s="585">
        <f>DATA!D17*1000</f>
        <v>0</v>
      </c>
      <c r="E6" s="586"/>
      <c r="F6" s="208"/>
      <c r="G6" s="208"/>
      <c r="I6" s="372" t="s">
        <v>1532</v>
      </c>
      <c r="J6" s="211" t="s">
        <v>9</v>
      </c>
      <c r="K6" s="614">
        <f>DATA!D20*1000</f>
        <v>100100.00000000001</v>
      </c>
      <c r="L6" s="615"/>
    </row>
    <row r="7" spans="1:12" ht="30.75" customHeight="1">
      <c r="A7" s="204"/>
      <c r="B7" s="371" t="s">
        <v>1445</v>
      </c>
      <c r="C7" s="211" t="s">
        <v>9</v>
      </c>
      <c r="D7" s="583">
        <f>DATA!D18</f>
        <v>1</v>
      </c>
      <c r="E7" s="584"/>
      <c r="F7" s="370" t="s">
        <v>1457</v>
      </c>
      <c r="I7" s="372" t="s">
        <v>1445</v>
      </c>
      <c r="J7" s="211" t="s">
        <v>9</v>
      </c>
      <c r="K7" s="616">
        <f>DATA!D21</f>
        <v>3</v>
      </c>
      <c r="L7" s="617"/>
    </row>
    <row r="8" spans="1:12" ht="51" customHeight="1">
      <c r="A8" s="204"/>
      <c r="B8" s="371" t="s">
        <v>1446</v>
      </c>
      <c r="C8" s="211" t="s">
        <v>9</v>
      </c>
      <c r="D8" s="583">
        <f>DATA!D19</f>
        <v>220</v>
      </c>
      <c r="E8" s="584"/>
      <c r="F8" s="370" t="s">
        <v>1457</v>
      </c>
      <c r="G8" s="365">
        <v>220</v>
      </c>
      <c r="I8" s="372" t="s">
        <v>1446</v>
      </c>
      <c r="J8" s="211" t="s">
        <v>9</v>
      </c>
      <c r="K8" s="616">
        <f>DATA!D22</f>
        <v>380</v>
      </c>
      <c r="L8" s="617"/>
    </row>
    <row r="9" spans="1:12" ht="30" customHeight="1" thickBot="1">
      <c r="A9" s="204"/>
      <c r="B9" s="377" t="s">
        <v>1543</v>
      </c>
      <c r="C9" s="367" t="s">
        <v>9</v>
      </c>
      <c r="D9" s="578">
        <f>IF(D7=1,D6/(380/3^0.5),(D6/(380*3^0.5)))</f>
        <v>0</v>
      </c>
      <c r="E9" s="579"/>
      <c r="F9" s="207"/>
      <c r="G9" s="366">
        <v>380</v>
      </c>
      <c r="I9" s="378" t="s">
        <v>1543</v>
      </c>
      <c r="J9" s="367" t="s">
        <v>9</v>
      </c>
      <c r="K9" s="620">
        <f>IF(K7=1,K6/(380/3^0.5),(K6/(380*3^0.5)))</f>
        <v>152.08621564705672</v>
      </c>
      <c r="L9" s="621"/>
    </row>
    <row r="10" spans="1:12" ht="24.75" customHeight="1">
      <c r="B10" s="379"/>
      <c r="C10" s="376"/>
      <c r="D10" s="380"/>
      <c r="E10" s="380"/>
      <c r="F10" s="207"/>
      <c r="G10" s="366"/>
      <c r="I10" s="379"/>
      <c r="J10" s="376"/>
      <c r="K10" s="380"/>
      <c r="L10" s="380"/>
    </row>
    <row r="11" spans="1:12" ht="16.5" thickBot="1">
      <c r="B11" s="373" t="s">
        <v>1544</v>
      </c>
      <c r="I11" s="373" t="s">
        <v>1538</v>
      </c>
    </row>
    <row r="12" spans="1:12" ht="34.5" customHeight="1">
      <c r="A12" s="204"/>
      <c r="B12" s="401" t="s">
        <v>1536</v>
      </c>
      <c r="C12" s="395" t="s">
        <v>9</v>
      </c>
      <c r="D12" s="587"/>
      <c r="E12" s="588"/>
      <c r="F12" s="208"/>
      <c r="G12" s="208"/>
      <c r="I12" s="394" t="s">
        <v>1536</v>
      </c>
      <c r="J12" s="395" t="s">
        <v>9</v>
      </c>
      <c r="K12" s="589"/>
      <c r="L12" s="590"/>
    </row>
    <row r="13" spans="1:12" ht="31.5" customHeight="1">
      <c r="A13" s="204"/>
      <c r="B13" s="402" t="s">
        <v>1384</v>
      </c>
      <c r="C13" s="382" t="s">
        <v>9</v>
      </c>
      <c r="D13" s="593"/>
      <c r="E13" s="594"/>
      <c r="F13" s="208"/>
      <c r="G13" s="208"/>
      <c r="I13" s="396" t="s">
        <v>1384</v>
      </c>
      <c r="J13" s="382" t="s">
        <v>9</v>
      </c>
      <c r="K13" s="618"/>
      <c r="L13" s="619"/>
    </row>
    <row r="14" spans="1:12" ht="30.75" customHeight="1">
      <c r="A14" s="204"/>
      <c r="B14" s="402" t="s">
        <v>1537</v>
      </c>
      <c r="C14" s="382" t="s">
        <v>9</v>
      </c>
      <c r="D14" s="601">
        <v>50</v>
      </c>
      <c r="E14" s="602"/>
      <c r="F14" s="370" t="s">
        <v>1457</v>
      </c>
      <c r="G14" s="374">
        <v>50</v>
      </c>
      <c r="I14" s="396" t="s">
        <v>1537</v>
      </c>
      <c r="J14" s="382" t="s">
        <v>9</v>
      </c>
      <c r="K14" s="603">
        <v>200</v>
      </c>
      <c r="L14" s="604"/>
    </row>
    <row r="15" spans="1:12" ht="57" customHeight="1">
      <c r="A15" s="204"/>
      <c r="B15" s="402" t="s">
        <v>1445</v>
      </c>
      <c r="C15" s="382" t="s">
        <v>9</v>
      </c>
      <c r="D15" s="388">
        <v>3</v>
      </c>
      <c r="E15" s="397"/>
      <c r="F15" s="370" t="s">
        <v>1457</v>
      </c>
      <c r="G15" s="374">
        <v>100</v>
      </c>
      <c r="I15" s="396" t="s">
        <v>1445</v>
      </c>
      <c r="J15" s="382" t="s">
        <v>9</v>
      </c>
      <c r="K15" s="388">
        <v>3</v>
      </c>
      <c r="L15" s="397"/>
    </row>
    <row r="16" spans="1:12" ht="44.25" customHeight="1">
      <c r="A16" s="204"/>
      <c r="B16" s="402" t="s">
        <v>1547</v>
      </c>
      <c r="C16" s="382"/>
      <c r="D16" s="605">
        <v>100</v>
      </c>
      <c r="E16" s="606"/>
      <c r="F16" s="370"/>
      <c r="G16" s="374">
        <v>160</v>
      </c>
      <c r="I16" s="396" t="s">
        <v>1539</v>
      </c>
      <c r="J16" s="382" t="s">
        <v>9</v>
      </c>
      <c r="K16" s="607">
        <f>K9</f>
        <v>152.08621564705672</v>
      </c>
      <c r="L16" s="608"/>
    </row>
    <row r="17" spans="1:12" ht="34.5" customHeight="1">
      <c r="A17" s="204"/>
      <c r="B17" s="402" t="s">
        <v>1540</v>
      </c>
      <c r="C17" s="382" t="s">
        <v>9</v>
      </c>
      <c r="D17" s="595">
        <f>IF(D15=1,D14/(20/3^0.5),(D14/(20*3^0.5)))</f>
        <v>1.4433756729740645</v>
      </c>
      <c r="E17" s="596"/>
      <c r="F17" s="370" t="s">
        <v>1457</v>
      </c>
      <c r="G17" s="375">
        <v>200</v>
      </c>
      <c r="I17" s="396" t="s">
        <v>1540</v>
      </c>
      <c r="J17" s="382" t="s">
        <v>9</v>
      </c>
      <c r="K17" s="599">
        <f>IF(K15=1,K14/(20/3^0.5),(K14/(20*3^0.5)))</f>
        <v>5.7735026918962582</v>
      </c>
      <c r="L17" s="600"/>
    </row>
    <row r="18" spans="1:12" ht="34.5" customHeight="1">
      <c r="A18" s="204"/>
      <c r="B18" s="402" t="s">
        <v>1541</v>
      </c>
      <c r="C18" s="382" t="s">
        <v>9</v>
      </c>
      <c r="D18" s="595">
        <f>IF(D15=1,D14/(380/3^0.5),(D14/(380*3^0.5)))*1000</f>
        <v>75.96714068284551</v>
      </c>
      <c r="E18" s="596"/>
      <c r="F18" s="370" t="s">
        <v>1457</v>
      </c>
      <c r="G18" s="375">
        <v>250</v>
      </c>
      <c r="I18" s="396" t="s">
        <v>1541</v>
      </c>
      <c r="J18" s="382" t="s">
        <v>9</v>
      </c>
      <c r="K18" s="599">
        <f>IF(K15=1,K14/(380/3^0.5),(K14/(380*3^0.5)))*1000</f>
        <v>303.86856273138204</v>
      </c>
      <c r="L18" s="600"/>
    </row>
    <row r="19" spans="1:12" ht="30" customHeight="1">
      <c r="A19" s="204"/>
      <c r="B19" s="403" t="s">
        <v>1533</v>
      </c>
      <c r="C19" s="381" t="s">
        <v>9</v>
      </c>
      <c r="D19" s="595">
        <f>IF(D15=1,D13/(380/3^0.5),(D13/(380*3^0.5)))</f>
        <v>0</v>
      </c>
      <c r="E19" s="596"/>
      <c r="F19" s="207"/>
      <c r="G19" s="366"/>
      <c r="I19" s="398" t="s">
        <v>1533</v>
      </c>
      <c r="J19" s="381" t="s">
        <v>9</v>
      </c>
      <c r="K19" s="599">
        <f>IF(K15=1,K13/(380/3^0.5),(K13/(380*3^0.5)))</f>
        <v>0</v>
      </c>
      <c r="L19" s="600"/>
    </row>
    <row r="20" spans="1:12" ht="30" customHeight="1" thickBot="1">
      <c r="A20" s="204"/>
      <c r="B20" s="404" t="s">
        <v>1542</v>
      </c>
      <c r="C20" s="400" t="s">
        <v>9</v>
      </c>
      <c r="D20" s="591">
        <f>D16/D18</f>
        <v>1.3163586137523464</v>
      </c>
      <c r="E20" s="592"/>
      <c r="F20" s="207"/>
      <c r="G20" s="366"/>
      <c r="I20" s="399" t="s">
        <v>1533</v>
      </c>
      <c r="J20" s="400" t="s">
        <v>9</v>
      </c>
      <c r="K20" s="597">
        <f>K16/K18</f>
        <v>0.50050000000000006</v>
      </c>
      <c r="L20" s="598"/>
    </row>
    <row r="21" spans="1:12" ht="9.75" customHeight="1">
      <c r="A21" s="204"/>
      <c r="B21" s="389" t="s">
        <v>1542</v>
      </c>
      <c r="C21" s="390" t="s">
        <v>9</v>
      </c>
      <c r="D21" s="574">
        <v>1</v>
      </c>
      <c r="E21" s="574"/>
      <c r="F21" s="391"/>
      <c r="G21" s="392"/>
      <c r="H21" s="393"/>
      <c r="I21" s="389" t="s">
        <v>1533</v>
      </c>
      <c r="J21" s="390" t="s">
        <v>9</v>
      </c>
      <c r="K21" s="574">
        <v>1</v>
      </c>
      <c r="L21" s="574"/>
    </row>
    <row r="22" spans="1:12" ht="6.75" customHeight="1">
      <c r="B22" s="379"/>
      <c r="C22" s="376"/>
      <c r="D22" s="387"/>
      <c r="E22" s="387"/>
      <c r="F22" s="207"/>
      <c r="G22" s="366"/>
      <c r="J22" s="376"/>
      <c r="K22" s="387"/>
      <c r="L22" s="387"/>
    </row>
    <row r="23" spans="1:12" ht="15.75" thickBot="1"/>
    <row r="24" spans="1:12" ht="200.25" customHeight="1" thickBot="1">
      <c r="B24" s="571"/>
      <c r="C24" s="572"/>
      <c r="D24" s="572"/>
      <c r="E24" s="573"/>
      <c r="I24" s="571"/>
      <c r="J24" s="572"/>
      <c r="K24" s="572"/>
      <c r="L24" s="573"/>
    </row>
    <row r="26" spans="1:12">
      <c r="D26" s="384"/>
    </row>
    <row r="27" spans="1:12">
      <c r="D27" s="38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0070C0"/>
  </sheetPr>
  <dimension ref="B1:K26"/>
  <sheetViews>
    <sheetView showGridLines="0" topLeftCell="A8" zoomScaleNormal="100" workbookViewId="0">
      <selection activeCell="I15" sqref="I15"/>
    </sheetView>
  </sheetViews>
  <sheetFormatPr defaultColWidth="9.140625" defaultRowHeight="15"/>
  <cols>
    <col min="1" max="1" width="1.28515625" style="221" customWidth="1"/>
    <col min="2" max="2" width="25.28515625" style="221" customWidth="1"/>
    <col min="3" max="3" width="3.28515625" style="221" customWidth="1"/>
    <col min="4" max="4" width="26.28515625" style="235" customWidth="1"/>
    <col min="5" max="5" width="6.42578125" style="221" customWidth="1"/>
    <col min="6" max="6" width="12" style="221" bestFit="1" customWidth="1"/>
    <col min="7" max="8" width="9.140625" style="221" hidden="1" customWidth="1"/>
    <col min="9" max="9" width="9.140625" style="221"/>
    <col min="10" max="10" width="3.85546875" style="221" customWidth="1"/>
    <col min="11" max="11" width="2.7109375" style="221" customWidth="1"/>
    <col min="12" max="16384" width="9.140625" style="221"/>
  </cols>
  <sheetData>
    <row r="1" spans="2:11" ht="12.75" customHeight="1">
      <c r="B1" s="622"/>
      <c r="C1" s="622"/>
      <c r="D1" s="622"/>
    </row>
    <row r="2" spans="2:11" ht="15.75" customHeight="1">
      <c r="B2" s="222" t="s">
        <v>1447</v>
      </c>
      <c r="C2" s="223"/>
      <c r="D2" s="224"/>
    </row>
    <row r="3" spans="2:11" ht="20.100000000000001" customHeight="1">
      <c r="B3" s="225" t="s">
        <v>1353</v>
      </c>
      <c r="C3" s="226" t="s">
        <v>9</v>
      </c>
      <c r="D3" s="227">
        <v>2022</v>
      </c>
    </row>
    <row r="4" spans="2:11" ht="20.100000000000001" customHeight="1">
      <c r="B4" s="225" t="s">
        <v>1034</v>
      </c>
      <c r="C4" s="226" t="s">
        <v>9</v>
      </c>
      <c r="D4" s="228">
        <v>0.12</v>
      </c>
    </row>
    <row r="5" spans="2:11" ht="20.100000000000001" customHeight="1">
      <c r="B5" s="225" t="s">
        <v>1354</v>
      </c>
      <c r="C5" s="226" t="s">
        <v>9</v>
      </c>
      <c r="D5" s="413">
        <v>1084.1250458865841</v>
      </c>
      <c r="F5" s="409" t="s">
        <v>1610</v>
      </c>
      <c r="K5" s="408"/>
    </row>
    <row r="6" spans="2:11" ht="20.100000000000001" customHeight="1">
      <c r="B6" s="225" t="s">
        <v>1355</v>
      </c>
      <c r="C6" s="226" t="s">
        <v>9</v>
      </c>
      <c r="D6" s="230">
        <v>25</v>
      </c>
      <c r="F6" s="409"/>
    </row>
    <row r="7" spans="2:11" ht="20.100000000000001" customHeight="1">
      <c r="B7" s="225" t="s">
        <v>1356</v>
      </c>
      <c r="C7" s="226" t="s">
        <v>9</v>
      </c>
      <c r="D7" s="231">
        <v>2.2499999999999999E-2</v>
      </c>
    </row>
    <row r="8" spans="2:11" ht="20.100000000000001" customHeight="1">
      <c r="B8" s="225" t="s">
        <v>1448</v>
      </c>
      <c r="C8" s="226" t="s">
        <v>9</v>
      </c>
      <c r="D8" s="232">
        <f>D20-D17</f>
        <v>100.10000000000001</v>
      </c>
    </row>
    <row r="9" spans="2:11" ht="20.100000000000001" customHeight="1">
      <c r="B9" s="225" t="s">
        <v>1449</v>
      </c>
      <c r="C9" s="226" t="s">
        <v>9</v>
      </c>
      <c r="D9" s="232">
        <f>(D8*D25)*1000</f>
        <v>93793700.000000015</v>
      </c>
    </row>
    <row r="10" spans="2:11" ht="20.100000000000001" customHeight="1">
      <c r="B10" s="225" t="s">
        <v>1450</v>
      </c>
      <c r="C10" s="226" t="s">
        <v>9</v>
      </c>
      <c r="D10" s="232">
        <f ca="1">RAB!K156</f>
        <v>116808361.69191</v>
      </c>
    </row>
    <row r="11" spans="2:11" ht="20.100000000000001" customHeight="1">
      <c r="B11" s="225" t="s">
        <v>1360</v>
      </c>
      <c r="C11" s="226" t="s">
        <v>9</v>
      </c>
      <c r="D11" s="229">
        <f ca="1">2%*D10</f>
        <v>2336167.2338382001</v>
      </c>
    </row>
    <row r="12" spans="2:11" ht="9" customHeight="1">
      <c r="B12" s="623"/>
      <c r="C12" s="623"/>
      <c r="D12" s="623"/>
    </row>
    <row r="13" spans="2:11" ht="15.75" customHeight="1">
      <c r="B13" s="233"/>
      <c r="C13" s="233"/>
      <c r="D13" s="233"/>
    </row>
    <row r="14" spans="2:11" ht="33.75" customHeight="1">
      <c r="B14" s="347" t="s">
        <v>1383</v>
      </c>
      <c r="C14" s="348" t="s">
        <v>9</v>
      </c>
      <c r="D14" s="510" t="s">
        <v>1659</v>
      </c>
      <c r="E14" s="234"/>
    </row>
    <row r="15" spans="2:11" ht="20.100000000000001" customHeight="1">
      <c r="B15" s="349" t="s">
        <v>1451</v>
      </c>
      <c r="C15" s="350" t="s">
        <v>9</v>
      </c>
      <c r="D15" s="511" t="s">
        <v>1639</v>
      </c>
      <c r="E15" s="234" t="s">
        <v>1457</v>
      </c>
    </row>
    <row r="16" spans="2:11" ht="20.100000000000001" customHeight="1">
      <c r="B16" s="349" t="s">
        <v>1452</v>
      </c>
      <c r="C16" s="350" t="s">
        <v>9</v>
      </c>
      <c r="D16" s="511" t="s">
        <v>1455</v>
      </c>
      <c r="E16" s="234" t="s">
        <v>1457</v>
      </c>
    </row>
    <row r="17" spans="2:5" ht="20.100000000000001" customHeight="1">
      <c r="B17" s="349" t="s">
        <v>1453</v>
      </c>
      <c r="C17" s="350" t="s">
        <v>9</v>
      </c>
      <c r="D17" s="512">
        <v>0</v>
      </c>
      <c r="E17" s="234" t="s">
        <v>1457</v>
      </c>
    </row>
    <row r="18" spans="2:5" ht="20.100000000000001" hidden="1" customHeight="1">
      <c r="B18" s="349" t="s">
        <v>1545</v>
      </c>
      <c r="C18" s="350"/>
      <c r="D18" s="512">
        <f>IF((D17&lt;=11),1,3)</f>
        <v>1</v>
      </c>
      <c r="E18" s="234"/>
    </row>
    <row r="19" spans="2:5" ht="20.100000000000001" hidden="1" customHeight="1">
      <c r="B19" s="349" t="s">
        <v>1546</v>
      </c>
      <c r="C19" s="350"/>
      <c r="D19" s="512">
        <f>IF((D17&lt;=11),220,380)</f>
        <v>220</v>
      </c>
      <c r="E19" s="234"/>
    </row>
    <row r="20" spans="2:5" ht="20.100000000000001" customHeight="1">
      <c r="B20" s="349" t="s">
        <v>1454</v>
      </c>
      <c r="C20" s="350" t="s">
        <v>9</v>
      </c>
      <c r="D20" s="512">
        <f>(1.3*RAB!F143)</f>
        <v>100.10000000000001</v>
      </c>
      <c r="E20" s="234" t="s">
        <v>1457</v>
      </c>
    </row>
    <row r="21" spans="2:5" ht="20.100000000000001" hidden="1" customHeight="1">
      <c r="B21" s="349" t="s">
        <v>1545</v>
      </c>
      <c r="C21" s="350"/>
      <c r="D21" s="512">
        <f>IF((D20&lt;=11),1,3)</f>
        <v>3</v>
      </c>
      <c r="E21" s="234"/>
    </row>
    <row r="22" spans="2:5" ht="20.100000000000001" hidden="1" customHeight="1">
      <c r="B22" s="349" t="s">
        <v>1546</v>
      </c>
      <c r="C22" s="350"/>
      <c r="D22" s="512">
        <f>IF((D20&lt;=11),220,380)</f>
        <v>380</v>
      </c>
      <c r="E22" s="234"/>
    </row>
    <row r="23" spans="2:5" ht="20.100000000000001" customHeight="1">
      <c r="B23" s="349" t="s">
        <v>1357</v>
      </c>
      <c r="C23" s="350" t="s">
        <v>9</v>
      </c>
      <c r="D23" s="511">
        <v>1444.7</v>
      </c>
      <c r="E23" s="234" t="s">
        <v>1457</v>
      </c>
    </row>
    <row r="24" spans="2:5" ht="20.100000000000001" customHeight="1">
      <c r="B24" s="349" t="s">
        <v>1358</v>
      </c>
      <c r="C24" s="350" t="s">
        <v>9</v>
      </c>
      <c r="D24" s="511">
        <v>1444.7</v>
      </c>
      <c r="E24" s="234" t="s">
        <v>1457</v>
      </c>
    </row>
    <row r="25" spans="2:5" ht="20.100000000000001" customHeight="1">
      <c r="B25" s="349" t="s">
        <v>1456</v>
      </c>
      <c r="C25" s="350" t="s">
        <v>9</v>
      </c>
      <c r="D25" s="512">
        <v>937</v>
      </c>
      <c r="E25" s="234" t="s">
        <v>1457</v>
      </c>
    </row>
    <row r="26" spans="2:5" ht="20.100000000000001" customHeight="1">
      <c r="B26" s="351" t="s">
        <v>1359</v>
      </c>
      <c r="C26" s="352" t="s">
        <v>9</v>
      </c>
      <c r="D26" s="513">
        <v>40</v>
      </c>
      <c r="E26" s="234" t="s">
        <v>1457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V39"/>
  <sheetViews>
    <sheetView showGridLines="0" zoomScale="70" zoomScaleNormal="70" workbookViewId="0">
      <pane ySplit="6" topLeftCell="A7" activePane="bottomLeft" state="frozen"/>
      <selection activeCell="J19" sqref="J19"/>
      <selection pane="bottomLeft" activeCell="O7" sqref="O7"/>
    </sheetView>
  </sheetViews>
  <sheetFormatPr defaultColWidth="9.140625" defaultRowHeight="15"/>
  <cols>
    <col min="1" max="1" width="5" style="236" customWidth="1"/>
    <col min="2" max="2" width="6.28515625" style="236" customWidth="1"/>
    <col min="3" max="3" width="15.140625" style="236" customWidth="1"/>
    <col min="4" max="4" width="15" style="236" customWidth="1"/>
    <col min="5" max="5" width="15.140625" style="236" bestFit="1" customWidth="1"/>
    <col min="6" max="6" width="12.140625" style="236" bestFit="1" customWidth="1"/>
    <col min="7" max="7" width="10" style="236" bestFit="1" customWidth="1"/>
    <col min="8" max="8" width="15.7109375" style="236" bestFit="1" customWidth="1"/>
    <col min="9" max="9" width="14.140625" style="236" bestFit="1" customWidth="1"/>
    <col min="10" max="10" width="13.85546875" style="236" bestFit="1" customWidth="1"/>
    <col min="11" max="11" width="15.7109375" style="236" customWidth="1"/>
    <col min="12" max="12" width="11.140625" style="236" bestFit="1" customWidth="1"/>
    <col min="13" max="13" width="13.85546875" style="236" bestFit="1" customWidth="1"/>
    <col min="14" max="14" width="12.85546875" style="236" bestFit="1" customWidth="1"/>
    <col min="15" max="15" width="7" style="236" customWidth="1"/>
    <col min="16" max="17" width="12.85546875" style="236" bestFit="1" customWidth="1"/>
    <col min="18" max="18" width="1.28515625" style="236" hidden="1" customWidth="1"/>
    <col min="19" max="19" width="3" style="238" hidden="1" customWidth="1"/>
    <col min="20" max="16384" width="9.140625" style="236"/>
  </cols>
  <sheetData>
    <row r="1" spans="1:21">
      <c r="G1" s="237"/>
    </row>
    <row r="2" spans="1:21">
      <c r="G2" s="237"/>
      <c r="K2" s="237"/>
    </row>
    <row r="3" spans="1:21">
      <c r="B3" s="624" t="s">
        <v>1361</v>
      </c>
      <c r="C3" s="624"/>
      <c r="D3" s="624"/>
      <c r="E3" s="624"/>
      <c r="F3" s="239" t="str">
        <f>DATA!D14</f>
        <v>PUTRA MANGUNJIWAN ASRI VI</v>
      </c>
      <c r="G3" s="237"/>
    </row>
    <row r="4" spans="1:21" ht="7.5" customHeight="1">
      <c r="B4" s="240"/>
      <c r="C4" s="240"/>
      <c r="D4" s="240"/>
      <c r="E4" s="240"/>
      <c r="F4" s="239"/>
      <c r="G4" s="237"/>
    </row>
    <row r="5" spans="1:21" ht="20.100000000000001" customHeight="1">
      <c r="B5" s="625" t="s">
        <v>1353</v>
      </c>
      <c r="C5" s="625" t="s">
        <v>1362</v>
      </c>
      <c r="D5" s="626" t="s">
        <v>1363</v>
      </c>
      <c r="E5" s="626" t="s">
        <v>1364</v>
      </c>
      <c r="F5" s="625" t="s">
        <v>1365</v>
      </c>
      <c r="G5" s="625"/>
      <c r="H5" s="625"/>
      <c r="I5" s="625"/>
      <c r="J5" s="625"/>
      <c r="K5" s="625" t="s">
        <v>1366</v>
      </c>
      <c r="L5" s="625"/>
      <c r="M5" s="241"/>
      <c r="N5" s="629" t="s">
        <v>1367</v>
      </c>
      <c r="O5" s="626" t="s">
        <v>1368</v>
      </c>
      <c r="P5" s="626" t="s">
        <v>1369</v>
      </c>
      <c r="Q5" s="626" t="s">
        <v>1370</v>
      </c>
      <c r="R5" s="242"/>
      <c r="S5" s="243"/>
      <c r="T5" s="627" t="s">
        <v>1371</v>
      </c>
      <c r="U5" s="244"/>
    </row>
    <row r="6" spans="1:21" ht="20.100000000000001" customHeight="1">
      <c r="B6" s="625"/>
      <c r="C6" s="625"/>
      <c r="D6" s="625"/>
      <c r="E6" s="625"/>
      <c r="F6" s="245" t="s">
        <v>1372</v>
      </c>
      <c r="G6" s="245" t="s">
        <v>1373</v>
      </c>
      <c r="H6" s="245" t="s">
        <v>1374</v>
      </c>
      <c r="I6" s="245" t="s">
        <v>1375</v>
      </c>
      <c r="J6" s="245" t="s">
        <v>1036</v>
      </c>
      <c r="K6" s="245" t="s">
        <v>1376</v>
      </c>
      <c r="L6" s="245" t="s">
        <v>1377</v>
      </c>
      <c r="M6" s="245" t="s">
        <v>1036</v>
      </c>
      <c r="N6" s="630"/>
      <c r="O6" s="625"/>
      <c r="P6" s="625"/>
      <c r="Q6" s="625"/>
      <c r="R6" s="242"/>
      <c r="S6" s="243"/>
      <c r="T6" s="625"/>
      <c r="U6" s="246"/>
    </row>
    <row r="7" spans="1:21" ht="20.100000000000001" customHeight="1">
      <c r="A7" s="247">
        <v>0</v>
      </c>
      <c r="B7" s="248">
        <v>2024</v>
      </c>
      <c r="C7" s="405">
        <f>DATA!D8*DATA!D26*12</f>
        <v>48048.000000000007</v>
      </c>
      <c r="D7" s="250">
        <f>C7*4/24</f>
        <v>8008.0000000000009</v>
      </c>
      <c r="E7" s="250">
        <f>C7-D7</f>
        <v>40040.000000000007</v>
      </c>
      <c r="F7" s="251">
        <f ca="1">DATA!D10/1000000</f>
        <v>116.80836169190999</v>
      </c>
      <c r="G7" s="252">
        <f ca="1">DATA!$D$11/1000000</f>
        <v>2.3361672338382</v>
      </c>
      <c r="H7" s="252">
        <f>C7*DATA!$D$5/1000000</f>
        <v>52.090040204758601</v>
      </c>
      <c r="I7" s="252">
        <f>(C7*DATA!$D$5*DATA!$D$7)/1000000</f>
        <v>1.1720259046070685</v>
      </c>
      <c r="J7" s="250">
        <f ca="1">SUM(F7:I7)</f>
        <v>172.40659503511387</v>
      </c>
      <c r="K7" s="253">
        <f>DATA!D9/1000000</f>
        <v>93.793700000000015</v>
      </c>
      <c r="L7" s="250">
        <f>((D7*DATA!$D$23)/1000000)+((E7*DATA!$D$24)/1000000)</f>
        <v>69.41494560000001</v>
      </c>
      <c r="M7" s="250">
        <f>K7+L7</f>
        <v>163.20864560000001</v>
      </c>
      <c r="N7" s="250">
        <f ca="1">M7-J7</f>
        <v>-9.1979494351138555</v>
      </c>
      <c r="O7" s="248">
        <v>1</v>
      </c>
      <c r="P7" s="250">
        <f ca="1">O7*N7</f>
        <v>-9.1979494351138555</v>
      </c>
      <c r="Q7" s="250">
        <f ca="1">P7</f>
        <v>-9.1979494351138555</v>
      </c>
      <c r="S7" s="238" t="str">
        <f ca="1">IF(Q7&lt;0,"a","")</f>
        <v>a</v>
      </c>
      <c r="T7" s="254" t="str">
        <f>IF(Q5&gt;=0,"",IF(Q7&lt;0,"",IF(Q7=0,A7,(A7-(Q7/N7)))))</f>
        <v/>
      </c>
      <c r="U7" s="238"/>
    </row>
    <row r="8" spans="1:21" ht="20.100000000000001" customHeight="1">
      <c r="A8" s="247">
        <f>A7+1</f>
        <v>1</v>
      </c>
      <c r="B8" s="248">
        <f>B7+1</f>
        <v>2025</v>
      </c>
      <c r="C8" s="249">
        <f>DATA!D8*DATA!D26*12</f>
        <v>48048.000000000007</v>
      </c>
      <c r="D8" s="250">
        <f>C8*4/24</f>
        <v>8008.0000000000009</v>
      </c>
      <c r="E8" s="250">
        <f t="shared" ref="E8:E32" si="0">C8-D8</f>
        <v>40040.000000000007</v>
      </c>
      <c r="F8" s="248"/>
      <c r="G8" s="252">
        <f ca="1">DATA!$D$11/1000000</f>
        <v>2.3361672338382</v>
      </c>
      <c r="H8" s="252">
        <f>C8*DATA!$D$5/1000000</f>
        <v>52.090040204758601</v>
      </c>
      <c r="I8" s="252">
        <f>(C8*DATA!$D$5*DATA!$D$7)/1000000</f>
        <v>1.1720259046070685</v>
      </c>
      <c r="J8" s="250">
        <f t="shared" ref="J8:J32" ca="1" si="1">SUM(F8:I8)</f>
        <v>55.598233343203873</v>
      </c>
      <c r="K8" s="255"/>
      <c r="L8" s="250">
        <f>((D8*DATA!$D$23)/1000000)+((E8*DATA!$D$24)/1000000)</f>
        <v>69.41494560000001</v>
      </c>
      <c r="M8" s="250">
        <f t="shared" ref="M8:M32" si="2">K8+L8</f>
        <v>69.41494560000001</v>
      </c>
      <c r="N8" s="250">
        <f ca="1">M8-J8</f>
        <v>13.816712256796137</v>
      </c>
      <c r="O8" s="249">
        <f>1/(1+'[115]Asumsi I'!$C$3)^(KKF!A8)</f>
        <v>0.89285714285714279</v>
      </c>
      <c r="P8" s="250">
        <f ca="1">O8*N8</f>
        <v>12.336350229282264</v>
      </c>
      <c r="Q8" s="250">
        <f ca="1">Q7+P8</f>
        <v>3.1384007941684082</v>
      </c>
      <c r="S8" s="238" t="str">
        <f t="shared" ref="S8:S32" ca="1" si="3">IF(Q8&lt;0,"a","")</f>
        <v/>
      </c>
      <c r="T8" s="254" t="str">
        <f>IF(Q6&gt;=0,"",IF(Q8&lt;0,"",IF(Q8=0,A8,(A8-(Q8/N8)))))</f>
        <v/>
      </c>
      <c r="U8" s="238"/>
    </row>
    <row r="9" spans="1:21" ht="20.100000000000001" customHeight="1">
      <c r="A9" s="247">
        <f t="shared" ref="A9:B24" si="4">A8+1</f>
        <v>2</v>
      </c>
      <c r="B9" s="248">
        <f t="shared" si="4"/>
        <v>2026</v>
      </c>
      <c r="C9" s="256">
        <f>+C8</f>
        <v>48048.000000000007</v>
      </c>
      <c r="D9" s="250">
        <f t="shared" ref="D9:D32" si="5">C9*4/24</f>
        <v>8008.0000000000009</v>
      </c>
      <c r="E9" s="250">
        <f t="shared" si="0"/>
        <v>40040.000000000007</v>
      </c>
      <c r="F9" s="248"/>
      <c r="G9" s="252">
        <f ca="1">DATA!$D$11/1000000</f>
        <v>2.3361672338382</v>
      </c>
      <c r="H9" s="252">
        <f>C9*DATA!$D$5/1000000</f>
        <v>52.090040204758601</v>
      </c>
      <c r="I9" s="252">
        <f>(C9*DATA!$D$5*DATA!$D$7)/1000000</f>
        <v>1.1720259046070685</v>
      </c>
      <c r="J9" s="250">
        <f t="shared" ca="1" si="1"/>
        <v>55.598233343203873</v>
      </c>
      <c r="K9" s="250"/>
      <c r="L9" s="250">
        <f>((D9*DATA!$D$23)/1000000)+((E9*DATA!$D$24)/1000000)</f>
        <v>69.41494560000001</v>
      </c>
      <c r="M9" s="250">
        <f t="shared" si="2"/>
        <v>69.41494560000001</v>
      </c>
      <c r="N9" s="250">
        <f t="shared" ref="N9:N32" ca="1" si="6">M9-J9</f>
        <v>13.816712256796137</v>
      </c>
      <c r="O9" s="256">
        <f>1/(1+'[115]Asumsi I'!$C$3)^(KKF!A9)</f>
        <v>0.79719387755102034</v>
      </c>
      <c r="P9" s="250">
        <f t="shared" ref="P9:P32" ca="1" si="7">O9*N9</f>
        <v>11.014598419002022</v>
      </c>
      <c r="Q9" s="250">
        <f ca="1">Q8+P9</f>
        <v>14.15299921317043</v>
      </c>
      <c r="S9" s="238" t="str">
        <f t="shared" ca="1" si="3"/>
        <v/>
      </c>
      <c r="T9" s="254">
        <f ca="1">IF(Q7&gt;=0,"",IF(Q9&lt;0,"",IF(Q9=0,A9,(A9-(Q9/N9)))))</f>
        <v>0.97566085548254211</v>
      </c>
      <c r="U9" s="238"/>
    </row>
    <row r="10" spans="1:21" ht="20.100000000000001" customHeight="1">
      <c r="A10" s="247">
        <f t="shared" si="4"/>
        <v>3</v>
      </c>
      <c r="B10" s="248">
        <f t="shared" si="4"/>
        <v>2027</v>
      </c>
      <c r="C10" s="249">
        <f t="shared" ref="C10:C32" si="8">+C9</f>
        <v>48048.000000000007</v>
      </c>
      <c r="D10" s="250">
        <f t="shared" si="5"/>
        <v>8008.0000000000009</v>
      </c>
      <c r="E10" s="250">
        <f t="shared" si="0"/>
        <v>40040.000000000007</v>
      </c>
      <c r="F10" s="248"/>
      <c r="G10" s="252">
        <f ca="1">DATA!$D$11/1000000</f>
        <v>2.3361672338382</v>
      </c>
      <c r="H10" s="252">
        <f>C10*DATA!$D$5/1000000</f>
        <v>52.090040204758601</v>
      </c>
      <c r="I10" s="252">
        <f>(C10*DATA!$D$5*DATA!$D$7)/1000000</f>
        <v>1.1720259046070685</v>
      </c>
      <c r="J10" s="250">
        <f t="shared" ca="1" si="1"/>
        <v>55.598233343203873</v>
      </c>
      <c r="K10" s="248"/>
      <c r="L10" s="250">
        <f>((D10*DATA!$D$23)/1000000)+((E10*DATA!$D$24)/1000000)</f>
        <v>69.41494560000001</v>
      </c>
      <c r="M10" s="250">
        <f t="shared" si="2"/>
        <v>69.41494560000001</v>
      </c>
      <c r="N10" s="250">
        <f t="shared" ca="1" si="6"/>
        <v>13.816712256796137</v>
      </c>
      <c r="O10" s="249">
        <f>1/(1+'[115]Asumsi I'!$C$3)^(KKF!A10)</f>
        <v>0.71178024781341087</v>
      </c>
      <c r="P10" s="250">
        <f t="shared" ca="1" si="7"/>
        <v>9.8344628741089455</v>
      </c>
      <c r="Q10" s="250">
        <f t="shared" ref="Q10:Q30" ca="1" si="9">Q9+P10</f>
        <v>23.987462087279376</v>
      </c>
      <c r="S10" s="238" t="str">
        <f t="shared" ca="1" si="3"/>
        <v/>
      </c>
      <c r="T10" s="254" t="str">
        <f t="shared" ref="T10:T32" ca="1" si="10">IF(Q8&gt;=0,"",IF(Q10&lt;0,"",IF(Q10=0,A10,(A10-(Q10/N10)))))</f>
        <v/>
      </c>
      <c r="U10" s="238"/>
    </row>
    <row r="11" spans="1:21" ht="20.100000000000001" customHeight="1">
      <c r="A11" s="247">
        <f t="shared" si="4"/>
        <v>4</v>
      </c>
      <c r="B11" s="248">
        <f t="shared" si="4"/>
        <v>2028</v>
      </c>
      <c r="C11" s="249">
        <f>+C10</f>
        <v>48048.000000000007</v>
      </c>
      <c r="D11" s="250">
        <f t="shared" si="5"/>
        <v>8008.0000000000009</v>
      </c>
      <c r="E11" s="250">
        <f t="shared" si="0"/>
        <v>40040.000000000007</v>
      </c>
      <c r="F11" s="248"/>
      <c r="G11" s="252">
        <f ca="1">DATA!$D$11/1000000</f>
        <v>2.3361672338382</v>
      </c>
      <c r="H11" s="252">
        <f>C11*DATA!$D$5/1000000</f>
        <v>52.090040204758601</v>
      </c>
      <c r="I11" s="252">
        <f>(C11*DATA!$D$5*DATA!$D$7)/1000000</f>
        <v>1.1720259046070685</v>
      </c>
      <c r="J11" s="250">
        <f t="shared" ca="1" si="1"/>
        <v>55.598233343203873</v>
      </c>
      <c r="K11" s="248"/>
      <c r="L11" s="250">
        <f>((D11*DATA!$D$23)/1000000)+((E11*DATA!$D$24)/1000000)</f>
        <v>69.41494560000001</v>
      </c>
      <c r="M11" s="250">
        <f t="shared" si="2"/>
        <v>69.41494560000001</v>
      </c>
      <c r="N11" s="250">
        <f t="shared" ca="1" si="6"/>
        <v>13.816712256796137</v>
      </c>
      <c r="O11" s="249">
        <f>1/(1+'[115]Asumsi I'!$C$3)^(KKF!A11)</f>
        <v>0.63551807840483121</v>
      </c>
      <c r="P11" s="250">
        <f t="shared" ca="1" si="7"/>
        <v>8.7807704233115604</v>
      </c>
      <c r="Q11" s="250">
        <f t="shared" ca="1" si="9"/>
        <v>32.768232510590934</v>
      </c>
      <c r="S11" s="238" t="str">
        <f t="shared" ca="1" si="3"/>
        <v/>
      </c>
      <c r="T11" s="254" t="str">
        <f t="shared" ca="1" si="10"/>
        <v/>
      </c>
      <c r="U11" s="238"/>
    </row>
    <row r="12" spans="1:21" ht="20.100000000000001" customHeight="1">
      <c r="A12" s="247">
        <f t="shared" si="4"/>
        <v>5</v>
      </c>
      <c r="B12" s="248">
        <f t="shared" si="4"/>
        <v>2029</v>
      </c>
      <c r="C12" s="249">
        <f t="shared" si="8"/>
        <v>48048.000000000007</v>
      </c>
      <c r="D12" s="250">
        <f t="shared" si="5"/>
        <v>8008.0000000000009</v>
      </c>
      <c r="E12" s="250">
        <f t="shared" si="0"/>
        <v>40040.000000000007</v>
      </c>
      <c r="F12" s="248"/>
      <c r="G12" s="252">
        <f ca="1">DATA!$D$11/1000000</f>
        <v>2.3361672338382</v>
      </c>
      <c r="H12" s="252">
        <f>C12*DATA!$D$5/1000000</f>
        <v>52.090040204758601</v>
      </c>
      <c r="I12" s="252">
        <f>(C12*DATA!$D$5*DATA!$D$7)/1000000</f>
        <v>1.1720259046070685</v>
      </c>
      <c r="J12" s="250">
        <f t="shared" ca="1" si="1"/>
        <v>55.598233343203873</v>
      </c>
      <c r="K12" s="248"/>
      <c r="L12" s="250">
        <f>((D12*DATA!$D$23)/1000000)+((E12*DATA!$D$24)/1000000)</f>
        <v>69.41494560000001</v>
      </c>
      <c r="M12" s="250">
        <f t="shared" si="2"/>
        <v>69.41494560000001</v>
      </c>
      <c r="N12" s="250">
        <f t="shared" ca="1" si="6"/>
        <v>13.816712256796137</v>
      </c>
      <c r="O12" s="249">
        <f>1/(1+'[115]Asumsi I'!$C$3)^(KKF!A12)</f>
        <v>0.56742685571859919</v>
      </c>
      <c r="P12" s="250">
        <f t="shared" ca="1" si="7"/>
        <v>7.8399735922424627</v>
      </c>
      <c r="Q12" s="250">
        <f t="shared" ca="1" si="9"/>
        <v>40.6082061028334</v>
      </c>
      <c r="S12" s="238" t="str">
        <f t="shared" ca="1" si="3"/>
        <v/>
      </c>
      <c r="T12" s="254" t="str">
        <f t="shared" ca="1" si="10"/>
        <v/>
      </c>
      <c r="U12" s="238"/>
    </row>
    <row r="13" spans="1:21" ht="20.100000000000001" customHeight="1">
      <c r="A13" s="247">
        <f t="shared" si="4"/>
        <v>6</v>
      </c>
      <c r="B13" s="248">
        <f t="shared" si="4"/>
        <v>2030</v>
      </c>
      <c r="C13" s="249">
        <f t="shared" si="8"/>
        <v>48048.000000000007</v>
      </c>
      <c r="D13" s="250">
        <f t="shared" si="5"/>
        <v>8008.0000000000009</v>
      </c>
      <c r="E13" s="250">
        <f t="shared" si="0"/>
        <v>40040.000000000007</v>
      </c>
      <c r="F13" s="248"/>
      <c r="G13" s="252">
        <f ca="1">DATA!$D$11/1000000</f>
        <v>2.3361672338382</v>
      </c>
      <c r="H13" s="252">
        <f>C13*DATA!$D$5/1000000</f>
        <v>52.090040204758601</v>
      </c>
      <c r="I13" s="252">
        <f>(C13*DATA!$D$5*DATA!$D$7)/1000000</f>
        <v>1.1720259046070685</v>
      </c>
      <c r="J13" s="250">
        <f t="shared" ca="1" si="1"/>
        <v>55.598233343203873</v>
      </c>
      <c r="K13" s="248"/>
      <c r="L13" s="250">
        <f>((D13*DATA!$D$23)/1000000)+((E13*DATA!$D$24)/1000000)</f>
        <v>69.41494560000001</v>
      </c>
      <c r="M13" s="250">
        <f t="shared" si="2"/>
        <v>69.41494560000001</v>
      </c>
      <c r="N13" s="250">
        <f t="shared" ca="1" si="6"/>
        <v>13.816712256796137</v>
      </c>
      <c r="O13" s="249">
        <f>1/(1+'[115]Asumsi I'!$C$3)^(KKF!A13)</f>
        <v>0.50663112117732068</v>
      </c>
      <c r="P13" s="250">
        <f t="shared" ca="1" si="7"/>
        <v>6.999976421645056</v>
      </c>
      <c r="Q13" s="250">
        <f t="shared" ca="1" si="9"/>
        <v>47.608182524478458</v>
      </c>
      <c r="S13" s="238" t="str">
        <f t="shared" ca="1" si="3"/>
        <v/>
      </c>
      <c r="T13" s="254" t="str">
        <f t="shared" ca="1" si="10"/>
        <v/>
      </c>
      <c r="U13" s="238"/>
    </row>
    <row r="14" spans="1:21" ht="20.100000000000001" customHeight="1">
      <c r="A14" s="247">
        <f t="shared" si="4"/>
        <v>7</v>
      </c>
      <c r="B14" s="248">
        <f t="shared" si="4"/>
        <v>2031</v>
      </c>
      <c r="C14" s="249">
        <f t="shared" si="8"/>
        <v>48048.000000000007</v>
      </c>
      <c r="D14" s="250">
        <f t="shared" si="5"/>
        <v>8008.0000000000009</v>
      </c>
      <c r="E14" s="250">
        <f t="shared" si="0"/>
        <v>40040.000000000007</v>
      </c>
      <c r="F14" s="248"/>
      <c r="G14" s="252">
        <f ca="1">DATA!$D$11/1000000</f>
        <v>2.3361672338382</v>
      </c>
      <c r="H14" s="252">
        <f>C14*DATA!$D$5/1000000</f>
        <v>52.090040204758601</v>
      </c>
      <c r="I14" s="252">
        <f>(C14*DATA!$D$5*DATA!$D$7)/1000000</f>
        <v>1.1720259046070685</v>
      </c>
      <c r="J14" s="250">
        <f t="shared" ca="1" si="1"/>
        <v>55.598233343203873</v>
      </c>
      <c r="K14" s="248"/>
      <c r="L14" s="250">
        <f>((D14*DATA!$D$23)/1000000)+((E14*DATA!$D$24)/1000000)</f>
        <v>69.41494560000001</v>
      </c>
      <c r="M14" s="250">
        <f t="shared" si="2"/>
        <v>69.41494560000001</v>
      </c>
      <c r="N14" s="250">
        <f t="shared" ca="1" si="6"/>
        <v>13.816712256796137</v>
      </c>
      <c r="O14" s="249">
        <f>1/(1+'[115]Asumsi I'!$C$3)^(KKF!A14)</f>
        <v>0.45234921533689343</v>
      </c>
      <c r="P14" s="250">
        <f t="shared" ca="1" si="7"/>
        <v>6.2499789478973709</v>
      </c>
      <c r="Q14" s="250">
        <f t="shared" ca="1" si="9"/>
        <v>53.858161472375826</v>
      </c>
      <c r="S14" s="238" t="str">
        <f t="shared" ca="1" si="3"/>
        <v/>
      </c>
      <c r="T14" s="254" t="str">
        <f t="shared" ca="1" si="10"/>
        <v/>
      </c>
      <c r="U14" s="238"/>
    </row>
    <row r="15" spans="1:21" ht="20.100000000000001" customHeight="1">
      <c r="A15" s="247">
        <f t="shared" si="4"/>
        <v>8</v>
      </c>
      <c r="B15" s="248">
        <f t="shared" si="4"/>
        <v>2032</v>
      </c>
      <c r="C15" s="249">
        <f t="shared" si="8"/>
        <v>48048.000000000007</v>
      </c>
      <c r="D15" s="250">
        <f t="shared" si="5"/>
        <v>8008.0000000000009</v>
      </c>
      <c r="E15" s="250">
        <f t="shared" si="0"/>
        <v>40040.000000000007</v>
      </c>
      <c r="F15" s="248"/>
      <c r="G15" s="252">
        <f ca="1">DATA!$D$11/1000000</f>
        <v>2.3361672338382</v>
      </c>
      <c r="H15" s="252">
        <f>C15*DATA!$D$5/1000000</f>
        <v>52.090040204758601</v>
      </c>
      <c r="I15" s="252">
        <f>(C15*DATA!$D$5*DATA!$D$7)/1000000</f>
        <v>1.1720259046070685</v>
      </c>
      <c r="J15" s="250">
        <f t="shared" ca="1" si="1"/>
        <v>55.598233343203873</v>
      </c>
      <c r="K15" s="248"/>
      <c r="L15" s="250">
        <f>((D15*DATA!$D$23)/1000000)+((E15*DATA!$D$24)/1000000)</f>
        <v>69.41494560000001</v>
      </c>
      <c r="M15" s="250">
        <f t="shared" si="2"/>
        <v>69.41494560000001</v>
      </c>
      <c r="N15" s="250">
        <f t="shared" ca="1" si="6"/>
        <v>13.816712256796137</v>
      </c>
      <c r="O15" s="249">
        <f>1/(1+'[115]Asumsi I'!$C$3)^(KKF!A15)</f>
        <v>0.4038832279793691</v>
      </c>
      <c r="P15" s="250">
        <f t="shared" ca="1" si="7"/>
        <v>5.5803383463369371</v>
      </c>
      <c r="Q15" s="250">
        <f t="shared" ca="1" si="9"/>
        <v>59.438499818712764</v>
      </c>
      <c r="S15" s="238" t="str">
        <f t="shared" ca="1" si="3"/>
        <v/>
      </c>
      <c r="T15" s="254" t="str">
        <f t="shared" ca="1" si="10"/>
        <v/>
      </c>
      <c r="U15" s="238"/>
    </row>
    <row r="16" spans="1:21" ht="20.100000000000001" customHeight="1">
      <c r="A16" s="247">
        <f t="shared" si="4"/>
        <v>9</v>
      </c>
      <c r="B16" s="248">
        <f t="shared" si="4"/>
        <v>2033</v>
      </c>
      <c r="C16" s="249">
        <f t="shared" si="8"/>
        <v>48048.000000000007</v>
      </c>
      <c r="D16" s="250">
        <f t="shared" si="5"/>
        <v>8008.0000000000009</v>
      </c>
      <c r="E16" s="250">
        <f t="shared" si="0"/>
        <v>40040.000000000007</v>
      </c>
      <c r="F16" s="248"/>
      <c r="G16" s="252">
        <f ca="1">DATA!$D$11/1000000</f>
        <v>2.3361672338382</v>
      </c>
      <c r="H16" s="252">
        <f>C16*DATA!$D$5/1000000</f>
        <v>52.090040204758601</v>
      </c>
      <c r="I16" s="252">
        <f>(C16*DATA!$D$5*DATA!$D$7)/1000000</f>
        <v>1.1720259046070685</v>
      </c>
      <c r="J16" s="250">
        <f t="shared" ca="1" si="1"/>
        <v>55.598233343203873</v>
      </c>
      <c r="K16" s="248"/>
      <c r="L16" s="250">
        <f>((D16*DATA!$D$23)/1000000)+((E16*DATA!$D$24)/1000000)</f>
        <v>69.41494560000001</v>
      </c>
      <c r="M16" s="250">
        <f t="shared" si="2"/>
        <v>69.41494560000001</v>
      </c>
      <c r="N16" s="250">
        <f t="shared" ca="1" si="6"/>
        <v>13.816712256796137</v>
      </c>
      <c r="O16" s="249">
        <f>1/(1+'[115]Asumsi I'!$C$3)^(KKF!A16)</f>
        <v>0.36061002498157957</v>
      </c>
      <c r="P16" s="250">
        <f t="shared" ca="1" si="7"/>
        <v>4.9824449520865519</v>
      </c>
      <c r="Q16" s="250">
        <f t="shared" ca="1" si="9"/>
        <v>64.420944770799309</v>
      </c>
      <c r="S16" s="238" t="str">
        <f t="shared" ca="1" si="3"/>
        <v/>
      </c>
      <c r="T16" s="254" t="str">
        <f t="shared" ca="1" si="10"/>
        <v/>
      </c>
      <c r="U16" s="238"/>
    </row>
    <row r="17" spans="1:21" ht="20.100000000000001" customHeight="1">
      <c r="A17" s="247">
        <f t="shared" si="4"/>
        <v>10</v>
      </c>
      <c r="B17" s="248">
        <f t="shared" si="4"/>
        <v>2034</v>
      </c>
      <c r="C17" s="249">
        <f t="shared" si="8"/>
        <v>48048.000000000007</v>
      </c>
      <c r="D17" s="250">
        <f t="shared" si="5"/>
        <v>8008.0000000000009</v>
      </c>
      <c r="E17" s="250">
        <f t="shared" si="0"/>
        <v>40040.000000000007</v>
      </c>
      <c r="F17" s="248"/>
      <c r="G17" s="252">
        <f ca="1">DATA!$D$11/1000000</f>
        <v>2.3361672338382</v>
      </c>
      <c r="H17" s="252">
        <f>C17*DATA!$D$5/1000000</f>
        <v>52.090040204758601</v>
      </c>
      <c r="I17" s="252">
        <f>(C17*DATA!$D$5*DATA!$D$7)/1000000</f>
        <v>1.1720259046070685</v>
      </c>
      <c r="J17" s="250">
        <f t="shared" ca="1" si="1"/>
        <v>55.598233343203873</v>
      </c>
      <c r="K17" s="248"/>
      <c r="L17" s="250">
        <f>((D17*DATA!$D$23)/1000000)+((E17*DATA!$D$24)/1000000)</f>
        <v>69.41494560000001</v>
      </c>
      <c r="M17" s="250">
        <f t="shared" si="2"/>
        <v>69.41494560000001</v>
      </c>
      <c r="N17" s="250">
        <f t="shared" ca="1" si="6"/>
        <v>13.816712256796137</v>
      </c>
      <c r="O17" s="249">
        <f>1/(1+'[115]Asumsi I'!$C$3)^(KKF!A17)</f>
        <v>0.32197323659069599</v>
      </c>
      <c r="P17" s="250">
        <f t="shared" ca="1" si="7"/>
        <v>4.4486115643629915</v>
      </c>
      <c r="Q17" s="250">
        <f t="shared" ca="1" si="9"/>
        <v>68.869556335162301</v>
      </c>
      <c r="S17" s="238" t="str">
        <f t="shared" ca="1" si="3"/>
        <v/>
      </c>
      <c r="T17" s="254" t="str">
        <f t="shared" ca="1" si="10"/>
        <v/>
      </c>
      <c r="U17" s="238"/>
    </row>
    <row r="18" spans="1:21" ht="20.100000000000001" customHeight="1">
      <c r="A18" s="247">
        <f t="shared" si="4"/>
        <v>11</v>
      </c>
      <c r="B18" s="248">
        <f t="shared" si="4"/>
        <v>2035</v>
      </c>
      <c r="C18" s="249">
        <f t="shared" si="8"/>
        <v>48048.000000000007</v>
      </c>
      <c r="D18" s="250">
        <f t="shared" si="5"/>
        <v>8008.0000000000009</v>
      </c>
      <c r="E18" s="250">
        <f t="shared" si="0"/>
        <v>40040.000000000007</v>
      </c>
      <c r="F18" s="248"/>
      <c r="G18" s="252">
        <f ca="1">DATA!$D$11/1000000</f>
        <v>2.3361672338382</v>
      </c>
      <c r="H18" s="252">
        <f>C18*DATA!$D$5/1000000</f>
        <v>52.090040204758601</v>
      </c>
      <c r="I18" s="252">
        <f>(C18*DATA!$D$5*DATA!$D$7)/1000000</f>
        <v>1.1720259046070685</v>
      </c>
      <c r="J18" s="250">
        <f t="shared" ca="1" si="1"/>
        <v>55.598233343203873</v>
      </c>
      <c r="K18" s="248"/>
      <c r="L18" s="250">
        <f>((D18*DATA!$D$23)/1000000)+((E18*DATA!$D$24)/1000000)</f>
        <v>69.41494560000001</v>
      </c>
      <c r="M18" s="250">
        <f t="shared" si="2"/>
        <v>69.41494560000001</v>
      </c>
      <c r="N18" s="250">
        <f t="shared" ca="1" si="6"/>
        <v>13.816712256796137</v>
      </c>
      <c r="O18" s="249">
        <f>1/(1+'[115]Asumsi I'!$C$3)^(KKF!A18)</f>
        <v>0.28747610409883567</v>
      </c>
      <c r="P18" s="250">
        <f t="shared" ca="1" si="7"/>
        <v>3.9719746110383851</v>
      </c>
      <c r="Q18" s="250">
        <f t="shared" ca="1" si="9"/>
        <v>72.841530946200692</v>
      </c>
      <c r="S18" s="238" t="str">
        <f t="shared" ca="1" si="3"/>
        <v/>
      </c>
      <c r="T18" s="254" t="str">
        <f t="shared" ca="1" si="10"/>
        <v/>
      </c>
      <c r="U18" s="238"/>
    </row>
    <row r="19" spans="1:21" ht="20.100000000000001" customHeight="1">
      <c r="A19" s="247">
        <f t="shared" si="4"/>
        <v>12</v>
      </c>
      <c r="B19" s="248">
        <f t="shared" si="4"/>
        <v>2036</v>
      </c>
      <c r="C19" s="249">
        <f t="shared" si="8"/>
        <v>48048.000000000007</v>
      </c>
      <c r="D19" s="250">
        <f t="shared" si="5"/>
        <v>8008.0000000000009</v>
      </c>
      <c r="E19" s="250">
        <f t="shared" si="0"/>
        <v>40040.000000000007</v>
      </c>
      <c r="F19" s="248"/>
      <c r="G19" s="252">
        <f ca="1">DATA!$D$11/1000000</f>
        <v>2.3361672338382</v>
      </c>
      <c r="H19" s="252">
        <f>C19*DATA!$D$5/1000000</f>
        <v>52.090040204758601</v>
      </c>
      <c r="I19" s="252">
        <f>(C19*DATA!$D$5*DATA!$D$7)/1000000</f>
        <v>1.1720259046070685</v>
      </c>
      <c r="J19" s="250">
        <f t="shared" ca="1" si="1"/>
        <v>55.598233343203873</v>
      </c>
      <c r="K19" s="248"/>
      <c r="L19" s="250">
        <f>((D19*DATA!$D$23)/1000000)+((E19*DATA!$D$24)/1000000)</f>
        <v>69.41494560000001</v>
      </c>
      <c r="M19" s="250">
        <f t="shared" si="2"/>
        <v>69.41494560000001</v>
      </c>
      <c r="N19" s="250">
        <f t="shared" ca="1" si="6"/>
        <v>13.816712256796137</v>
      </c>
      <c r="O19" s="249">
        <f>1/(1+'[115]Asumsi I'!$C$3)^(KKF!A19)</f>
        <v>0.25667509294538904</v>
      </c>
      <c r="P19" s="250">
        <f t="shared" ca="1" si="7"/>
        <v>3.5464059027128445</v>
      </c>
      <c r="Q19" s="250">
        <f t="shared" ca="1" si="9"/>
        <v>76.38793684891354</v>
      </c>
      <c r="S19" s="238" t="str">
        <f t="shared" ca="1" si="3"/>
        <v/>
      </c>
      <c r="T19" s="254" t="str">
        <f t="shared" ca="1" si="10"/>
        <v/>
      </c>
      <c r="U19" s="238"/>
    </row>
    <row r="20" spans="1:21" ht="20.100000000000001" customHeight="1">
      <c r="A20" s="247">
        <f t="shared" si="4"/>
        <v>13</v>
      </c>
      <c r="B20" s="248">
        <f t="shared" si="4"/>
        <v>2037</v>
      </c>
      <c r="C20" s="249">
        <f t="shared" si="8"/>
        <v>48048.000000000007</v>
      </c>
      <c r="D20" s="250">
        <f t="shared" si="5"/>
        <v>8008.0000000000009</v>
      </c>
      <c r="E20" s="250">
        <f t="shared" si="0"/>
        <v>40040.000000000007</v>
      </c>
      <c r="F20" s="248"/>
      <c r="G20" s="252">
        <f ca="1">DATA!$D$11/1000000</f>
        <v>2.3361672338382</v>
      </c>
      <c r="H20" s="252">
        <f>C20*DATA!$D$5/1000000</f>
        <v>52.090040204758601</v>
      </c>
      <c r="I20" s="252">
        <f>(C20*DATA!$D$5*DATA!$D$7)/1000000</f>
        <v>1.1720259046070685</v>
      </c>
      <c r="J20" s="250">
        <f t="shared" ca="1" si="1"/>
        <v>55.598233343203873</v>
      </c>
      <c r="K20" s="248"/>
      <c r="L20" s="250">
        <f>((D20*DATA!$D$23)/1000000)+((E20*DATA!$D$24)/1000000)</f>
        <v>69.41494560000001</v>
      </c>
      <c r="M20" s="250">
        <f t="shared" si="2"/>
        <v>69.41494560000001</v>
      </c>
      <c r="N20" s="250">
        <f t="shared" ca="1" si="6"/>
        <v>13.816712256796137</v>
      </c>
      <c r="O20" s="249">
        <f>1/(1+'[115]Asumsi I'!$C$3)^(KKF!A20)</f>
        <v>0.22917419012981158</v>
      </c>
      <c r="P20" s="250">
        <f t="shared" ca="1" si="7"/>
        <v>3.1664338417078959</v>
      </c>
      <c r="Q20" s="250">
        <f t="shared" ca="1" si="9"/>
        <v>79.55437069062144</v>
      </c>
      <c r="S20" s="238" t="str">
        <f t="shared" ca="1" si="3"/>
        <v/>
      </c>
      <c r="T20" s="254" t="str">
        <f t="shared" ca="1" si="10"/>
        <v/>
      </c>
      <c r="U20" s="238"/>
    </row>
    <row r="21" spans="1:21" ht="20.100000000000001" customHeight="1">
      <c r="A21" s="247">
        <f t="shared" si="4"/>
        <v>14</v>
      </c>
      <c r="B21" s="248">
        <f t="shared" si="4"/>
        <v>2038</v>
      </c>
      <c r="C21" s="249">
        <f t="shared" si="8"/>
        <v>48048.000000000007</v>
      </c>
      <c r="D21" s="250">
        <f t="shared" si="5"/>
        <v>8008.0000000000009</v>
      </c>
      <c r="E21" s="250">
        <f t="shared" si="0"/>
        <v>40040.000000000007</v>
      </c>
      <c r="F21" s="248"/>
      <c r="G21" s="252">
        <f ca="1">DATA!$D$11/1000000</f>
        <v>2.3361672338382</v>
      </c>
      <c r="H21" s="252">
        <f>C21*DATA!$D$5/1000000</f>
        <v>52.090040204758601</v>
      </c>
      <c r="I21" s="252">
        <f>(C21*DATA!$D$5*DATA!$D$7)/1000000</f>
        <v>1.1720259046070685</v>
      </c>
      <c r="J21" s="250">
        <f t="shared" ca="1" si="1"/>
        <v>55.598233343203873</v>
      </c>
      <c r="K21" s="248"/>
      <c r="L21" s="250">
        <f>((D21*DATA!$D$23)/1000000)+((E21*DATA!$D$24)/1000000)</f>
        <v>69.41494560000001</v>
      </c>
      <c r="M21" s="250">
        <f t="shared" si="2"/>
        <v>69.41494560000001</v>
      </c>
      <c r="N21" s="250">
        <f t="shared" ca="1" si="6"/>
        <v>13.816712256796137</v>
      </c>
      <c r="O21" s="249">
        <f>1/(1+'[115]Asumsi I'!$C$3)^(KKF!A21)</f>
        <v>0.20461981261590317</v>
      </c>
      <c r="P21" s="250">
        <f t="shared" ca="1" si="7"/>
        <v>2.8271730729534781</v>
      </c>
      <c r="Q21" s="250">
        <f t="shared" ca="1" si="9"/>
        <v>82.381543763574911</v>
      </c>
      <c r="S21" s="238" t="str">
        <f t="shared" ca="1" si="3"/>
        <v/>
      </c>
      <c r="T21" s="254" t="str">
        <f t="shared" ca="1" si="10"/>
        <v/>
      </c>
      <c r="U21" s="238"/>
    </row>
    <row r="22" spans="1:21" ht="20.100000000000001" customHeight="1">
      <c r="A22" s="247">
        <f t="shared" si="4"/>
        <v>15</v>
      </c>
      <c r="B22" s="248">
        <f t="shared" si="4"/>
        <v>2039</v>
      </c>
      <c r="C22" s="249">
        <f t="shared" si="8"/>
        <v>48048.000000000007</v>
      </c>
      <c r="D22" s="250">
        <f t="shared" si="5"/>
        <v>8008.0000000000009</v>
      </c>
      <c r="E22" s="250">
        <f t="shared" si="0"/>
        <v>40040.000000000007</v>
      </c>
      <c r="F22" s="248"/>
      <c r="G22" s="252">
        <f ca="1">DATA!$D$11/1000000</f>
        <v>2.3361672338382</v>
      </c>
      <c r="H22" s="252">
        <f>C22*DATA!$D$5/1000000</f>
        <v>52.090040204758601</v>
      </c>
      <c r="I22" s="252">
        <f>(C22*DATA!$D$5*DATA!$D$7)/1000000</f>
        <v>1.1720259046070685</v>
      </c>
      <c r="J22" s="250">
        <f t="shared" ca="1" si="1"/>
        <v>55.598233343203873</v>
      </c>
      <c r="K22" s="248"/>
      <c r="L22" s="250">
        <f>((D22*DATA!$D$23)/1000000)+((E22*DATA!$D$24)/1000000)</f>
        <v>69.41494560000001</v>
      </c>
      <c r="M22" s="250">
        <f t="shared" si="2"/>
        <v>69.41494560000001</v>
      </c>
      <c r="N22" s="250">
        <f t="shared" ca="1" si="6"/>
        <v>13.816712256796137</v>
      </c>
      <c r="O22" s="249">
        <f>1/(1+'[115]Asumsi I'!$C$3)^(KKF!A22)</f>
        <v>0.18269626126419927</v>
      </c>
      <c r="P22" s="250">
        <f t="shared" ca="1" si="7"/>
        <v>2.5242616722798914</v>
      </c>
      <c r="Q22" s="250">
        <f t="shared" ca="1" si="9"/>
        <v>84.905805435854802</v>
      </c>
      <c r="S22" s="238" t="str">
        <f t="shared" ca="1" si="3"/>
        <v/>
      </c>
      <c r="T22" s="254" t="str">
        <f t="shared" ca="1" si="10"/>
        <v/>
      </c>
      <c r="U22" s="238"/>
    </row>
    <row r="23" spans="1:21" ht="20.100000000000001" customHeight="1">
      <c r="A23" s="247">
        <f t="shared" si="4"/>
        <v>16</v>
      </c>
      <c r="B23" s="248">
        <f t="shared" si="4"/>
        <v>2040</v>
      </c>
      <c r="C23" s="249">
        <f t="shared" si="8"/>
        <v>48048.000000000007</v>
      </c>
      <c r="D23" s="250">
        <f t="shared" si="5"/>
        <v>8008.0000000000009</v>
      </c>
      <c r="E23" s="250">
        <f t="shared" si="0"/>
        <v>40040.000000000007</v>
      </c>
      <c r="F23" s="248"/>
      <c r="G23" s="252">
        <f ca="1">DATA!$D$11/1000000</f>
        <v>2.3361672338382</v>
      </c>
      <c r="H23" s="252">
        <f>C23*DATA!$D$5/1000000</f>
        <v>52.090040204758601</v>
      </c>
      <c r="I23" s="252">
        <f>(C23*DATA!$D$5*DATA!$D$7)/1000000</f>
        <v>1.1720259046070685</v>
      </c>
      <c r="J23" s="250">
        <f t="shared" ca="1" si="1"/>
        <v>55.598233343203873</v>
      </c>
      <c r="K23" s="248"/>
      <c r="L23" s="250">
        <f>((D23*DATA!$D$23)/1000000)+((E23*DATA!$D$24)/1000000)</f>
        <v>69.41494560000001</v>
      </c>
      <c r="M23" s="250">
        <f t="shared" si="2"/>
        <v>69.41494560000001</v>
      </c>
      <c r="N23" s="250">
        <f t="shared" ca="1" si="6"/>
        <v>13.816712256796137</v>
      </c>
      <c r="O23" s="249">
        <f>1/(1+'[115]Asumsi I'!$C$3)^(KKF!A23)</f>
        <v>0.16312166184303503</v>
      </c>
      <c r="P23" s="250">
        <f t="shared" ca="1" si="7"/>
        <v>2.2538050645356167</v>
      </c>
      <c r="Q23" s="250">
        <f t="shared" ca="1" si="9"/>
        <v>87.159610500390414</v>
      </c>
      <c r="S23" s="238" t="str">
        <f t="shared" ca="1" si="3"/>
        <v/>
      </c>
      <c r="T23" s="254" t="str">
        <f t="shared" ca="1" si="10"/>
        <v/>
      </c>
      <c r="U23" s="238"/>
    </row>
    <row r="24" spans="1:21" ht="20.100000000000001" customHeight="1">
      <c r="A24" s="247">
        <f t="shared" si="4"/>
        <v>17</v>
      </c>
      <c r="B24" s="248">
        <f t="shared" si="4"/>
        <v>2041</v>
      </c>
      <c r="C24" s="249">
        <f t="shared" si="8"/>
        <v>48048.000000000007</v>
      </c>
      <c r="D24" s="250">
        <f t="shared" si="5"/>
        <v>8008.0000000000009</v>
      </c>
      <c r="E24" s="250">
        <f t="shared" si="0"/>
        <v>40040.000000000007</v>
      </c>
      <c r="F24" s="248"/>
      <c r="G24" s="252">
        <f ca="1">DATA!$D$11/1000000</f>
        <v>2.3361672338382</v>
      </c>
      <c r="H24" s="252">
        <f>C24*DATA!$D$5/1000000</f>
        <v>52.090040204758601</v>
      </c>
      <c r="I24" s="252">
        <f>(C24*DATA!$D$5*DATA!$D$7)/1000000</f>
        <v>1.1720259046070685</v>
      </c>
      <c r="J24" s="250">
        <f t="shared" ca="1" si="1"/>
        <v>55.598233343203873</v>
      </c>
      <c r="K24" s="248"/>
      <c r="L24" s="250">
        <f>((D24*DATA!$D$23)/1000000)+((E24*DATA!$D$24)/1000000)</f>
        <v>69.41494560000001</v>
      </c>
      <c r="M24" s="250">
        <f t="shared" si="2"/>
        <v>69.41494560000001</v>
      </c>
      <c r="N24" s="250">
        <f t="shared" ca="1" si="6"/>
        <v>13.816712256796137</v>
      </c>
      <c r="O24" s="249">
        <f>1/(1+'[115]Asumsi I'!$C$3)^(KKF!A24)</f>
        <v>0.14564434093128129</v>
      </c>
      <c r="P24" s="250">
        <f t="shared" ca="1" si="7"/>
        <v>2.0123259504782296</v>
      </c>
      <c r="Q24" s="250">
        <f t="shared" ca="1" si="9"/>
        <v>89.171936450868643</v>
      </c>
      <c r="S24" s="238" t="str">
        <f t="shared" ca="1" si="3"/>
        <v/>
      </c>
      <c r="T24" s="254" t="str">
        <f t="shared" ca="1" si="10"/>
        <v/>
      </c>
      <c r="U24" s="238"/>
    </row>
    <row r="25" spans="1:21" ht="20.100000000000001" customHeight="1">
      <c r="A25" s="247">
        <f t="shared" ref="A25:B32" si="11">A24+1</f>
        <v>18</v>
      </c>
      <c r="B25" s="248">
        <f t="shared" si="11"/>
        <v>2042</v>
      </c>
      <c r="C25" s="249">
        <f t="shared" si="8"/>
        <v>48048.000000000007</v>
      </c>
      <c r="D25" s="250">
        <f t="shared" si="5"/>
        <v>8008.0000000000009</v>
      </c>
      <c r="E25" s="250">
        <f t="shared" si="0"/>
        <v>40040.000000000007</v>
      </c>
      <c r="F25" s="248"/>
      <c r="G25" s="252">
        <f ca="1">DATA!$D$11/1000000</f>
        <v>2.3361672338382</v>
      </c>
      <c r="H25" s="252">
        <f>C25*DATA!$D$5/1000000</f>
        <v>52.090040204758601</v>
      </c>
      <c r="I25" s="252">
        <f>(C25*DATA!$D$5*DATA!$D$7)/1000000</f>
        <v>1.1720259046070685</v>
      </c>
      <c r="J25" s="250">
        <f t="shared" ca="1" si="1"/>
        <v>55.598233343203873</v>
      </c>
      <c r="K25" s="248"/>
      <c r="L25" s="250">
        <f>((D25*DATA!$D$23)/1000000)+((E25*DATA!$D$24)/1000000)</f>
        <v>69.41494560000001</v>
      </c>
      <c r="M25" s="250">
        <f t="shared" si="2"/>
        <v>69.41494560000001</v>
      </c>
      <c r="N25" s="250">
        <f t="shared" ca="1" si="6"/>
        <v>13.816712256796137</v>
      </c>
      <c r="O25" s="249">
        <f>1/(1+'[115]Asumsi I'!$C$3)^(KKF!A25)</f>
        <v>0.13003959011721541</v>
      </c>
      <c r="P25" s="250">
        <f t="shared" ca="1" si="7"/>
        <v>1.7967195986412761</v>
      </c>
      <c r="Q25" s="250">
        <f t="shared" ca="1" si="9"/>
        <v>90.968656049509917</v>
      </c>
      <c r="S25" s="238" t="str">
        <f t="shared" ca="1" si="3"/>
        <v/>
      </c>
      <c r="T25" s="254" t="str">
        <f t="shared" ca="1" si="10"/>
        <v/>
      </c>
      <c r="U25" s="238"/>
    </row>
    <row r="26" spans="1:21" ht="20.100000000000001" customHeight="1">
      <c r="A26" s="247">
        <f t="shared" si="11"/>
        <v>19</v>
      </c>
      <c r="B26" s="248">
        <f t="shared" si="11"/>
        <v>2043</v>
      </c>
      <c r="C26" s="249">
        <f t="shared" si="8"/>
        <v>48048.000000000007</v>
      </c>
      <c r="D26" s="250">
        <f t="shared" si="5"/>
        <v>8008.0000000000009</v>
      </c>
      <c r="E26" s="250">
        <f t="shared" si="0"/>
        <v>40040.000000000007</v>
      </c>
      <c r="F26" s="248"/>
      <c r="G26" s="252">
        <f ca="1">DATA!$D$11/1000000</f>
        <v>2.3361672338382</v>
      </c>
      <c r="H26" s="252">
        <f>C26*DATA!$D$5/1000000</f>
        <v>52.090040204758601</v>
      </c>
      <c r="I26" s="252">
        <f>(C26*DATA!$D$5*DATA!$D$7)/1000000</f>
        <v>1.1720259046070685</v>
      </c>
      <c r="J26" s="250">
        <f t="shared" ca="1" si="1"/>
        <v>55.598233343203873</v>
      </c>
      <c r="K26" s="248"/>
      <c r="L26" s="250">
        <f>((D26*DATA!$D$23)/1000000)+((E26*DATA!$D$24)/1000000)</f>
        <v>69.41494560000001</v>
      </c>
      <c r="M26" s="250">
        <f t="shared" si="2"/>
        <v>69.41494560000001</v>
      </c>
      <c r="N26" s="250">
        <f t="shared" ca="1" si="6"/>
        <v>13.816712256796137</v>
      </c>
      <c r="O26" s="249">
        <f>1/(1+'[115]Asumsi I'!$C$3)^(KKF!A26)</f>
        <v>0.1161067768903709</v>
      </c>
      <c r="P26" s="250">
        <f t="shared" ca="1" si="7"/>
        <v>1.6042139273582821</v>
      </c>
      <c r="Q26" s="250">
        <f t="shared" ca="1" si="9"/>
        <v>92.572869976868205</v>
      </c>
      <c r="S26" s="238" t="str">
        <f t="shared" ca="1" si="3"/>
        <v/>
      </c>
      <c r="T26" s="254" t="str">
        <f t="shared" ca="1" si="10"/>
        <v/>
      </c>
      <c r="U26" s="238"/>
    </row>
    <row r="27" spans="1:21" ht="20.100000000000001" customHeight="1">
      <c r="A27" s="247">
        <f t="shared" si="11"/>
        <v>20</v>
      </c>
      <c r="B27" s="248">
        <f t="shared" si="11"/>
        <v>2044</v>
      </c>
      <c r="C27" s="249">
        <f t="shared" si="8"/>
        <v>48048.000000000007</v>
      </c>
      <c r="D27" s="250">
        <f t="shared" si="5"/>
        <v>8008.0000000000009</v>
      </c>
      <c r="E27" s="250">
        <f t="shared" si="0"/>
        <v>40040.000000000007</v>
      </c>
      <c r="F27" s="248"/>
      <c r="G27" s="252">
        <f ca="1">DATA!$D$11/1000000</f>
        <v>2.3361672338382</v>
      </c>
      <c r="H27" s="252">
        <f>C27*DATA!$D$5/1000000</f>
        <v>52.090040204758601</v>
      </c>
      <c r="I27" s="252">
        <f>(C27*DATA!$D$5*DATA!$D$7)/1000000</f>
        <v>1.1720259046070685</v>
      </c>
      <c r="J27" s="250">
        <f t="shared" ca="1" si="1"/>
        <v>55.598233343203873</v>
      </c>
      <c r="K27" s="248"/>
      <c r="L27" s="250">
        <f>((D27*DATA!$D$23)/1000000)+((E27*DATA!$D$24)/1000000)</f>
        <v>69.41494560000001</v>
      </c>
      <c r="M27" s="250">
        <f t="shared" si="2"/>
        <v>69.41494560000001</v>
      </c>
      <c r="N27" s="250">
        <f t="shared" ca="1" si="6"/>
        <v>13.816712256796137</v>
      </c>
      <c r="O27" s="249">
        <f>1/(1+'[115]Asumsi I'!$C$3)^(KKF!A27)</f>
        <v>0.1036667650806883</v>
      </c>
      <c r="P27" s="250">
        <f t="shared" ca="1" si="7"/>
        <v>1.4323338637127518</v>
      </c>
      <c r="Q27" s="250">
        <f t="shared" ca="1" si="9"/>
        <v>94.005203840580961</v>
      </c>
      <c r="S27" s="238" t="str">
        <f t="shared" ca="1" si="3"/>
        <v/>
      </c>
      <c r="T27" s="254" t="str">
        <f t="shared" ca="1" si="10"/>
        <v/>
      </c>
      <c r="U27" s="238"/>
    </row>
    <row r="28" spans="1:21" ht="20.100000000000001" customHeight="1">
      <c r="A28" s="247">
        <f t="shared" si="11"/>
        <v>21</v>
      </c>
      <c r="B28" s="248">
        <f t="shared" si="11"/>
        <v>2045</v>
      </c>
      <c r="C28" s="249">
        <f t="shared" si="8"/>
        <v>48048.000000000007</v>
      </c>
      <c r="D28" s="250">
        <f t="shared" si="5"/>
        <v>8008.0000000000009</v>
      </c>
      <c r="E28" s="250">
        <f t="shared" si="0"/>
        <v>40040.000000000007</v>
      </c>
      <c r="F28" s="248"/>
      <c r="G28" s="252">
        <f ca="1">DATA!$D$11/1000000</f>
        <v>2.3361672338382</v>
      </c>
      <c r="H28" s="252">
        <f>C28*DATA!$D$5/1000000</f>
        <v>52.090040204758601</v>
      </c>
      <c r="I28" s="252">
        <f>(C28*DATA!$D$5*DATA!$D$7)/1000000</f>
        <v>1.1720259046070685</v>
      </c>
      <c r="J28" s="250">
        <f t="shared" ca="1" si="1"/>
        <v>55.598233343203873</v>
      </c>
      <c r="K28" s="248"/>
      <c r="L28" s="250">
        <f>((D28*DATA!$D$23)/1000000)+((E28*DATA!$D$24)/1000000)</f>
        <v>69.41494560000001</v>
      </c>
      <c r="M28" s="250">
        <f t="shared" si="2"/>
        <v>69.41494560000001</v>
      </c>
      <c r="N28" s="250">
        <f t="shared" ca="1" si="6"/>
        <v>13.816712256796137</v>
      </c>
      <c r="O28" s="249">
        <f>1/(1+'[115]Asumsi I'!$C$3)^(KKF!A28)</f>
        <v>9.2559611679185971E-2</v>
      </c>
      <c r="P28" s="250">
        <f t="shared" ca="1" si="7"/>
        <v>1.2788695211720997</v>
      </c>
      <c r="Q28" s="250">
        <f t="shared" ca="1" si="9"/>
        <v>95.284073361753059</v>
      </c>
      <c r="S28" s="238" t="str">
        <f t="shared" ca="1" si="3"/>
        <v/>
      </c>
      <c r="T28" s="254" t="str">
        <f t="shared" ca="1" si="10"/>
        <v/>
      </c>
      <c r="U28" s="238"/>
    </row>
    <row r="29" spans="1:21" ht="20.100000000000001" customHeight="1">
      <c r="A29" s="247">
        <f t="shared" si="11"/>
        <v>22</v>
      </c>
      <c r="B29" s="248">
        <f t="shared" si="11"/>
        <v>2046</v>
      </c>
      <c r="C29" s="249">
        <f t="shared" si="8"/>
        <v>48048.000000000007</v>
      </c>
      <c r="D29" s="250">
        <f t="shared" si="5"/>
        <v>8008.0000000000009</v>
      </c>
      <c r="E29" s="250">
        <f t="shared" si="0"/>
        <v>40040.000000000007</v>
      </c>
      <c r="F29" s="248"/>
      <c r="G29" s="252">
        <f ca="1">DATA!$D$11/1000000</f>
        <v>2.3361672338382</v>
      </c>
      <c r="H29" s="252">
        <f>C29*DATA!$D$5/1000000</f>
        <v>52.090040204758601</v>
      </c>
      <c r="I29" s="252">
        <f>(C29*DATA!$D$5*DATA!$D$7)/1000000</f>
        <v>1.1720259046070685</v>
      </c>
      <c r="J29" s="250">
        <f t="shared" ca="1" si="1"/>
        <v>55.598233343203873</v>
      </c>
      <c r="K29" s="248"/>
      <c r="L29" s="250">
        <f>((D29*DATA!$D$23)/1000000)+((E29*DATA!$D$24)/1000000)</f>
        <v>69.41494560000001</v>
      </c>
      <c r="M29" s="250">
        <f t="shared" si="2"/>
        <v>69.41494560000001</v>
      </c>
      <c r="N29" s="250">
        <f t="shared" ca="1" si="6"/>
        <v>13.816712256796137</v>
      </c>
      <c r="O29" s="249">
        <f>1/(1+'[115]Asumsi I'!$C$3)^(KKF!A29)</f>
        <v>8.2642510427844609E-2</v>
      </c>
      <c r="P29" s="250">
        <f t="shared" ca="1" si="7"/>
        <v>1.1418477867608032</v>
      </c>
      <c r="Q29" s="250">
        <f t="shared" ca="1" si="9"/>
        <v>96.425921148513865</v>
      </c>
      <c r="S29" s="238" t="str">
        <f t="shared" ca="1" si="3"/>
        <v/>
      </c>
      <c r="T29" s="254" t="str">
        <f t="shared" ca="1" si="10"/>
        <v/>
      </c>
      <c r="U29" s="238"/>
    </row>
    <row r="30" spans="1:21" ht="20.100000000000001" customHeight="1">
      <c r="A30" s="247">
        <f t="shared" si="11"/>
        <v>23</v>
      </c>
      <c r="B30" s="248">
        <f t="shared" si="11"/>
        <v>2047</v>
      </c>
      <c r="C30" s="249">
        <f t="shared" si="8"/>
        <v>48048.000000000007</v>
      </c>
      <c r="D30" s="250">
        <f t="shared" si="5"/>
        <v>8008.0000000000009</v>
      </c>
      <c r="E30" s="250">
        <f t="shared" si="0"/>
        <v>40040.000000000007</v>
      </c>
      <c r="F30" s="248"/>
      <c r="G30" s="252">
        <f ca="1">DATA!$D$11/1000000</f>
        <v>2.3361672338382</v>
      </c>
      <c r="H30" s="252">
        <f>C30*DATA!$D$5/1000000</f>
        <v>52.090040204758601</v>
      </c>
      <c r="I30" s="252">
        <f>(C30*DATA!$D$5*DATA!$D$7)/1000000</f>
        <v>1.1720259046070685</v>
      </c>
      <c r="J30" s="250">
        <f t="shared" ca="1" si="1"/>
        <v>55.598233343203873</v>
      </c>
      <c r="K30" s="248"/>
      <c r="L30" s="250">
        <f>((D30*DATA!$D$23)/1000000)+((E30*DATA!$D$24)/1000000)</f>
        <v>69.41494560000001</v>
      </c>
      <c r="M30" s="250">
        <f t="shared" si="2"/>
        <v>69.41494560000001</v>
      </c>
      <c r="N30" s="250">
        <f t="shared" ca="1" si="6"/>
        <v>13.816712256796137</v>
      </c>
      <c r="O30" s="249">
        <f>1/(1+'[115]Asumsi I'!$C$3)^(KKF!A30)</f>
        <v>7.3787955739146982E-2</v>
      </c>
      <c r="P30" s="250">
        <f t="shared" ca="1" si="7"/>
        <v>1.0195069524650029</v>
      </c>
      <c r="Q30" s="250">
        <f t="shared" ca="1" si="9"/>
        <v>97.445428100978873</v>
      </c>
      <c r="S30" s="238" t="str">
        <f t="shared" ca="1" si="3"/>
        <v/>
      </c>
      <c r="T30" s="254" t="str">
        <f t="shared" ca="1" si="10"/>
        <v/>
      </c>
      <c r="U30" s="238"/>
    </row>
    <row r="31" spans="1:21" ht="20.100000000000001" customHeight="1">
      <c r="A31" s="247">
        <f t="shared" si="11"/>
        <v>24</v>
      </c>
      <c r="B31" s="248">
        <f t="shared" si="11"/>
        <v>2048</v>
      </c>
      <c r="C31" s="249">
        <f t="shared" si="8"/>
        <v>48048.000000000007</v>
      </c>
      <c r="D31" s="250">
        <f t="shared" si="5"/>
        <v>8008.0000000000009</v>
      </c>
      <c r="E31" s="250">
        <f t="shared" si="0"/>
        <v>40040.000000000007</v>
      </c>
      <c r="F31" s="248"/>
      <c r="G31" s="252">
        <f ca="1">DATA!$D$11/1000000</f>
        <v>2.3361672338382</v>
      </c>
      <c r="H31" s="252">
        <f>C31*DATA!$D$5/1000000</f>
        <v>52.090040204758601</v>
      </c>
      <c r="I31" s="252">
        <f>(C31*DATA!$D$5*DATA!$D$7)/1000000</f>
        <v>1.1720259046070685</v>
      </c>
      <c r="J31" s="250">
        <f t="shared" ca="1" si="1"/>
        <v>55.598233343203873</v>
      </c>
      <c r="K31" s="248"/>
      <c r="L31" s="250">
        <f>((D31*DATA!$D$23)/1000000)+((E31*DATA!$D$24)/1000000)</f>
        <v>69.41494560000001</v>
      </c>
      <c r="M31" s="250">
        <f t="shared" si="2"/>
        <v>69.41494560000001</v>
      </c>
      <c r="N31" s="250">
        <f t="shared" ca="1" si="6"/>
        <v>13.816712256796137</v>
      </c>
      <c r="O31" s="249">
        <f>1/(1+'[115]Asumsi I'!$C$3)^(KKF!A31)</f>
        <v>6.5882103338524081E-2</v>
      </c>
      <c r="P31" s="250">
        <f t="shared" ca="1" si="7"/>
        <v>0.91027406470089534</v>
      </c>
      <c r="Q31" s="250">
        <f ca="1">Q30+P31</f>
        <v>98.355702165679773</v>
      </c>
      <c r="S31" s="238" t="str">
        <f t="shared" ca="1" si="3"/>
        <v/>
      </c>
      <c r="T31" s="254" t="str">
        <f t="shared" ca="1" si="10"/>
        <v/>
      </c>
      <c r="U31" s="238"/>
    </row>
    <row r="32" spans="1:21" ht="20.100000000000001" customHeight="1">
      <c r="A32" s="247">
        <f t="shared" si="11"/>
        <v>25</v>
      </c>
      <c r="B32" s="248">
        <f>B30+1</f>
        <v>2048</v>
      </c>
      <c r="C32" s="249">
        <f t="shared" si="8"/>
        <v>48048.000000000007</v>
      </c>
      <c r="D32" s="250">
        <f t="shared" si="5"/>
        <v>8008.0000000000009</v>
      </c>
      <c r="E32" s="250">
        <f t="shared" si="0"/>
        <v>40040.000000000007</v>
      </c>
      <c r="F32" s="248"/>
      <c r="G32" s="252">
        <f ca="1">DATA!$D$11/1000000</f>
        <v>2.3361672338382</v>
      </c>
      <c r="H32" s="252">
        <f>C32*DATA!$D$5/1000000</f>
        <v>52.090040204758601</v>
      </c>
      <c r="I32" s="252">
        <f>(C32*DATA!$D$5*DATA!$D$7)/1000000</f>
        <v>1.1720259046070685</v>
      </c>
      <c r="J32" s="250">
        <f t="shared" ca="1" si="1"/>
        <v>55.598233343203873</v>
      </c>
      <c r="K32" s="248"/>
      <c r="L32" s="250">
        <f>((D32*DATA!$D$23)/1000000)+((E32*DATA!$D$24)/1000000)</f>
        <v>69.41494560000001</v>
      </c>
      <c r="M32" s="250">
        <f t="shared" si="2"/>
        <v>69.41494560000001</v>
      </c>
      <c r="N32" s="250">
        <f t="shared" ca="1" si="6"/>
        <v>13.816712256796137</v>
      </c>
      <c r="O32" s="249">
        <f>1/(1+'[115]Asumsi I'!$C$3)^(KKF!A32)</f>
        <v>5.8823306552253637E-2</v>
      </c>
      <c r="P32" s="250">
        <f t="shared" ca="1" si="7"/>
        <v>0.8127447006257994</v>
      </c>
      <c r="Q32" s="250">
        <f ca="1">Q31+P32</f>
        <v>99.168446866305572</v>
      </c>
      <c r="S32" s="238" t="str">
        <f t="shared" ca="1" si="3"/>
        <v/>
      </c>
      <c r="T32" s="254" t="str">
        <f t="shared" ca="1" si="10"/>
        <v/>
      </c>
      <c r="U32" s="238"/>
    </row>
    <row r="33" spans="2:22" ht="20.100000000000001" customHeight="1">
      <c r="B33" s="257"/>
      <c r="C33" s="257"/>
      <c r="D33" s="257"/>
      <c r="E33" s="257"/>
      <c r="F33" s="628" t="s">
        <v>1378</v>
      </c>
      <c r="G33" s="628"/>
      <c r="H33" s="628"/>
      <c r="I33" s="258"/>
      <c r="J33" s="259">
        <f ca="1">SUM(J7:J32)</f>
        <v>1562.3624286152112</v>
      </c>
      <c r="K33" s="628" t="s">
        <v>1379</v>
      </c>
      <c r="L33" s="628"/>
      <c r="M33" s="259">
        <f>SUM(M7:M32)</f>
        <v>1898.5822856000002</v>
      </c>
      <c r="N33" s="257"/>
      <c r="O33" s="257"/>
      <c r="P33" s="260"/>
      <c r="Q33" s="260"/>
      <c r="S33" s="238">
        <f ca="1">COUNTIF(S7:S32,"a")</f>
        <v>1</v>
      </c>
    </row>
    <row r="34" spans="2:22" ht="20.100000000000001" customHeight="1">
      <c r="B34" s="257"/>
      <c r="C34" s="257"/>
      <c r="D34" s="257"/>
      <c r="E34" s="257"/>
      <c r="F34" s="261"/>
      <c r="G34" s="261"/>
      <c r="H34" s="261"/>
      <c r="I34" s="261"/>
      <c r="J34" s="262"/>
      <c r="K34" s="261"/>
      <c r="L34" s="261"/>
      <c r="M34" s="262"/>
      <c r="N34" s="257"/>
      <c r="O34" s="257"/>
      <c r="P34" s="263" t="s">
        <v>1380</v>
      </c>
      <c r="Q34" s="264">
        <f ca="1">+J7/N32</f>
        <v>12.47812010779271</v>
      </c>
      <c r="V34" s="265"/>
    </row>
    <row r="35" spans="2:22" ht="20.100000000000001" customHeight="1">
      <c r="B35" s="257"/>
      <c r="C35" s="257"/>
      <c r="D35" s="257"/>
      <c r="E35" s="257"/>
      <c r="F35" s="261"/>
      <c r="G35" s="261"/>
      <c r="H35" s="261"/>
      <c r="I35" s="261"/>
      <c r="J35" s="262"/>
      <c r="K35" s="261"/>
      <c r="L35" s="261"/>
      <c r="M35" s="262"/>
      <c r="N35" s="257"/>
      <c r="O35" s="257"/>
      <c r="P35" s="263" t="s">
        <v>1381</v>
      </c>
      <c r="Q35" s="266">
        <f ca="1">AVERAGE(T7:T32)</f>
        <v>0.97566085548254211</v>
      </c>
    </row>
    <row r="36" spans="2:22" ht="20.100000000000001" customHeight="1">
      <c r="B36" s="257"/>
      <c r="C36" s="257"/>
      <c r="D36" s="257"/>
      <c r="E36" s="257"/>
      <c r="F36" s="261"/>
      <c r="G36" s="261"/>
      <c r="H36" s="261"/>
      <c r="I36" s="261"/>
      <c r="J36" s="262"/>
      <c r="K36" s="261"/>
      <c r="L36" s="261"/>
      <c r="M36" s="262"/>
      <c r="N36" s="257"/>
      <c r="O36" s="257"/>
      <c r="P36" s="263" t="s">
        <v>1382</v>
      </c>
      <c r="Q36" s="267">
        <f ca="1">M33/J33</f>
        <v>1.21519965587165</v>
      </c>
    </row>
    <row r="37" spans="2:22" ht="20.100000000000001" customHeight="1">
      <c r="B37" s="257"/>
      <c r="C37" s="257"/>
      <c r="D37" s="257"/>
      <c r="E37" s="257"/>
      <c r="F37" s="261"/>
      <c r="G37" s="261"/>
      <c r="H37" s="261"/>
      <c r="I37" s="261"/>
      <c r="J37" s="262"/>
      <c r="K37" s="261"/>
      <c r="L37" s="261"/>
      <c r="M37" s="262"/>
      <c r="N37" s="257"/>
      <c r="O37" s="257"/>
      <c r="P37" s="263" t="s">
        <v>1032</v>
      </c>
      <c r="Q37" s="268">
        <f ca="1">+NPV(0.12,N7:N32)</f>
        <v>88.54325613062997</v>
      </c>
    </row>
    <row r="38" spans="2:22" ht="20.100000000000001" customHeight="1">
      <c r="B38" s="257"/>
      <c r="C38" s="257"/>
      <c r="D38" s="257"/>
      <c r="E38" s="257"/>
      <c r="F38" s="261"/>
      <c r="G38" s="261"/>
      <c r="H38" s="261"/>
      <c r="I38" s="261"/>
      <c r="J38" s="262"/>
      <c r="K38" s="261"/>
      <c r="L38" s="261"/>
      <c r="M38" s="262"/>
      <c r="N38" s="257"/>
      <c r="O38" s="257"/>
      <c r="P38" s="263" t="s">
        <v>1033</v>
      </c>
      <c r="Q38" s="269">
        <f ca="1">IRR(N7:N32,DATA!D4)</f>
        <v>1.502151360228893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70C0"/>
  </sheetPr>
  <dimension ref="A1:V227"/>
  <sheetViews>
    <sheetView showGridLines="0" topLeftCell="A6" zoomScale="85" zoomScaleNormal="85" zoomScaleSheetLayoutView="70" workbookViewId="0">
      <pane ySplit="8" topLeftCell="A41" activePane="bottomLeft" state="frozen"/>
      <selection activeCell="A6" sqref="A6"/>
      <selection pane="bottomLeft" activeCell="G42" sqref="G42"/>
    </sheetView>
  </sheetViews>
  <sheetFormatPr defaultColWidth="9.140625" defaultRowHeight="15"/>
  <cols>
    <col min="1" max="1" width="8.28515625" style="270" customWidth="1"/>
    <col min="2" max="2" width="5.140625" style="271" customWidth="1"/>
    <col min="3" max="3" width="46.7109375" style="341" customWidth="1"/>
    <col min="4" max="4" width="13.7109375" style="341" customWidth="1"/>
    <col min="5" max="5" width="12.5703125" style="274" customWidth="1"/>
    <col min="6" max="6" width="7.7109375" style="274" customWidth="1"/>
    <col min="7" max="7" width="12.7109375" style="274" customWidth="1"/>
    <col min="8" max="8" width="18.140625" style="275" customWidth="1"/>
    <col min="9" max="9" width="16.7109375" style="275" customWidth="1"/>
    <col min="10" max="11" width="16.7109375" style="276" customWidth="1"/>
    <col min="12" max="12" width="3.7109375" style="276" customWidth="1"/>
    <col min="13" max="13" width="14" style="276" customWidth="1"/>
    <col min="14" max="14" width="15" style="276" customWidth="1"/>
    <col min="15" max="15" width="9.140625" style="277" customWidth="1"/>
    <col min="16" max="16" width="12.7109375" style="278" customWidth="1"/>
    <col min="17" max="17" width="12.7109375" style="277" customWidth="1"/>
    <col min="18" max="18" width="2.42578125" style="277" customWidth="1"/>
    <col min="19" max="22" width="10.85546875" style="277" customWidth="1"/>
    <col min="23" max="24" width="9.140625" style="277" customWidth="1"/>
    <col min="25" max="16384" width="9.140625" style="277"/>
  </cols>
  <sheetData>
    <row r="1" spans="1:22">
      <c r="C1" s="272" t="s">
        <v>1013</v>
      </c>
      <c r="D1" s="273"/>
      <c r="U1" s="270"/>
    </row>
    <row r="2" spans="1:22">
      <c r="C2" s="272" t="s">
        <v>1352</v>
      </c>
      <c r="D2" s="273"/>
      <c r="T2" s="278"/>
      <c r="U2" s="279" t="s">
        <v>1040</v>
      </c>
      <c r="V2" s="278"/>
    </row>
    <row r="3" spans="1:22">
      <c r="C3" s="272" t="s">
        <v>1444</v>
      </c>
      <c r="D3" s="273"/>
      <c r="O3" s="631" t="s">
        <v>1040</v>
      </c>
      <c r="P3" s="631"/>
      <c r="Q3" s="280"/>
      <c r="T3" s="278"/>
      <c r="U3" s="279" t="s">
        <v>1045</v>
      </c>
      <c r="V3" s="278"/>
    </row>
    <row r="4" spans="1:22" ht="15.75" customHeight="1">
      <c r="B4" s="632" t="s">
        <v>1027</v>
      </c>
      <c r="C4" s="632"/>
      <c r="D4" s="632"/>
      <c r="E4" s="632"/>
      <c r="F4" s="632"/>
      <c r="G4" s="632"/>
      <c r="H4" s="632"/>
      <c r="I4" s="632"/>
      <c r="J4" s="632"/>
      <c r="K4" s="632"/>
      <c r="O4" s="631"/>
      <c r="P4" s="631"/>
      <c r="T4" s="278"/>
      <c r="U4" s="278"/>
      <c r="V4" s="278"/>
    </row>
    <row r="5" spans="1:22">
      <c r="C5" s="281"/>
      <c r="D5" s="273"/>
      <c r="T5" s="278"/>
      <c r="U5" s="279"/>
      <c r="V5" s="278"/>
    </row>
    <row r="6" spans="1:22" ht="15" customHeight="1">
      <c r="C6" s="281"/>
      <c r="D6" s="273"/>
      <c r="E6" s="282" t="s">
        <v>1041</v>
      </c>
      <c r="F6" s="283" t="s">
        <v>9</v>
      </c>
      <c r="G6" s="648" t="s">
        <v>1662</v>
      </c>
      <c r="H6" s="648"/>
      <c r="I6" s="648"/>
      <c r="J6" s="648"/>
      <c r="K6" s="648"/>
      <c r="T6" s="278"/>
      <c r="U6" s="279"/>
      <c r="V6" s="278"/>
    </row>
    <row r="7" spans="1:22">
      <c r="C7" s="281"/>
      <c r="D7" s="273"/>
      <c r="E7" s="282" t="s">
        <v>1042</v>
      </c>
      <c r="F7" s="283" t="s">
        <v>9</v>
      </c>
      <c r="G7" s="282" t="s">
        <v>1645</v>
      </c>
      <c r="J7" s="284"/>
      <c r="T7" s="278"/>
      <c r="U7" s="279"/>
      <c r="V7" s="278"/>
    </row>
    <row r="8" spans="1:22">
      <c r="C8" s="281"/>
      <c r="D8" s="273"/>
      <c r="E8" s="282" t="s">
        <v>1043</v>
      </c>
      <c r="F8" s="283" t="s">
        <v>9</v>
      </c>
      <c r="G8" s="282" t="s">
        <v>1443</v>
      </c>
      <c r="J8" s="284"/>
      <c r="T8" s="278"/>
      <c r="U8" s="279"/>
      <c r="V8" s="278"/>
    </row>
    <row r="9" spans="1:22">
      <c r="C9" s="281"/>
      <c r="D9" s="273"/>
      <c r="E9" s="282" t="s">
        <v>1044</v>
      </c>
      <c r="F9" s="283" t="s">
        <v>9</v>
      </c>
      <c r="G9" s="282" t="s">
        <v>1550</v>
      </c>
      <c r="J9" s="284"/>
      <c r="T9" s="278"/>
      <c r="U9" s="279"/>
      <c r="V9" s="278"/>
    </row>
    <row r="10" spans="1:22" ht="15.75" thickBot="1">
      <c r="C10" s="273"/>
      <c r="D10" s="273"/>
      <c r="T10" s="278"/>
      <c r="U10" s="278"/>
      <c r="V10" s="278"/>
    </row>
    <row r="11" spans="1:22" ht="21" customHeight="1">
      <c r="B11" s="634" t="s">
        <v>0</v>
      </c>
      <c r="C11" s="636" t="s">
        <v>1</v>
      </c>
      <c r="D11" s="639" t="s">
        <v>44</v>
      </c>
      <c r="E11" s="639" t="s">
        <v>45</v>
      </c>
      <c r="F11" s="639" t="s">
        <v>2</v>
      </c>
      <c r="G11" s="641" t="s">
        <v>43</v>
      </c>
      <c r="H11" s="639" t="s">
        <v>3</v>
      </c>
      <c r="I11" s="639"/>
      <c r="J11" s="639"/>
      <c r="K11" s="658"/>
      <c r="O11" s="285"/>
      <c r="P11" s="286"/>
      <c r="Q11" s="285"/>
      <c r="S11" s="287"/>
      <c r="T11" s="288"/>
      <c r="U11" s="288"/>
      <c r="V11" s="288"/>
    </row>
    <row r="12" spans="1:22" ht="15" customHeight="1">
      <c r="B12" s="635"/>
      <c r="C12" s="637"/>
      <c r="D12" s="640"/>
      <c r="E12" s="640"/>
      <c r="F12" s="640"/>
      <c r="G12" s="642"/>
      <c r="H12" s="644" t="s">
        <v>48</v>
      </c>
      <c r="I12" s="644" t="s">
        <v>5</v>
      </c>
      <c r="J12" s="640" t="s">
        <v>49</v>
      </c>
      <c r="K12" s="659" t="s">
        <v>4</v>
      </c>
      <c r="O12" s="286"/>
      <c r="P12" s="286"/>
      <c r="Q12" s="286"/>
      <c r="S12" s="287"/>
      <c r="T12" s="287"/>
      <c r="U12" s="287"/>
      <c r="V12" s="287"/>
    </row>
    <row r="13" spans="1:22" ht="15" customHeight="1">
      <c r="B13" s="635"/>
      <c r="C13" s="638"/>
      <c r="D13" s="640"/>
      <c r="E13" s="640"/>
      <c r="F13" s="640"/>
      <c r="G13" s="643"/>
      <c r="H13" s="645"/>
      <c r="I13" s="645"/>
      <c r="J13" s="640"/>
      <c r="K13" s="659"/>
      <c r="O13" s="289"/>
      <c r="P13" s="289"/>
      <c r="Q13" s="289"/>
      <c r="S13" s="287"/>
      <c r="T13" s="287"/>
      <c r="U13" s="287"/>
      <c r="V13" s="287"/>
    </row>
    <row r="14" spans="1:22" s="299" customFormat="1" ht="15.75" customHeight="1">
      <c r="A14" s="270"/>
      <c r="B14" s="290"/>
      <c r="C14" s="291"/>
      <c r="D14" s="292"/>
      <c r="E14" s="293"/>
      <c r="F14" s="294"/>
      <c r="G14" s="294"/>
      <c r="H14" s="295"/>
      <c r="I14" s="295"/>
      <c r="J14" s="295"/>
      <c r="K14" s="296"/>
      <c r="L14" s="276"/>
      <c r="M14" s="276"/>
      <c r="N14" s="276"/>
      <c r="O14" s="297"/>
      <c r="P14" s="297"/>
      <c r="Q14" s="278"/>
      <c r="R14" s="270"/>
      <c r="S14" s="298"/>
      <c r="T14" s="275"/>
      <c r="U14" s="275"/>
      <c r="V14" s="275"/>
    </row>
    <row r="15" spans="1:22" s="301" customFormat="1" ht="17.100000000000001" customHeight="1">
      <c r="A15" s="270" t="e">
        <f>IF(AND(C15=0,#REF!=0,#REF!=0),"BLANKS",1)</f>
        <v>#REF!</v>
      </c>
      <c r="B15" s="491" t="s">
        <v>10</v>
      </c>
      <c r="C15" s="492" t="s">
        <v>1631</v>
      </c>
      <c r="D15" s="292" t="str">
        <f ca="1">IF(ISERROR(OFFSET('HARGA SATUAN'!$D$6,MATCH(RAB!C15,'HARGA SATUAN'!$C$7:$C$1509,0),0)),"",OFFSET('HARGA SATUAN'!$D$6,MATCH(RAB!C15,'HARGA SATUAN'!$C$7:$C$1509,0),0))</f>
        <v/>
      </c>
      <c r="E15" s="293" t="str">
        <f ca="1">IF(B15="+","Unit",IF(ISERROR(OFFSET('HARGA SATUAN'!$E$6,MATCH(RAB!C15,'HARGA SATUAN'!$C$7:$C$1509,0),0)),"",OFFSET('HARGA SATUAN'!$E$6,MATCH(RAB!C15,'HARGA SATUAN'!$C$7:$C$1509,0),0)))</f>
        <v/>
      </c>
      <c r="F15" s="302"/>
      <c r="G15" s="294">
        <f ca="1">IF(ISERROR(OFFSET('HARGA SATUAN'!$I$6,MATCH(RAB!C15,'HARGA SATUAN'!$C$7:$C$1509,0),0)),0,OFFSET('HARGA SATUAN'!$I$6,MATCH(RAB!C15,'HARGA SATUAN'!$C$7:$C$1509,0),0))</f>
        <v>0</v>
      </c>
      <c r="H15" s="295">
        <f t="shared" ref="H15" ca="1" si="0">IF(OR(D15="MDU",D15="MDU-KD"),(IF($O$3="RAB NON MDU","PLN KD",G15*F15)),0)</f>
        <v>0</v>
      </c>
      <c r="I15" s="295">
        <f t="shared" ref="I15" ca="1" si="1">IF(D15="HDW",G15*F15,0)</f>
        <v>0</v>
      </c>
      <c r="J15" s="295">
        <f t="shared" ref="J15" ca="1" si="2">IF(D15="JASA",G15*F15,0)</f>
        <v>0</v>
      </c>
      <c r="K15" s="296">
        <f t="shared" ref="K15" ca="1" si="3">SUM(H15:J15)</f>
        <v>0</v>
      </c>
      <c r="L15" s="300"/>
      <c r="M15" s="300"/>
      <c r="N15" s="300"/>
      <c r="O15" s="297"/>
      <c r="P15" s="297"/>
      <c r="Q15" s="278"/>
      <c r="R15" s="270"/>
      <c r="S15" s="298"/>
      <c r="T15" s="275"/>
      <c r="U15" s="275"/>
      <c r="V15" s="275"/>
    </row>
    <row r="16" spans="1:22" s="301" customFormat="1" ht="17.100000000000001" customHeight="1">
      <c r="A16" s="270" t="e">
        <f>IF(AND(C16=0,#REF!=0,#REF!=0),"BLANKS",1)</f>
        <v>#REF!</v>
      </c>
      <c r="B16" s="493">
        <v>1</v>
      </c>
      <c r="C16" s="494" t="s">
        <v>107</v>
      </c>
      <c r="D16" s="292" t="str">
        <f ca="1">IF(ISERROR(OFFSET('HARGA SATUAN'!$D$6,MATCH(RAB!C16,'HARGA SATUAN'!$C$7:$C$1509,0),0)),"",OFFSET('HARGA SATUAN'!$D$6,MATCH(RAB!C16,'HARGA SATUAN'!$C$7:$C$1509,0),0))</f>
        <v>HDW</v>
      </c>
      <c r="E16" s="293" t="str">
        <f ca="1">IF(B16="+","Unit",IF(ISERROR(OFFSET('HARGA SATUAN'!$E$6,MATCH(RAB!C16,'HARGA SATUAN'!$C$7:$C$1509,0),0)),"",OFFSET('HARGA SATUAN'!$E$6,MATCH(RAB!C16,'HARGA SATUAN'!$C$7:$C$1509,0),0)))</f>
        <v>Btg</v>
      </c>
      <c r="F16" s="302">
        <v>1</v>
      </c>
      <c r="G16" s="294">
        <f ca="1">IF(ISERROR(OFFSET('HARGA SATUAN'!$I$6,MATCH(RAB!C16,'HARGA SATUAN'!$C$7:$C$1509,0),0)),0,OFFSET('HARGA SATUAN'!$I$6,MATCH(RAB!C16,'HARGA SATUAN'!$C$7:$C$1509,0),0))</f>
        <v>6074400</v>
      </c>
      <c r="H16" s="295">
        <f t="shared" ref="H16:H103" ca="1" si="4">IF(OR(D16="MDU",D16="MDU-KD"),(IF($O$3="RAB NON MDU","PLN KD",G16*F16)),0)</f>
        <v>0</v>
      </c>
      <c r="I16" s="295">
        <f t="shared" ref="I16:I103" ca="1" si="5">IF(D16="HDW",G16*F16,0)</f>
        <v>6074400</v>
      </c>
      <c r="J16" s="295">
        <f t="shared" ref="J16:J103" ca="1" si="6">IF(D16="JASA",G16*F16,0)</f>
        <v>0</v>
      </c>
      <c r="K16" s="296">
        <f t="shared" ref="K16:K103" ca="1" si="7">SUM(H16:J16)</f>
        <v>6074400</v>
      </c>
      <c r="L16" s="300"/>
      <c r="M16" s="300"/>
      <c r="N16" s="300"/>
      <c r="O16" s="297"/>
      <c r="P16" s="297"/>
      <c r="Q16" s="278"/>
      <c r="R16" s="270"/>
      <c r="S16" s="298"/>
      <c r="T16" s="275"/>
      <c r="U16" s="275"/>
      <c r="V16" s="275"/>
    </row>
    <row r="17" spans="1:22" s="301" customFormat="1" ht="17.100000000000001" customHeight="1">
      <c r="A17" s="270"/>
      <c r="B17" s="493">
        <v>2</v>
      </c>
      <c r="C17" s="494" t="s">
        <v>104</v>
      </c>
      <c r="D17" s="292" t="str">
        <f ca="1">IF(ISERROR(OFFSET('HARGA SATUAN'!$D$6,MATCH(RAB!C17,'HARGA SATUAN'!$C$7:$C$1509,0),0)),"",OFFSET('HARGA SATUAN'!$D$6,MATCH(RAB!C17,'HARGA SATUAN'!$C$7:$C$1509,0),0))</f>
        <v>HDW</v>
      </c>
      <c r="E17" s="293" t="str">
        <f ca="1">IF(B17="+","Unit",IF(ISERROR(OFFSET('HARGA SATUAN'!$E$6,MATCH(RAB!C17,'HARGA SATUAN'!$C$7:$C$1509,0),0)),"",OFFSET('HARGA SATUAN'!$E$6,MATCH(RAB!C17,'HARGA SATUAN'!$C$7:$C$1509,0),0)))</f>
        <v>Btg</v>
      </c>
      <c r="F17" s="302">
        <v>3</v>
      </c>
      <c r="G17" s="294">
        <f ca="1">IF(ISERROR(OFFSET('HARGA SATUAN'!$I$6,MATCH(RAB!C17,'HARGA SATUAN'!$C$7:$C$1509,0),0)),0,OFFSET('HARGA SATUAN'!$I$6,MATCH(RAB!C17,'HARGA SATUAN'!$C$7:$C$1509,0),0))</f>
        <v>3382600</v>
      </c>
      <c r="H17" s="295">
        <f t="shared" ca="1" si="4"/>
        <v>0</v>
      </c>
      <c r="I17" s="295">
        <f t="shared" ca="1" si="5"/>
        <v>10147800</v>
      </c>
      <c r="J17" s="295">
        <f t="shared" ca="1" si="6"/>
        <v>0</v>
      </c>
      <c r="K17" s="296">
        <f t="shared" ca="1" si="7"/>
        <v>10147800</v>
      </c>
      <c r="L17" s="300"/>
      <c r="M17" s="300"/>
      <c r="N17" s="300"/>
      <c r="O17" s="297"/>
      <c r="P17" s="297"/>
      <c r="Q17" s="278"/>
      <c r="R17" s="270"/>
      <c r="S17" s="298"/>
      <c r="T17" s="275"/>
      <c r="U17" s="275"/>
      <c r="V17" s="275"/>
    </row>
    <row r="18" spans="1:22" s="301" customFormat="1" ht="21" customHeight="1">
      <c r="A18" s="270">
        <f>IF(AND(C18=0,C33=0,C47=0),"BLANKS",1)</f>
        <v>1</v>
      </c>
      <c r="B18" s="495">
        <v>3</v>
      </c>
      <c r="C18" s="496" t="s">
        <v>6</v>
      </c>
      <c r="D18" s="292" t="str">
        <f ca="1">IF(ISERROR(OFFSET('HARGA SATUAN'!$D$6,MATCH(RAB!C18,'HARGA SATUAN'!$C$7:$C$1509,0),0)),"",OFFSET('HARGA SATUAN'!$D$6,MATCH(RAB!C18,'HARGA SATUAN'!$C$7:$C$1509,0),0))</f>
        <v>JASA</v>
      </c>
      <c r="E18" s="293" t="str">
        <f ca="1">IF(B18="+","Unit",IF(ISERROR(OFFSET('HARGA SATUAN'!$E$6,MATCH(RAB!C18,'HARGA SATUAN'!$C$7:$C$1509,0),0)),"",OFFSET('HARGA SATUAN'!$E$6,MATCH(RAB!C18,'HARGA SATUAN'!$C$7:$C$1509,0),0)))</f>
        <v>Btg</v>
      </c>
      <c r="F18" s="302">
        <f>SUM(F16:F17)</f>
        <v>4</v>
      </c>
      <c r="G18" s="294">
        <f ca="1">IF(ISERROR(OFFSET('HARGA SATUAN'!$I$6,MATCH(RAB!C18,'HARGA SATUAN'!$C$7:$C$1509,0),0)),0,OFFSET('HARGA SATUAN'!$I$6,MATCH(RAB!C18,'HARGA SATUAN'!$C$7:$C$1509,0),0))</f>
        <v>10066.666666666668</v>
      </c>
      <c r="H18" s="295">
        <f t="shared" ca="1" si="4"/>
        <v>0</v>
      </c>
      <c r="I18" s="295">
        <f t="shared" ca="1" si="5"/>
        <v>0</v>
      </c>
      <c r="J18" s="295">
        <f t="shared" ca="1" si="6"/>
        <v>40266.666666666672</v>
      </c>
      <c r="K18" s="296">
        <f t="shared" ca="1" si="7"/>
        <v>40266.666666666672</v>
      </c>
      <c r="L18" s="300"/>
      <c r="M18" s="300"/>
      <c r="N18" s="300"/>
      <c r="O18" s="297"/>
      <c r="P18" s="297"/>
      <c r="Q18" s="278"/>
      <c r="R18" s="270"/>
      <c r="S18" s="298"/>
      <c r="T18" s="275"/>
      <c r="U18" s="275"/>
      <c r="V18" s="275"/>
    </row>
    <row r="19" spans="1:22" s="301" customFormat="1" ht="8.25" customHeight="1">
      <c r="A19" s="270" t="e">
        <f>IF(AND(C19=0,C20=0,#REF!=0),"BLANKS",1)</f>
        <v>#REF!</v>
      </c>
      <c r="B19" s="303"/>
      <c r="C19" s="304"/>
      <c r="D19" s="292" t="str">
        <f ca="1">IF(ISERROR(OFFSET('HARGA SATUAN'!$D$6,MATCH(RAB!C19,'HARGA SATUAN'!$C$7:$C$1509,0),0)),"",OFFSET('HARGA SATUAN'!$D$6,MATCH(RAB!C19,'HARGA SATUAN'!$C$7:$C$1509,0),0))</f>
        <v/>
      </c>
      <c r="E19" s="293" t="str">
        <f ca="1">IF(B19="+","Unit",IF(ISERROR(OFFSET('HARGA SATUAN'!$E$6,MATCH(RAB!C19,'HARGA SATUAN'!$C$7:$C$1509,0),0)),"",OFFSET('HARGA SATUAN'!$E$6,MATCH(RAB!C19,'HARGA SATUAN'!$C$7:$C$1509,0),0)))</f>
        <v/>
      </c>
      <c r="F19" s="302"/>
      <c r="G19" s="294">
        <f ca="1">IF(ISERROR(OFFSET('HARGA SATUAN'!$I$6,MATCH(RAB!C19,'HARGA SATUAN'!$C$7:$C$1509,0),0)),0,OFFSET('HARGA SATUAN'!$I$6,MATCH(RAB!C19,'HARGA SATUAN'!$C$7:$C$1509,0),0))</f>
        <v>0</v>
      </c>
      <c r="H19" s="295">
        <f t="shared" ref="H19:H32" ca="1" si="8">IF(OR(D19="MDU",D19="MDU-KD"),(IF($O$3="RAB NON MDU","PLN KD",G19*F19)),0)</f>
        <v>0</v>
      </c>
      <c r="I19" s="295">
        <f t="shared" ref="I19:I32" ca="1" si="9">IF(D19="HDW",G19*F19,0)</f>
        <v>0</v>
      </c>
      <c r="J19" s="295">
        <f t="shared" ref="J19:J32" ca="1" si="10">IF(D19="JASA",G19*F19,0)</f>
        <v>0</v>
      </c>
      <c r="K19" s="296">
        <f t="shared" ref="K19:K32" ca="1" si="11">SUM(H19:J19)</f>
        <v>0</v>
      </c>
      <c r="L19" s="300"/>
      <c r="M19" s="300"/>
      <c r="N19" s="300"/>
      <c r="O19" s="297"/>
      <c r="P19" s="297"/>
      <c r="Q19" s="278"/>
      <c r="R19" s="270"/>
      <c r="S19" s="298"/>
      <c r="T19" s="275"/>
      <c r="U19" s="275"/>
      <c r="V19" s="275"/>
    </row>
    <row r="20" spans="1:22" s="301" customFormat="1" ht="38.25" customHeight="1">
      <c r="A20" s="270"/>
      <c r="B20" s="303" t="s">
        <v>1459</v>
      </c>
      <c r="C20" s="304" t="s">
        <v>1632</v>
      </c>
      <c r="D20" s="292" t="str">
        <f ca="1">IF(ISERROR(OFFSET('HARGA SATUAN'!$D$6,MATCH(RAB!C20,'HARGA SATUAN'!$C$7:$C$1509,0),0)),"",OFFSET('HARGA SATUAN'!$D$6,MATCH(RAB!C20,'HARGA SATUAN'!$C$7:$C$1509,0),0))</f>
        <v/>
      </c>
      <c r="E20" s="293" t="str">
        <f ca="1">IF(B20="+","Unit",IF(ISERROR(OFFSET('HARGA SATUAN'!$E$6,MATCH(RAB!C20,'HARGA SATUAN'!$C$7:$C$1509,0),0)),"",OFFSET('HARGA SATUAN'!$E$6,MATCH(RAB!C20,'HARGA SATUAN'!$C$7:$C$1509,0),0)))</f>
        <v/>
      </c>
      <c r="F20" s="302"/>
      <c r="G20" s="294">
        <f ca="1">IF(ISERROR(OFFSET('HARGA SATUAN'!$I$6,MATCH(RAB!C20,'HARGA SATUAN'!$C$7:$C$1509,0),0)),0,OFFSET('HARGA SATUAN'!$I$6,MATCH(RAB!C20,'HARGA SATUAN'!$C$7:$C$1509,0),0))</f>
        <v>0</v>
      </c>
      <c r="H20" s="295">
        <f t="shared" ca="1" si="8"/>
        <v>0</v>
      </c>
      <c r="I20" s="295">
        <f t="shared" ca="1" si="9"/>
        <v>0</v>
      </c>
      <c r="J20" s="295">
        <f t="shared" ca="1" si="10"/>
        <v>0</v>
      </c>
      <c r="K20" s="296">
        <f t="shared" ca="1" si="11"/>
        <v>0</v>
      </c>
      <c r="L20" s="300"/>
      <c r="M20" s="300"/>
      <c r="N20" s="300"/>
      <c r="O20" s="297"/>
      <c r="P20" s="297"/>
      <c r="Q20" s="278"/>
      <c r="R20" s="270"/>
      <c r="S20" s="298"/>
      <c r="T20" s="275"/>
      <c r="U20" s="275"/>
      <c r="V20" s="275"/>
    </row>
    <row r="21" spans="1:22" s="301" customFormat="1" ht="22.5" customHeight="1">
      <c r="A21" s="270" t="e">
        <f>IF(AND(#REF!=0,#REF!=0,#REF!=0),"BLANKS",1)</f>
        <v>#REF!</v>
      </c>
      <c r="B21" s="504" t="s">
        <v>1039</v>
      </c>
      <c r="C21" s="505" t="s">
        <v>1640</v>
      </c>
      <c r="D21" s="292" t="str">
        <f ca="1">IF(ISERROR(OFFSET('HARGA SATUAN'!$D$6,MATCH(RAB!C21,'HARGA SATUAN'!$C$7:$C$1509,0),0)),"",OFFSET('HARGA SATUAN'!$D$6,MATCH(RAB!C21,'HARGA SATUAN'!$C$7:$C$1509,0),0))</f>
        <v/>
      </c>
      <c r="E21" s="293" t="str">
        <f ca="1">IF(B21="+","Unit",IF(ISERROR(OFFSET('HARGA SATUAN'!$E$6,MATCH(RAB!C21,'HARGA SATUAN'!$C$7:$C$1509,0),0)),"",OFFSET('HARGA SATUAN'!$E$6,MATCH(RAB!C21,'HARGA SATUAN'!$C$7:$C$1509,0),0)))</f>
        <v>Unit</v>
      </c>
      <c r="F21" s="506">
        <v>1</v>
      </c>
      <c r="G21" s="294">
        <f ca="1">IF(ISERROR(OFFSET('HARGA SATUAN'!$I$6,MATCH(RAB!C21,'HARGA SATUAN'!$C$7:$C$1509,0),0)),0,OFFSET('HARGA SATUAN'!$I$6,MATCH(RAB!C21,'HARGA SATUAN'!$C$7:$C$1509,0),0))</f>
        <v>0</v>
      </c>
      <c r="H21" s="295">
        <f t="shared" ca="1" si="8"/>
        <v>0</v>
      </c>
      <c r="I21" s="295">
        <f t="shared" ca="1" si="9"/>
        <v>0</v>
      </c>
      <c r="J21" s="295">
        <f t="shared" ca="1" si="10"/>
        <v>0</v>
      </c>
      <c r="K21" s="296">
        <f t="shared" ca="1" si="11"/>
        <v>0</v>
      </c>
      <c r="L21" s="300"/>
      <c r="M21" s="300"/>
      <c r="N21" s="300"/>
      <c r="O21" s="297"/>
      <c r="P21" s="297"/>
      <c r="Q21" s="278"/>
      <c r="R21" s="270"/>
      <c r="S21" s="298"/>
      <c r="T21" s="275"/>
      <c r="U21" s="275"/>
      <c r="V21" s="275"/>
    </row>
    <row r="22" spans="1:22" s="301" customFormat="1" ht="17.100000000000001" customHeight="1">
      <c r="A22" s="270" t="e">
        <f>IF(AND(#REF!=0,#REF!=0,#REF!=0),"BLANKS",1)</f>
        <v>#REF!</v>
      </c>
      <c r="B22" s="504">
        <v>1</v>
      </c>
      <c r="C22" s="505" t="s">
        <v>1566</v>
      </c>
      <c r="D22" s="292" t="str">
        <f ca="1">IF(ISERROR(OFFSET('HARGA SATUAN'!$D$6,MATCH(RAB!C22,'HARGA SATUAN'!$C$7:$C$1509,0),0)),"",OFFSET('HARGA SATUAN'!$D$6,MATCH(RAB!C22,'HARGA SATUAN'!$C$7:$C$1509,0),0))</f>
        <v>MDU-KD</v>
      </c>
      <c r="E22" s="293" t="str">
        <f ca="1">IF(B22="+","Unit",IF(ISERROR(OFFSET('HARGA SATUAN'!$E$6,MATCH(RAB!C22,'HARGA SATUAN'!$C$7:$C$1509,0),0)),"",OFFSET('HARGA SATUAN'!$E$6,MATCH(RAB!C22,'HARGA SATUAN'!$C$7:$C$1509,0),0)))</f>
        <v>Set</v>
      </c>
      <c r="F22" s="506">
        <f>F21*1</f>
        <v>1</v>
      </c>
      <c r="G22" s="294">
        <f ca="1">IF(ISERROR(OFFSET('HARGA SATUAN'!$I$6,MATCH(RAB!C22,'HARGA SATUAN'!$C$7:$C$1509,0),0)),0,OFFSET('HARGA SATUAN'!$I$6,MATCH(RAB!C22,'HARGA SATUAN'!$C$7:$C$1509,0),0))</f>
        <v>205700</v>
      </c>
      <c r="H22" s="295">
        <f t="shared" ca="1" si="8"/>
        <v>205700</v>
      </c>
      <c r="I22" s="295">
        <f t="shared" ca="1" si="9"/>
        <v>0</v>
      </c>
      <c r="J22" s="295">
        <f t="shared" ca="1" si="10"/>
        <v>0</v>
      </c>
      <c r="K22" s="296">
        <f t="shared" ca="1" si="11"/>
        <v>205700</v>
      </c>
      <c r="L22" s="300"/>
      <c r="M22" s="300"/>
      <c r="N22" s="300"/>
      <c r="O22" s="297"/>
      <c r="P22" s="297"/>
      <c r="Q22" s="278"/>
      <c r="R22" s="270"/>
      <c r="S22" s="298"/>
      <c r="T22" s="275"/>
      <c r="U22" s="275"/>
      <c r="V22" s="275"/>
    </row>
    <row r="23" spans="1:22" s="301" customFormat="1" ht="17.100000000000001" customHeight="1">
      <c r="A23" s="270" t="e">
        <f>IF(AND(#REF!=0,#REF!=0,#REF!=0),"BLANKS",1)</f>
        <v>#REF!</v>
      </c>
      <c r="B23" s="504">
        <v>2</v>
      </c>
      <c r="C23" s="505" t="s">
        <v>155</v>
      </c>
      <c r="D23" s="292" t="str">
        <f ca="1">IF(ISERROR(OFFSET('HARGA SATUAN'!$D$6,MATCH(RAB!C23,'HARGA SATUAN'!$C$7:$C$1509,0),0)),"",OFFSET('HARGA SATUAN'!$D$6,MATCH(RAB!C23,'HARGA SATUAN'!$C$7:$C$1509,0),0))</f>
        <v>HDW</v>
      </c>
      <c r="E23" s="293" t="str">
        <f ca="1">IF(B23="+","Unit",IF(ISERROR(OFFSET('HARGA SATUAN'!$E$6,MATCH(RAB!C23,'HARGA SATUAN'!$C$7:$C$1509,0),0)),"",OFFSET('HARGA SATUAN'!$E$6,MATCH(RAB!C23,'HARGA SATUAN'!$C$7:$C$1509,0),0)))</f>
        <v>Mtr</v>
      </c>
      <c r="F23" s="506">
        <f>F21*1</f>
        <v>1</v>
      </c>
      <c r="G23" s="294">
        <f ca="1">IF(ISERROR(OFFSET('HARGA SATUAN'!$I$6,MATCH(RAB!C23,'HARGA SATUAN'!$C$7:$C$1509,0),0)),0,OFFSET('HARGA SATUAN'!$I$6,MATCH(RAB!C23,'HARGA SATUAN'!$C$7:$C$1509,0),0))</f>
        <v>7789</v>
      </c>
      <c r="H23" s="295">
        <f t="shared" ca="1" si="8"/>
        <v>0</v>
      </c>
      <c r="I23" s="295">
        <f t="shared" ca="1" si="9"/>
        <v>7789</v>
      </c>
      <c r="J23" s="295">
        <f t="shared" ca="1" si="10"/>
        <v>0</v>
      </c>
      <c r="K23" s="296">
        <f t="shared" ca="1" si="11"/>
        <v>7789</v>
      </c>
      <c r="L23" s="300"/>
      <c r="M23" s="300"/>
      <c r="N23" s="300"/>
      <c r="O23" s="297"/>
      <c r="P23" s="297"/>
      <c r="Q23" s="278"/>
      <c r="R23" s="270"/>
      <c r="S23" s="298"/>
      <c r="T23" s="275"/>
      <c r="U23" s="275"/>
      <c r="V23" s="275"/>
    </row>
    <row r="24" spans="1:22" s="301" customFormat="1" ht="32.25" customHeight="1">
      <c r="A24" s="270" t="e">
        <f>IF(AND(#REF!=0,#REF!=0,#REF!=0),"BLANKS",1)</f>
        <v>#REF!</v>
      </c>
      <c r="B24" s="504">
        <v>3</v>
      </c>
      <c r="C24" s="505" t="s">
        <v>182</v>
      </c>
      <c r="D24" s="292" t="str">
        <f ca="1">IF(ISERROR(OFFSET('HARGA SATUAN'!$D$6,MATCH(RAB!C24,'HARGA SATUAN'!$C$7:$C$1509,0),0)),"",OFFSET('HARGA SATUAN'!$D$6,MATCH(RAB!C24,'HARGA SATUAN'!$C$7:$C$1509,0),0))</f>
        <v>HDW</v>
      </c>
      <c r="E24" s="293" t="str">
        <f ca="1">IF(B24="+","Unit",IF(ISERROR(OFFSET('HARGA SATUAN'!$E$6,MATCH(RAB!C24,'HARGA SATUAN'!$C$7:$C$1509,0),0)),"",OFFSET('HARGA SATUAN'!$E$6,MATCH(RAB!C24,'HARGA SATUAN'!$C$7:$C$1509,0),0)))</f>
        <v>Bh</v>
      </c>
      <c r="F24" s="506">
        <f>F21*1</f>
        <v>1</v>
      </c>
      <c r="G24" s="294">
        <f ca="1">IF(ISERROR(OFFSET('HARGA SATUAN'!$I$6,MATCH(RAB!C24,'HARGA SATUAN'!$C$7:$C$1509,0),0)),0,OFFSET('HARGA SATUAN'!$I$6,MATCH(RAB!C24,'HARGA SATUAN'!$C$7:$C$1509,0),0))</f>
        <v>15500</v>
      </c>
      <c r="H24" s="295">
        <f t="shared" ca="1" si="8"/>
        <v>0</v>
      </c>
      <c r="I24" s="295">
        <f t="shared" ca="1" si="9"/>
        <v>15500</v>
      </c>
      <c r="J24" s="295">
        <f t="shared" ca="1" si="10"/>
        <v>0</v>
      </c>
      <c r="K24" s="296">
        <f t="shared" ca="1" si="11"/>
        <v>15500</v>
      </c>
      <c r="L24" s="300"/>
      <c r="M24" s="300"/>
      <c r="N24" s="300"/>
      <c r="O24" s="297"/>
      <c r="P24" s="297"/>
      <c r="Q24" s="278"/>
      <c r="R24" s="270"/>
      <c r="S24" s="298"/>
      <c r="T24" s="275"/>
      <c r="U24" s="275"/>
      <c r="V24" s="275"/>
    </row>
    <row r="25" spans="1:22" s="301" customFormat="1" ht="17.100000000000001" customHeight="1">
      <c r="A25" s="270" t="e">
        <f>IF(AND(#REF!=0,#REF!=0,#REF!=0),"BLANKS",1)</f>
        <v>#REF!</v>
      </c>
      <c r="B25" s="504">
        <v>4</v>
      </c>
      <c r="C25" s="505" t="s">
        <v>187</v>
      </c>
      <c r="D25" s="292" t="str">
        <f ca="1">IF(ISERROR(OFFSET('HARGA SATUAN'!$D$6,MATCH(RAB!C25,'HARGA SATUAN'!$C$7:$C$1509,0),0)),"",OFFSET('HARGA SATUAN'!$D$6,MATCH(RAB!C25,'HARGA SATUAN'!$C$7:$C$1509,0),0))</f>
        <v>HDW</v>
      </c>
      <c r="E25" s="293" t="str">
        <f ca="1">IF(B25="+","Unit",IF(ISERROR(OFFSET('HARGA SATUAN'!$E$6,MATCH(RAB!C25,'HARGA SATUAN'!$C$7:$C$1509,0),0)),"",OFFSET('HARGA SATUAN'!$E$6,MATCH(RAB!C25,'HARGA SATUAN'!$C$7:$C$1509,0),0)))</f>
        <v>Bh</v>
      </c>
      <c r="F25" s="506">
        <f>F21*2</f>
        <v>2</v>
      </c>
      <c r="G25" s="294">
        <f ca="1">IF(ISERROR(OFFSET('HARGA SATUAN'!$I$6,MATCH(RAB!C25,'HARGA SATUAN'!$C$7:$C$1509,0),0)),0,OFFSET('HARGA SATUAN'!$I$6,MATCH(RAB!C25,'HARGA SATUAN'!$C$7:$C$1509,0),0))</f>
        <v>15900</v>
      </c>
      <c r="H25" s="295">
        <f t="shared" ca="1" si="8"/>
        <v>0</v>
      </c>
      <c r="I25" s="295">
        <f t="shared" ca="1" si="9"/>
        <v>31800</v>
      </c>
      <c r="J25" s="295">
        <f t="shared" ca="1" si="10"/>
        <v>0</v>
      </c>
      <c r="K25" s="296">
        <f t="shared" ca="1" si="11"/>
        <v>31800</v>
      </c>
      <c r="L25" s="300"/>
      <c r="M25" s="300"/>
      <c r="N25" s="300"/>
      <c r="O25" s="297"/>
      <c r="P25" s="297"/>
      <c r="Q25" s="278"/>
      <c r="R25" s="270"/>
      <c r="S25" s="298"/>
      <c r="T25" s="275"/>
      <c r="U25" s="275"/>
      <c r="V25" s="275"/>
    </row>
    <row r="26" spans="1:22" s="301" customFormat="1" ht="17.100000000000001" customHeight="1">
      <c r="A26" s="270"/>
      <c r="B26" s="504">
        <v>5</v>
      </c>
      <c r="C26" s="505" t="s">
        <v>220</v>
      </c>
      <c r="D26" s="292" t="str">
        <f ca="1">IF(ISERROR(OFFSET('HARGA SATUAN'!$D$6,MATCH(RAB!C26,'HARGA SATUAN'!$C$7:$C$1509,0),0)),"",OFFSET('HARGA SATUAN'!$D$6,MATCH(RAB!C26,'HARGA SATUAN'!$C$7:$C$1509,0),0))</f>
        <v>HDW</v>
      </c>
      <c r="E26" s="293" t="str">
        <f ca="1">IF(B26="+","Unit",IF(ISERROR(OFFSET('HARGA SATUAN'!$E$6,MATCH(RAB!C26,'HARGA SATUAN'!$C$7:$C$1509,0),0)),"",OFFSET('HARGA SATUAN'!$E$6,MATCH(RAB!C26,'HARGA SATUAN'!$C$7:$C$1509,0),0)))</f>
        <v>Bh</v>
      </c>
      <c r="F26" s="506">
        <f>F21*1</f>
        <v>1</v>
      </c>
      <c r="G26" s="294">
        <f ca="1">IF(ISERROR(OFFSET('HARGA SATUAN'!$I$6,MATCH(RAB!C26,'HARGA SATUAN'!$C$7:$C$1509,0),0)),0,OFFSET('HARGA SATUAN'!$I$6,MATCH(RAB!C26,'HARGA SATUAN'!$C$7:$C$1509,0),0))</f>
        <v>11400</v>
      </c>
      <c r="H26" s="295">
        <f t="shared" ca="1" si="8"/>
        <v>0</v>
      </c>
      <c r="I26" s="295">
        <f t="shared" ca="1" si="9"/>
        <v>11400</v>
      </c>
      <c r="J26" s="295">
        <f t="shared" ca="1" si="10"/>
        <v>0</v>
      </c>
      <c r="K26" s="296">
        <f t="shared" ca="1" si="11"/>
        <v>11400</v>
      </c>
      <c r="L26" s="300"/>
      <c r="M26" s="300"/>
      <c r="N26" s="300"/>
      <c r="O26" s="297"/>
      <c r="P26" s="297"/>
      <c r="Q26" s="278"/>
      <c r="R26" s="270"/>
      <c r="S26" s="298"/>
      <c r="T26" s="275"/>
      <c r="U26" s="275"/>
      <c r="V26" s="275"/>
    </row>
    <row r="27" spans="1:22" s="301" customFormat="1" ht="17.100000000000001" customHeight="1">
      <c r="A27" s="270" t="e">
        <f>IF(AND(#REF!=0,#REF!=0,#REF!=0),"BLANKS",1)</f>
        <v>#REF!</v>
      </c>
      <c r="B27" s="504">
        <v>6</v>
      </c>
      <c r="C27" s="505" t="s">
        <v>221</v>
      </c>
      <c r="D27" s="292" t="str">
        <f ca="1">IF(ISERROR(OFFSET('HARGA SATUAN'!$D$6,MATCH(RAB!C27,'HARGA SATUAN'!$C$7:$C$1509,0),0)),"",OFFSET('HARGA SATUAN'!$D$6,MATCH(RAB!C27,'HARGA SATUAN'!$C$7:$C$1509,0),0))</f>
        <v>HDW</v>
      </c>
      <c r="E27" s="293" t="str">
        <f ca="1">IF(B27="+","Unit",IF(ISERROR(OFFSET('HARGA SATUAN'!$E$6,MATCH(RAB!C27,'HARGA SATUAN'!$C$7:$C$1509,0),0)),"",OFFSET('HARGA SATUAN'!$E$6,MATCH(RAB!C27,'HARGA SATUAN'!$C$7:$C$1509,0),0)))</f>
        <v>Bh</v>
      </c>
      <c r="F27" s="506">
        <f>F21*2</f>
        <v>2</v>
      </c>
      <c r="G27" s="294">
        <f ca="1">IF(ISERROR(OFFSET('HARGA SATUAN'!$I$6,MATCH(RAB!C27,'HARGA SATUAN'!$C$7:$C$1509,0),0)),0,OFFSET('HARGA SATUAN'!$I$6,MATCH(RAB!C27,'HARGA SATUAN'!$C$7:$C$1509,0),0))</f>
        <v>29600</v>
      </c>
      <c r="H27" s="295">
        <f t="shared" ca="1" si="8"/>
        <v>0</v>
      </c>
      <c r="I27" s="295">
        <f t="shared" ca="1" si="9"/>
        <v>59200</v>
      </c>
      <c r="J27" s="295">
        <f t="shared" ca="1" si="10"/>
        <v>0</v>
      </c>
      <c r="K27" s="296">
        <f t="shared" ca="1" si="11"/>
        <v>59200</v>
      </c>
      <c r="L27" s="300"/>
      <c r="M27" s="300"/>
      <c r="N27" s="300"/>
      <c r="O27" s="297"/>
      <c r="P27" s="297"/>
      <c r="Q27" s="278"/>
      <c r="R27" s="270"/>
      <c r="S27" s="298"/>
      <c r="T27" s="275"/>
      <c r="U27" s="275"/>
      <c r="V27" s="275"/>
    </row>
    <row r="28" spans="1:22" s="301" customFormat="1" ht="17.100000000000001" customHeight="1">
      <c r="A28" s="270" t="e">
        <f>IF(AND(#REF!=0,#REF!=0,#REF!=0),"BLANKS",1)</f>
        <v>#REF!</v>
      </c>
      <c r="B28" s="504">
        <v>7</v>
      </c>
      <c r="C28" s="505" t="s">
        <v>226</v>
      </c>
      <c r="D28" s="292" t="str">
        <f ca="1">IF(ISERROR(OFFSET('HARGA SATUAN'!$D$6,MATCH(RAB!C28,'HARGA SATUAN'!$C$7:$C$1509,0),0)),"",OFFSET('HARGA SATUAN'!$D$6,MATCH(RAB!C28,'HARGA SATUAN'!$C$7:$C$1509,0),0))</f>
        <v>HDW</v>
      </c>
      <c r="E28" s="293" t="str">
        <f ca="1">IF(B28="+","Unit",IF(ISERROR(OFFSET('HARGA SATUAN'!$E$6,MATCH(RAB!C28,'HARGA SATUAN'!$C$7:$C$1509,0),0)),"",OFFSET('HARGA SATUAN'!$E$6,MATCH(RAB!C28,'HARGA SATUAN'!$C$7:$C$1509,0),0)))</f>
        <v>Bh</v>
      </c>
      <c r="F28" s="506">
        <f>F21*1</f>
        <v>1</v>
      </c>
      <c r="G28" s="294">
        <f ca="1">IF(ISERROR(OFFSET('HARGA SATUAN'!$I$6,MATCH(RAB!C28,'HARGA SATUAN'!$C$7:$C$1509,0),0)),0,OFFSET('HARGA SATUAN'!$I$6,MATCH(RAB!C28,'HARGA SATUAN'!$C$7:$C$1509,0),0))</f>
        <v>27815</v>
      </c>
      <c r="H28" s="295">
        <f t="shared" ca="1" si="8"/>
        <v>0</v>
      </c>
      <c r="I28" s="295">
        <f t="shared" ca="1" si="9"/>
        <v>27815</v>
      </c>
      <c r="J28" s="295">
        <f t="shared" ca="1" si="10"/>
        <v>0</v>
      </c>
      <c r="K28" s="296">
        <f t="shared" ca="1" si="11"/>
        <v>27815</v>
      </c>
      <c r="L28" s="300"/>
      <c r="M28" s="300"/>
      <c r="N28" s="300"/>
      <c r="O28" s="297"/>
      <c r="P28" s="297"/>
      <c r="Q28" s="278"/>
      <c r="R28" s="270"/>
      <c r="S28" s="298"/>
      <c r="T28" s="275"/>
      <c r="U28" s="275"/>
      <c r="V28" s="275"/>
    </row>
    <row r="29" spans="1:22" s="301" customFormat="1" ht="17.100000000000001" customHeight="1">
      <c r="A29" s="270" t="e">
        <f>IF(AND(#REF!=0,#REF!=0,#REF!=0),"BLANKS",1)</f>
        <v>#REF!</v>
      </c>
      <c r="B29" s="504">
        <v>8</v>
      </c>
      <c r="C29" s="505" t="s">
        <v>25</v>
      </c>
      <c r="D29" s="292" t="str">
        <f ca="1">IF(ISERROR(OFFSET('HARGA SATUAN'!$D$6,MATCH(RAB!C29,'HARGA SATUAN'!$C$7:$C$1509,0),0)),"",OFFSET('HARGA SATUAN'!$D$6,MATCH(RAB!C29,'HARGA SATUAN'!$C$7:$C$1509,0),0))</f>
        <v>HDW</v>
      </c>
      <c r="E29" s="293" t="str">
        <f ca="1">IF(B29="+","Unit",IF(ISERROR(OFFSET('HARGA SATUAN'!$E$6,MATCH(RAB!C29,'HARGA SATUAN'!$C$7:$C$1509,0),0)),"",OFFSET('HARGA SATUAN'!$E$6,MATCH(RAB!C29,'HARGA SATUAN'!$C$7:$C$1509,0),0)))</f>
        <v>Bh</v>
      </c>
      <c r="F29" s="506">
        <f>F21*1</f>
        <v>1</v>
      </c>
      <c r="G29" s="294">
        <f ca="1">IF(ISERROR(OFFSET('HARGA SATUAN'!$I$6,MATCH(RAB!C29,'HARGA SATUAN'!$C$7:$C$1509,0),0)),0,OFFSET('HARGA SATUAN'!$I$6,MATCH(RAB!C29,'HARGA SATUAN'!$C$7:$C$1509,0),0))</f>
        <v>23936</v>
      </c>
      <c r="H29" s="295">
        <f t="shared" ca="1" si="8"/>
        <v>0</v>
      </c>
      <c r="I29" s="295">
        <f t="shared" ca="1" si="9"/>
        <v>23936</v>
      </c>
      <c r="J29" s="295">
        <f t="shared" ca="1" si="10"/>
        <v>0</v>
      </c>
      <c r="K29" s="296">
        <f t="shared" ca="1" si="11"/>
        <v>23936</v>
      </c>
      <c r="L29" s="300"/>
      <c r="M29" s="300"/>
      <c r="N29" s="300"/>
      <c r="O29" s="297"/>
      <c r="P29" s="297"/>
      <c r="Q29" s="278"/>
      <c r="R29" s="270"/>
      <c r="S29" s="298"/>
      <c r="T29" s="275"/>
      <c r="U29" s="275"/>
      <c r="V29" s="275"/>
    </row>
    <row r="30" spans="1:22" s="301" customFormat="1" ht="17.100000000000001" customHeight="1">
      <c r="A30" s="270" t="e">
        <f>IF(AND(#REF!=0,#REF!=0,#REF!=0),"BLANKS",1)</f>
        <v>#REF!</v>
      </c>
      <c r="B30" s="504">
        <v>9</v>
      </c>
      <c r="C30" s="505" t="s">
        <v>250</v>
      </c>
      <c r="D30" s="292" t="str">
        <f ca="1">IF(ISERROR(OFFSET('HARGA SATUAN'!$D$6,MATCH(RAB!C30,'HARGA SATUAN'!$C$7:$C$1509,0),0)),"",OFFSET('HARGA SATUAN'!$D$6,MATCH(RAB!C30,'HARGA SATUAN'!$C$7:$C$1509,0),0))</f>
        <v>HDW</v>
      </c>
      <c r="E30" s="293" t="str">
        <f ca="1">IF(B30="+","Unit",IF(ISERROR(OFFSET('HARGA SATUAN'!$E$6,MATCH(RAB!C30,'HARGA SATUAN'!$C$7:$C$1509,0),0)),"",OFFSET('HARGA SATUAN'!$E$6,MATCH(RAB!C30,'HARGA SATUAN'!$C$7:$C$1509,0),0)))</f>
        <v>Bh</v>
      </c>
      <c r="F30" s="506">
        <f>F21*1</f>
        <v>1</v>
      </c>
      <c r="G30" s="294">
        <f ca="1">IF(ISERROR(OFFSET('HARGA SATUAN'!$I$6,MATCH(RAB!C30,'HARGA SATUAN'!$C$7:$C$1509,0),0)),0,OFFSET('HARGA SATUAN'!$I$6,MATCH(RAB!C30,'HARGA SATUAN'!$C$7:$C$1509,0),0))</f>
        <v>57690</v>
      </c>
      <c r="H30" s="295">
        <f t="shared" ca="1" si="8"/>
        <v>0</v>
      </c>
      <c r="I30" s="295">
        <f t="shared" ca="1" si="9"/>
        <v>57690</v>
      </c>
      <c r="J30" s="295">
        <f t="shared" ca="1" si="10"/>
        <v>0</v>
      </c>
      <c r="K30" s="296">
        <f t="shared" ca="1" si="11"/>
        <v>57690</v>
      </c>
      <c r="L30" s="300"/>
      <c r="M30" s="300"/>
      <c r="N30" s="300"/>
      <c r="O30" s="297"/>
      <c r="P30" s="297"/>
      <c r="Q30" s="278"/>
      <c r="R30" s="270"/>
      <c r="S30" s="298"/>
      <c r="T30" s="275"/>
      <c r="U30" s="275"/>
      <c r="V30" s="275"/>
    </row>
    <row r="31" spans="1:22" s="301" customFormat="1" ht="17.100000000000001" customHeight="1">
      <c r="A31" s="270" t="e">
        <f>IF(AND(#REF!=0,#REF!=0,#REF!=0),"BLANKS",1)</f>
        <v>#REF!</v>
      </c>
      <c r="B31" s="504">
        <v>10</v>
      </c>
      <c r="C31" s="505" t="s">
        <v>268</v>
      </c>
      <c r="D31" s="292" t="str">
        <f ca="1">IF(ISERROR(OFFSET('HARGA SATUAN'!$D$6,MATCH(RAB!C31,'HARGA SATUAN'!$C$7:$C$1509,0),0)),"",OFFSET('HARGA SATUAN'!$D$6,MATCH(RAB!C31,'HARGA SATUAN'!$C$7:$C$1509,0),0))</f>
        <v>HDW</v>
      </c>
      <c r="E31" s="293" t="str">
        <f ca="1">IF(B31="+","Unit",IF(ISERROR(OFFSET('HARGA SATUAN'!$E$6,MATCH(RAB!C31,'HARGA SATUAN'!$C$7:$C$1509,0),0)),"",OFFSET('HARGA SATUAN'!$E$6,MATCH(RAB!C31,'HARGA SATUAN'!$C$7:$C$1509,0),0)))</f>
        <v>Bh</v>
      </c>
      <c r="F31" s="506">
        <f>F21*1</f>
        <v>1</v>
      </c>
      <c r="G31" s="294">
        <f ca="1">IF(ISERROR(OFFSET('HARGA SATUAN'!$I$6,MATCH(RAB!C31,'HARGA SATUAN'!$C$7:$C$1509,0),0)),0,OFFSET('HARGA SATUAN'!$I$6,MATCH(RAB!C31,'HARGA SATUAN'!$C$7:$C$1509,0),0))</f>
        <v>33501.866666666669</v>
      </c>
      <c r="H31" s="295">
        <f t="shared" ca="1" si="8"/>
        <v>0</v>
      </c>
      <c r="I31" s="295">
        <f t="shared" ca="1" si="9"/>
        <v>33501.866666666669</v>
      </c>
      <c r="J31" s="295">
        <f t="shared" ca="1" si="10"/>
        <v>0</v>
      </c>
      <c r="K31" s="296">
        <f t="shared" ca="1" si="11"/>
        <v>33501.866666666669</v>
      </c>
      <c r="L31" s="300"/>
      <c r="M31" s="300"/>
      <c r="N31" s="300"/>
      <c r="O31" s="297"/>
      <c r="P31" s="297"/>
      <c r="Q31" s="278"/>
      <c r="R31" s="270"/>
      <c r="S31" s="298"/>
      <c r="T31" s="275"/>
      <c r="U31" s="275"/>
      <c r="V31" s="275"/>
    </row>
    <row r="32" spans="1:22" s="301" customFormat="1" ht="17.100000000000001" customHeight="1">
      <c r="A32" s="270"/>
      <c r="B32" s="504">
        <v>11</v>
      </c>
      <c r="C32" s="505" t="s">
        <v>26</v>
      </c>
      <c r="D32" s="292" t="str">
        <f ca="1">IF(ISERROR(OFFSET('HARGA SATUAN'!$D$6,MATCH(RAB!C32,'HARGA SATUAN'!$C$7:$C$1509,0),0)),"",OFFSET('HARGA SATUAN'!$D$6,MATCH(RAB!C32,'HARGA SATUAN'!$C$7:$C$1509,0),0))</f>
        <v>HDW</v>
      </c>
      <c r="E32" s="293" t="str">
        <f ca="1">IF(B32="+","Unit",IF(ISERROR(OFFSET('HARGA SATUAN'!$E$6,MATCH(RAB!C32,'HARGA SATUAN'!$C$7:$C$1509,0),0)),"",OFFSET('HARGA SATUAN'!$E$6,MATCH(RAB!C32,'HARGA SATUAN'!$C$7:$C$1509,0),0)))</f>
        <v>Bh</v>
      </c>
      <c r="F32" s="506">
        <f>F21*1</f>
        <v>1</v>
      </c>
      <c r="G32" s="294">
        <f ca="1">IF(ISERROR(OFFSET('HARGA SATUAN'!$I$6,MATCH(RAB!C32,'HARGA SATUAN'!$C$7:$C$1509,0),0)),0,OFFSET('HARGA SATUAN'!$I$6,MATCH(RAB!C32,'HARGA SATUAN'!$C$7:$C$1509,0),0))</f>
        <v>2500</v>
      </c>
      <c r="H32" s="295">
        <f t="shared" ca="1" si="8"/>
        <v>0</v>
      </c>
      <c r="I32" s="295">
        <f t="shared" ca="1" si="9"/>
        <v>2500</v>
      </c>
      <c r="J32" s="295">
        <f t="shared" ca="1" si="10"/>
        <v>0</v>
      </c>
      <c r="K32" s="296">
        <f t="shared" ca="1" si="11"/>
        <v>2500</v>
      </c>
      <c r="L32" s="300"/>
      <c r="M32" s="300"/>
      <c r="N32" s="300"/>
      <c r="O32" s="297"/>
      <c r="P32" s="297"/>
      <c r="Q32" s="278"/>
      <c r="R32" s="270"/>
      <c r="S32" s="298"/>
      <c r="T32" s="275"/>
      <c r="U32" s="275"/>
      <c r="V32" s="275"/>
    </row>
    <row r="33" spans="1:22" s="301" customFormat="1" ht="17.100000000000001" customHeight="1">
      <c r="A33" s="270" t="e">
        <f>IF(AND(#REF!=0,#REF!=0,#REF!=0),"BLANKS",1)</f>
        <v>#REF!</v>
      </c>
      <c r="B33" s="504">
        <v>12</v>
      </c>
      <c r="C33" s="505" t="s">
        <v>661</v>
      </c>
      <c r="D33" s="292" t="str">
        <f ca="1">IF(ISERROR(OFFSET('HARGA SATUAN'!$D$6,MATCH(RAB!C33,'HARGA SATUAN'!$C$7:$C$1509,0),0)),"",OFFSET('HARGA SATUAN'!$D$6,MATCH(RAB!C33,'HARGA SATUAN'!$C$7:$C$1509,0),0))</f>
        <v>JASA</v>
      </c>
      <c r="E33" s="293" t="str">
        <f ca="1">IF(B33="+","Unit",IF(ISERROR(OFFSET('HARGA SATUAN'!$E$6,MATCH(RAB!C33,'HARGA SATUAN'!$C$7:$C$1509,0),0)),"",OFFSET('HARGA SATUAN'!$E$6,MATCH(RAB!C33,'HARGA SATUAN'!$C$7:$C$1509,0),0)))</f>
        <v>Unit</v>
      </c>
      <c r="F33" s="506">
        <f>F21*1</f>
        <v>1</v>
      </c>
      <c r="G33" s="294">
        <f ca="1">IF(ISERROR(OFFSET('HARGA SATUAN'!$I$6,MATCH(RAB!C33,'HARGA SATUAN'!$C$7:$C$1509,0),0)),0,OFFSET('HARGA SATUAN'!$I$6,MATCH(RAB!C33,'HARGA SATUAN'!$C$7:$C$1509,0),0))</f>
        <v>53800</v>
      </c>
      <c r="H33" s="295">
        <f t="shared" ca="1" si="4"/>
        <v>0</v>
      </c>
      <c r="I33" s="295">
        <f t="shared" ca="1" si="5"/>
        <v>0</v>
      </c>
      <c r="J33" s="295">
        <f t="shared" ca="1" si="6"/>
        <v>53800</v>
      </c>
      <c r="K33" s="296">
        <f t="shared" ca="1" si="7"/>
        <v>53800</v>
      </c>
      <c r="L33" s="300"/>
      <c r="M33" s="300"/>
      <c r="N33" s="300"/>
      <c r="O33" s="297"/>
      <c r="P33" s="297"/>
      <c r="Q33" s="278"/>
      <c r="R33" s="270"/>
      <c r="S33" s="298"/>
      <c r="T33" s="275"/>
      <c r="U33" s="275"/>
      <c r="V33" s="275"/>
    </row>
    <row r="34" spans="1:22" s="301" customFormat="1" ht="22.5" customHeight="1">
      <c r="A34" s="270" t="e">
        <f>IF(AND(#REF!=0,#REF!=0,#REF!=0),"BLANKS",1)</f>
        <v>#REF!</v>
      </c>
      <c r="B34" s="504"/>
      <c r="C34" s="505"/>
      <c r="D34" s="292" t="str">
        <f ca="1">IF(ISERROR(OFFSET('HARGA SATUAN'!$D$6,MATCH(RAB!C34,'HARGA SATUAN'!$C$7:$C$1509,0),0)),"",OFFSET('HARGA SATUAN'!$D$6,MATCH(RAB!C34,'HARGA SATUAN'!$C$7:$C$1509,0),0))</f>
        <v/>
      </c>
      <c r="E34" s="293" t="str">
        <f ca="1">IF(B34="+","Unit",IF(ISERROR(OFFSET('HARGA SATUAN'!$E$6,MATCH(RAB!C34,'HARGA SATUAN'!$C$7:$C$1509,0),0)),"",OFFSET('HARGA SATUAN'!$E$6,MATCH(RAB!C34,'HARGA SATUAN'!$C$7:$C$1509,0),0)))</f>
        <v/>
      </c>
      <c r="F34" s="506"/>
      <c r="G34" s="294">
        <f ca="1">IF(ISERROR(OFFSET('HARGA SATUAN'!$I$6,MATCH(RAB!C34,'HARGA SATUAN'!$C$7:$C$1509,0),0)),0,OFFSET('HARGA SATUAN'!$I$6,MATCH(RAB!C34,'HARGA SATUAN'!$C$7:$C$1509,0),0))</f>
        <v>0</v>
      </c>
      <c r="H34" s="295">
        <f t="shared" ca="1" si="4"/>
        <v>0</v>
      </c>
      <c r="I34" s="295">
        <f t="shared" ca="1" si="5"/>
        <v>0</v>
      </c>
      <c r="J34" s="295">
        <f t="shared" ca="1" si="6"/>
        <v>0</v>
      </c>
      <c r="K34" s="296">
        <f t="shared" ca="1" si="7"/>
        <v>0</v>
      </c>
      <c r="L34" s="300"/>
      <c r="M34" s="300"/>
      <c r="N34" s="300"/>
      <c r="O34" s="297"/>
      <c r="P34" s="297"/>
      <c r="Q34" s="278"/>
      <c r="R34" s="270"/>
      <c r="S34" s="298"/>
      <c r="T34" s="275"/>
      <c r="U34" s="275"/>
      <c r="V34" s="275"/>
    </row>
    <row r="35" spans="1:22" s="301" customFormat="1" ht="17.100000000000001" customHeight="1">
      <c r="A35" s="270" t="e">
        <f>IF(AND(#REF!=0,#REF!=0,#REF!=0),"BLANKS",1)</f>
        <v>#REF!</v>
      </c>
      <c r="B35" s="517" t="s">
        <v>1039</v>
      </c>
      <c r="C35" s="519" t="s">
        <v>1652</v>
      </c>
      <c r="D35" s="292" t="str">
        <f ca="1">IF(ISERROR(OFFSET('HARGA SATUAN'!$D$6,MATCH(RAB!C35,'HARGA SATUAN'!$C$7:$C$1509,0),0)),"",OFFSET('HARGA SATUAN'!$D$6,MATCH(RAB!C35,'HARGA SATUAN'!$C$7:$C$1509,0),0))</f>
        <v/>
      </c>
      <c r="E35" s="293" t="str">
        <f ca="1">IF(B35="+","Unit",IF(ISERROR(OFFSET('HARGA SATUAN'!$E$6,MATCH(RAB!C35,'HARGA SATUAN'!$C$7:$C$1509,0),0)),"",OFFSET('HARGA SATUAN'!$E$6,MATCH(RAB!C35,'HARGA SATUAN'!$C$7:$C$1509,0),0)))</f>
        <v>Unit</v>
      </c>
      <c r="F35" s="520">
        <v>1</v>
      </c>
      <c r="G35" s="294">
        <f ca="1">IF(ISERROR(OFFSET('HARGA SATUAN'!$I$6,MATCH(RAB!C35,'HARGA SATUAN'!$C$7:$C$1509,0),0)),0,OFFSET('HARGA SATUAN'!$I$6,MATCH(RAB!C35,'HARGA SATUAN'!$C$7:$C$1509,0),0))</f>
        <v>0</v>
      </c>
      <c r="H35" s="295">
        <f t="shared" ca="1" si="4"/>
        <v>0</v>
      </c>
      <c r="I35" s="295">
        <f t="shared" ca="1" si="5"/>
        <v>0</v>
      </c>
      <c r="J35" s="295">
        <f t="shared" ca="1" si="6"/>
        <v>0</v>
      </c>
      <c r="K35" s="296">
        <f t="shared" ca="1" si="7"/>
        <v>0</v>
      </c>
      <c r="L35" s="300"/>
      <c r="M35" s="300"/>
      <c r="N35" s="300"/>
      <c r="O35" s="297"/>
      <c r="P35" s="297"/>
      <c r="Q35" s="278"/>
      <c r="R35" s="270"/>
      <c r="S35" s="298"/>
      <c r="T35" s="275"/>
      <c r="U35" s="275"/>
      <c r="V35" s="275"/>
    </row>
    <row r="36" spans="1:22" s="301" customFormat="1" ht="29.25" customHeight="1">
      <c r="A36" s="270" t="e">
        <f>IF(AND(#REF!=0,#REF!=0,#REF!=0),"BLANKS",1)</f>
        <v>#REF!</v>
      </c>
      <c r="B36" s="517">
        <v>1</v>
      </c>
      <c r="C36" s="519" t="s">
        <v>1656</v>
      </c>
      <c r="D36" s="292" t="str">
        <f ca="1">IF(ISERROR(OFFSET('HARGA SATUAN'!$D$6,MATCH(RAB!C36,'HARGA SATUAN'!$C$7:$C$1509,0),0)),"",OFFSET('HARGA SATUAN'!$D$6,MATCH(RAB!C36,'HARGA SATUAN'!$C$7:$C$1509,0),0))</f>
        <v/>
      </c>
      <c r="E36" s="293" t="str">
        <f ca="1">IF(B36="+","Unit",IF(ISERROR(OFFSET('HARGA SATUAN'!$E$6,MATCH(RAB!C36,'HARGA SATUAN'!$C$7:$C$1509,0),0)),"",OFFSET('HARGA SATUAN'!$E$6,MATCH(RAB!C36,'HARGA SATUAN'!$C$7:$C$1509,0),0)))</f>
        <v/>
      </c>
      <c r="F36" s="520">
        <f>F35*1</f>
        <v>1</v>
      </c>
      <c r="G36" s="294">
        <f ca="1">IF(ISERROR(OFFSET('HARGA SATUAN'!$I$6,MATCH(RAB!C36,'HARGA SATUAN'!$C$7:$C$1509,0),0)),0,OFFSET('HARGA SATUAN'!$I$6,MATCH(RAB!C36,'HARGA SATUAN'!$C$7:$C$1509,0),0))</f>
        <v>0</v>
      </c>
      <c r="H36" s="295">
        <f t="shared" ca="1" si="4"/>
        <v>0</v>
      </c>
      <c r="I36" s="295">
        <f t="shared" ca="1" si="5"/>
        <v>0</v>
      </c>
      <c r="J36" s="295">
        <f t="shared" ca="1" si="6"/>
        <v>0</v>
      </c>
      <c r="K36" s="296">
        <f t="shared" ca="1" si="7"/>
        <v>0</v>
      </c>
      <c r="L36" s="300"/>
      <c r="M36" s="300"/>
      <c r="N36" s="300"/>
      <c r="O36" s="297"/>
      <c r="P36" s="297"/>
      <c r="Q36" s="278"/>
      <c r="R36" s="270"/>
      <c r="S36" s="298"/>
      <c r="T36" s="275"/>
      <c r="U36" s="275"/>
      <c r="V36" s="275"/>
    </row>
    <row r="37" spans="1:22" s="301" customFormat="1" ht="32.25" customHeight="1">
      <c r="A37" s="270" t="e">
        <f>IF(AND(#REF!=0,#REF!=0,#REF!=0),"BLANKS",1)</f>
        <v>#REF!</v>
      </c>
      <c r="B37" s="517">
        <v>2</v>
      </c>
      <c r="C37" s="519" t="s">
        <v>155</v>
      </c>
      <c r="D37" s="292" t="str">
        <f ca="1">IF(ISERROR(OFFSET('HARGA SATUAN'!$D$6,MATCH(RAB!C37,'HARGA SATUAN'!$C$7:$C$1509,0),0)),"",OFFSET('HARGA SATUAN'!$D$6,MATCH(RAB!C37,'HARGA SATUAN'!$C$7:$C$1509,0),0))</f>
        <v>HDW</v>
      </c>
      <c r="E37" s="293" t="str">
        <f ca="1">IF(B37="+","Unit",IF(ISERROR(OFFSET('HARGA SATUAN'!$E$6,MATCH(RAB!C37,'HARGA SATUAN'!$C$7:$C$1509,0),0)),"",OFFSET('HARGA SATUAN'!$E$6,MATCH(RAB!C37,'HARGA SATUAN'!$C$7:$C$1509,0),0)))</f>
        <v>Mtr</v>
      </c>
      <c r="F37" s="520">
        <f>F35*1</f>
        <v>1</v>
      </c>
      <c r="G37" s="294">
        <f ca="1">IF(ISERROR(OFFSET('HARGA SATUAN'!$I$6,MATCH(RAB!C37,'HARGA SATUAN'!$C$7:$C$1509,0),0)),0,OFFSET('HARGA SATUAN'!$I$6,MATCH(RAB!C37,'HARGA SATUAN'!$C$7:$C$1509,0),0))</f>
        <v>7789</v>
      </c>
      <c r="H37" s="295">
        <f t="shared" ca="1" si="4"/>
        <v>0</v>
      </c>
      <c r="I37" s="295">
        <f t="shared" ca="1" si="5"/>
        <v>7789</v>
      </c>
      <c r="J37" s="295">
        <f t="shared" ca="1" si="6"/>
        <v>0</v>
      </c>
      <c r="K37" s="296">
        <f t="shared" ca="1" si="7"/>
        <v>7789</v>
      </c>
      <c r="L37" s="300"/>
      <c r="M37" s="300"/>
      <c r="N37" s="300"/>
      <c r="O37" s="297"/>
      <c r="P37" s="297"/>
      <c r="Q37" s="278"/>
      <c r="R37" s="270"/>
      <c r="S37" s="298"/>
      <c r="T37" s="275"/>
      <c r="U37" s="275"/>
      <c r="V37" s="275"/>
    </row>
    <row r="38" spans="1:22" s="301" customFormat="1" ht="17.100000000000001" customHeight="1">
      <c r="A38" s="270" t="e">
        <f>IF(AND(#REF!=0,#REF!=0,#REF!=0),"BLANKS",1)</f>
        <v>#REF!</v>
      </c>
      <c r="B38" s="517">
        <v>3</v>
      </c>
      <c r="C38" s="519" t="s">
        <v>182</v>
      </c>
      <c r="D38" s="292" t="str">
        <f ca="1">IF(ISERROR(OFFSET('HARGA SATUAN'!$D$6,MATCH(RAB!C38,'HARGA SATUAN'!$C$7:$C$1509,0),0)),"",OFFSET('HARGA SATUAN'!$D$6,MATCH(RAB!C38,'HARGA SATUAN'!$C$7:$C$1509,0),0))</f>
        <v>HDW</v>
      </c>
      <c r="E38" s="293" t="str">
        <f ca="1">IF(B38="+","Unit",IF(ISERROR(OFFSET('HARGA SATUAN'!$E$6,MATCH(RAB!C38,'HARGA SATUAN'!$C$7:$C$1509,0),0)),"",OFFSET('HARGA SATUAN'!$E$6,MATCH(RAB!C38,'HARGA SATUAN'!$C$7:$C$1509,0),0)))</f>
        <v>Bh</v>
      </c>
      <c r="F38" s="520">
        <f>F35*1</f>
        <v>1</v>
      </c>
      <c r="G38" s="294">
        <f ca="1">IF(ISERROR(OFFSET('HARGA SATUAN'!$I$6,MATCH(RAB!C38,'HARGA SATUAN'!$C$7:$C$1509,0),0)),0,OFFSET('HARGA SATUAN'!$I$6,MATCH(RAB!C38,'HARGA SATUAN'!$C$7:$C$1509,0),0))</f>
        <v>15500</v>
      </c>
      <c r="H38" s="295">
        <f t="shared" ca="1" si="4"/>
        <v>0</v>
      </c>
      <c r="I38" s="295">
        <f t="shared" ca="1" si="5"/>
        <v>15500</v>
      </c>
      <c r="J38" s="295">
        <f t="shared" ca="1" si="6"/>
        <v>0</v>
      </c>
      <c r="K38" s="296">
        <f t="shared" ca="1" si="7"/>
        <v>15500</v>
      </c>
      <c r="L38" s="300"/>
      <c r="M38" s="300"/>
      <c r="N38" s="300"/>
      <c r="O38" s="297"/>
      <c r="P38" s="297"/>
      <c r="Q38" s="278"/>
      <c r="R38" s="270"/>
      <c r="S38" s="298"/>
      <c r="T38" s="275"/>
      <c r="U38" s="275"/>
      <c r="V38" s="275"/>
    </row>
    <row r="39" spans="1:22" s="301" customFormat="1" ht="17.100000000000001" customHeight="1">
      <c r="A39" s="270"/>
      <c r="B39" s="517">
        <v>4</v>
      </c>
      <c r="C39" s="519" t="s">
        <v>220</v>
      </c>
      <c r="D39" s="292" t="str">
        <f ca="1">IF(ISERROR(OFFSET('HARGA SATUAN'!$D$6,MATCH(RAB!C39,'HARGA SATUAN'!$C$7:$C$1509,0),0)),"",OFFSET('HARGA SATUAN'!$D$6,MATCH(RAB!C39,'HARGA SATUAN'!$C$7:$C$1509,0),0))</f>
        <v>HDW</v>
      </c>
      <c r="E39" s="293" t="str">
        <f ca="1">IF(B39="+","Unit",IF(ISERROR(OFFSET('HARGA SATUAN'!$E$6,MATCH(RAB!C39,'HARGA SATUAN'!$C$7:$C$1509,0),0)),"",OFFSET('HARGA SATUAN'!$E$6,MATCH(RAB!C39,'HARGA SATUAN'!$C$7:$C$1509,0),0)))</f>
        <v>Bh</v>
      </c>
      <c r="F39" s="520">
        <f>F35*2</f>
        <v>2</v>
      </c>
      <c r="G39" s="294">
        <f ca="1">IF(ISERROR(OFFSET('HARGA SATUAN'!$I$6,MATCH(RAB!C39,'HARGA SATUAN'!$C$7:$C$1509,0),0)),0,OFFSET('HARGA SATUAN'!$I$6,MATCH(RAB!C39,'HARGA SATUAN'!$C$7:$C$1509,0),0))</f>
        <v>11400</v>
      </c>
      <c r="H39" s="295">
        <f t="shared" ca="1" si="4"/>
        <v>0</v>
      </c>
      <c r="I39" s="295">
        <f t="shared" ca="1" si="5"/>
        <v>22800</v>
      </c>
      <c r="J39" s="295">
        <f t="shared" ca="1" si="6"/>
        <v>0</v>
      </c>
      <c r="K39" s="296">
        <f t="shared" ca="1" si="7"/>
        <v>22800</v>
      </c>
      <c r="L39" s="300"/>
      <c r="M39" s="300"/>
      <c r="N39" s="300"/>
      <c r="O39" s="297"/>
      <c r="P39" s="297"/>
      <c r="Q39" s="278"/>
      <c r="R39" s="270"/>
      <c r="S39" s="298"/>
      <c r="T39" s="275"/>
      <c r="U39" s="275"/>
      <c r="V39" s="275"/>
    </row>
    <row r="40" spans="1:22" s="301" customFormat="1" ht="17.100000000000001" customHeight="1">
      <c r="A40" s="270" t="e">
        <f>IF(AND(#REF!=0,#REF!=0,#REF!=0),"BLANKS",1)</f>
        <v>#REF!</v>
      </c>
      <c r="B40" s="517">
        <v>5</v>
      </c>
      <c r="C40" s="519" t="s">
        <v>221</v>
      </c>
      <c r="D40" s="292" t="str">
        <f ca="1">IF(ISERROR(OFFSET('HARGA SATUAN'!$D$6,MATCH(RAB!C40,'HARGA SATUAN'!$C$7:$C$1509,0),0)),"",OFFSET('HARGA SATUAN'!$D$6,MATCH(RAB!C40,'HARGA SATUAN'!$C$7:$C$1509,0),0))</f>
        <v>HDW</v>
      </c>
      <c r="E40" s="293" t="str">
        <f ca="1">IF(B40="+","Unit",IF(ISERROR(OFFSET('HARGA SATUAN'!$E$6,MATCH(RAB!C40,'HARGA SATUAN'!$C$7:$C$1509,0),0)),"",OFFSET('HARGA SATUAN'!$E$6,MATCH(RAB!C40,'HARGA SATUAN'!$C$7:$C$1509,0),0)))</f>
        <v>Bh</v>
      </c>
      <c r="F40" s="520">
        <f>F35*2</f>
        <v>2</v>
      </c>
      <c r="G40" s="294">
        <f ca="1">IF(ISERROR(OFFSET('HARGA SATUAN'!$I$6,MATCH(RAB!C40,'HARGA SATUAN'!$C$7:$C$1509,0),0)),0,OFFSET('HARGA SATUAN'!$I$6,MATCH(RAB!C40,'HARGA SATUAN'!$C$7:$C$1509,0),0))</f>
        <v>29600</v>
      </c>
      <c r="H40" s="295">
        <f t="shared" ca="1" si="4"/>
        <v>0</v>
      </c>
      <c r="I40" s="295">
        <f t="shared" ca="1" si="5"/>
        <v>59200</v>
      </c>
      <c r="J40" s="295">
        <f t="shared" ca="1" si="6"/>
        <v>0</v>
      </c>
      <c r="K40" s="296">
        <f t="shared" ca="1" si="7"/>
        <v>59200</v>
      </c>
      <c r="L40" s="300"/>
      <c r="M40" s="300"/>
      <c r="N40" s="300"/>
      <c r="O40" s="297"/>
      <c r="P40" s="297"/>
      <c r="Q40" s="278"/>
      <c r="R40" s="270"/>
      <c r="S40" s="298"/>
      <c r="T40" s="275"/>
      <c r="U40" s="275"/>
      <c r="V40" s="275"/>
    </row>
    <row r="41" spans="1:22" s="301" customFormat="1" ht="17.100000000000001" customHeight="1">
      <c r="A41" s="270" t="e">
        <f>IF(AND(#REF!=0,#REF!=0,#REF!=0),"BLANKS",1)</f>
        <v>#REF!</v>
      </c>
      <c r="B41" s="517">
        <v>6</v>
      </c>
      <c r="C41" s="519" t="s">
        <v>226</v>
      </c>
      <c r="D41" s="292" t="str">
        <f ca="1">IF(ISERROR(OFFSET('HARGA SATUAN'!$D$6,MATCH(RAB!C41,'HARGA SATUAN'!$C$7:$C$1509,0),0)),"",OFFSET('HARGA SATUAN'!$D$6,MATCH(RAB!C41,'HARGA SATUAN'!$C$7:$C$1509,0),0))</f>
        <v>HDW</v>
      </c>
      <c r="E41" s="293" t="str">
        <f ca="1">IF(B41="+","Unit",IF(ISERROR(OFFSET('HARGA SATUAN'!$E$6,MATCH(RAB!C41,'HARGA SATUAN'!$C$7:$C$1509,0),0)),"",OFFSET('HARGA SATUAN'!$E$6,MATCH(RAB!C41,'HARGA SATUAN'!$C$7:$C$1509,0),0)))</f>
        <v>Bh</v>
      </c>
      <c r="F41" s="520">
        <f>F35*2</f>
        <v>2</v>
      </c>
      <c r="G41" s="294">
        <f ca="1">IF(ISERROR(OFFSET('HARGA SATUAN'!$I$6,MATCH(RAB!C41,'HARGA SATUAN'!$C$7:$C$1509,0),0)),0,OFFSET('HARGA SATUAN'!$I$6,MATCH(RAB!C41,'HARGA SATUAN'!$C$7:$C$1509,0),0))</f>
        <v>27815</v>
      </c>
      <c r="H41" s="295">
        <f t="shared" ca="1" si="4"/>
        <v>0</v>
      </c>
      <c r="I41" s="295">
        <f t="shared" ca="1" si="5"/>
        <v>55630</v>
      </c>
      <c r="J41" s="295">
        <f t="shared" ca="1" si="6"/>
        <v>0</v>
      </c>
      <c r="K41" s="296">
        <f t="shared" ca="1" si="7"/>
        <v>55630</v>
      </c>
      <c r="L41" s="300"/>
      <c r="M41" s="300"/>
      <c r="N41" s="300"/>
      <c r="O41" s="297"/>
      <c r="P41" s="297"/>
      <c r="Q41" s="278"/>
      <c r="R41" s="270"/>
      <c r="S41" s="298"/>
      <c r="T41" s="275"/>
      <c r="U41" s="275"/>
      <c r="V41" s="275"/>
    </row>
    <row r="42" spans="1:22" s="301" customFormat="1" ht="17.100000000000001" customHeight="1">
      <c r="A42" s="270" t="e">
        <f>IF(AND(#REF!=0,#REF!=0,#REF!=0),"BLANKS",1)</f>
        <v>#REF!</v>
      </c>
      <c r="B42" s="517">
        <v>7</v>
      </c>
      <c r="C42" s="519" t="s">
        <v>27</v>
      </c>
      <c r="D42" s="292" t="str">
        <f ca="1">IF(ISERROR(OFFSET('HARGA SATUAN'!$D$6,MATCH(RAB!C42,'HARGA SATUAN'!$C$7:$C$1509,0),0)),"",OFFSET('HARGA SATUAN'!$D$6,MATCH(RAB!C42,'HARGA SATUAN'!$C$7:$C$1509,0),0))</f>
        <v>HDW</v>
      </c>
      <c r="E42" s="293" t="str">
        <f ca="1">IF(B42="+","Unit",IF(ISERROR(OFFSET('HARGA SATUAN'!$E$6,MATCH(RAB!C42,'HARGA SATUAN'!$C$7:$C$1509,0),0)),"",OFFSET('HARGA SATUAN'!$E$6,MATCH(RAB!C42,'HARGA SATUAN'!$C$7:$C$1509,0),0)))</f>
        <v>Bh</v>
      </c>
      <c r="F42" s="520">
        <f>F35*1</f>
        <v>1</v>
      </c>
      <c r="G42" s="294">
        <f ca="1">IF(ISERROR(OFFSET('HARGA SATUAN'!$I$6,MATCH(RAB!C42,'HARGA SATUAN'!$C$7:$C$1509,0),0)),0,OFFSET('HARGA SATUAN'!$I$6,MATCH(RAB!C42,'HARGA SATUAN'!$C$7:$C$1509,0),0))</f>
        <v>16000</v>
      </c>
      <c r="H42" s="295">
        <f t="shared" ca="1" si="4"/>
        <v>0</v>
      </c>
      <c r="I42" s="295">
        <f t="shared" ca="1" si="5"/>
        <v>16000</v>
      </c>
      <c r="J42" s="295">
        <f t="shared" ca="1" si="6"/>
        <v>0</v>
      </c>
      <c r="K42" s="296">
        <f t="shared" ca="1" si="7"/>
        <v>16000</v>
      </c>
      <c r="L42" s="300"/>
      <c r="M42" s="300"/>
      <c r="N42" s="300"/>
      <c r="O42" s="297"/>
      <c r="P42" s="297"/>
      <c r="Q42" s="278"/>
      <c r="R42" s="270"/>
      <c r="S42" s="298"/>
      <c r="T42" s="275"/>
      <c r="U42" s="275"/>
      <c r="V42" s="275"/>
    </row>
    <row r="43" spans="1:22" s="301" customFormat="1" ht="17.100000000000001" customHeight="1">
      <c r="A43" s="270" t="e">
        <f>IF(AND(#REF!=0,#REF!=0,#REF!=0),"BLANKS",1)</f>
        <v>#REF!</v>
      </c>
      <c r="B43" s="517">
        <v>8</v>
      </c>
      <c r="C43" s="519" t="s">
        <v>268</v>
      </c>
      <c r="D43" s="292" t="str">
        <f ca="1">IF(ISERROR(OFFSET('HARGA SATUAN'!$D$6,MATCH(RAB!C43,'HARGA SATUAN'!$C$7:$C$1509,0),0)),"",OFFSET('HARGA SATUAN'!$D$6,MATCH(RAB!C43,'HARGA SATUAN'!$C$7:$C$1509,0),0))</f>
        <v>HDW</v>
      </c>
      <c r="E43" s="293" t="str">
        <f ca="1">IF(B43="+","Unit",IF(ISERROR(OFFSET('HARGA SATUAN'!$E$6,MATCH(RAB!C43,'HARGA SATUAN'!$C$7:$C$1509,0),0)),"",OFFSET('HARGA SATUAN'!$E$6,MATCH(RAB!C43,'HARGA SATUAN'!$C$7:$C$1509,0),0)))</f>
        <v>Bh</v>
      </c>
      <c r="F43" s="520">
        <f>F35*1</f>
        <v>1</v>
      </c>
      <c r="G43" s="294">
        <f ca="1">IF(ISERROR(OFFSET('HARGA SATUAN'!$I$6,MATCH(RAB!C43,'HARGA SATUAN'!$C$7:$C$1509,0),0)),0,OFFSET('HARGA SATUAN'!$I$6,MATCH(RAB!C43,'HARGA SATUAN'!$C$7:$C$1509,0),0))</f>
        <v>33501.866666666669</v>
      </c>
      <c r="H43" s="295">
        <f t="shared" ca="1" si="4"/>
        <v>0</v>
      </c>
      <c r="I43" s="295">
        <f t="shared" ca="1" si="5"/>
        <v>33501.866666666669</v>
      </c>
      <c r="J43" s="295">
        <f t="shared" ca="1" si="6"/>
        <v>0</v>
      </c>
      <c r="K43" s="296">
        <f t="shared" ca="1" si="7"/>
        <v>33501.866666666669</v>
      </c>
      <c r="L43" s="300"/>
      <c r="M43" s="300"/>
      <c r="N43" s="300"/>
      <c r="O43" s="297"/>
      <c r="P43" s="297"/>
      <c r="Q43" s="278"/>
      <c r="R43" s="270"/>
      <c r="S43" s="298"/>
      <c r="T43" s="275"/>
      <c r="U43" s="275"/>
      <c r="V43" s="275"/>
    </row>
    <row r="44" spans="1:22" s="301" customFormat="1" ht="17.100000000000001" customHeight="1">
      <c r="A44" s="270" t="e">
        <f>IF(AND(#REF!=0,#REF!=0,#REF!=0),"BLANKS",1)</f>
        <v>#REF!</v>
      </c>
      <c r="B44" s="517">
        <v>9</v>
      </c>
      <c r="C44" s="519" t="s">
        <v>26</v>
      </c>
      <c r="D44" s="292" t="str">
        <f ca="1">IF(ISERROR(OFFSET('HARGA SATUAN'!$D$6,MATCH(RAB!C44,'HARGA SATUAN'!$C$7:$C$1509,0),0)),"",OFFSET('HARGA SATUAN'!$D$6,MATCH(RAB!C44,'HARGA SATUAN'!$C$7:$C$1509,0),0))</f>
        <v>HDW</v>
      </c>
      <c r="E44" s="293" t="str">
        <f ca="1">IF(B44="+","Unit",IF(ISERROR(OFFSET('HARGA SATUAN'!$E$6,MATCH(RAB!C44,'HARGA SATUAN'!$C$7:$C$1509,0),0)),"",OFFSET('HARGA SATUAN'!$E$6,MATCH(RAB!C44,'HARGA SATUAN'!$C$7:$C$1509,0),0)))</f>
        <v>Bh</v>
      </c>
      <c r="F44" s="520">
        <f>F35*2</f>
        <v>2</v>
      </c>
      <c r="G44" s="294">
        <f ca="1">IF(ISERROR(OFFSET('HARGA SATUAN'!$I$6,MATCH(RAB!C44,'HARGA SATUAN'!$C$7:$C$1509,0),0)),0,OFFSET('HARGA SATUAN'!$I$6,MATCH(RAB!C44,'HARGA SATUAN'!$C$7:$C$1509,0),0))</f>
        <v>2500</v>
      </c>
      <c r="H44" s="295">
        <f t="shared" ca="1" si="4"/>
        <v>0</v>
      </c>
      <c r="I44" s="295">
        <f t="shared" ca="1" si="5"/>
        <v>5000</v>
      </c>
      <c r="J44" s="295">
        <f t="shared" ca="1" si="6"/>
        <v>0</v>
      </c>
      <c r="K44" s="296">
        <f t="shared" ca="1" si="7"/>
        <v>5000</v>
      </c>
      <c r="L44" s="300"/>
      <c r="M44" s="300"/>
      <c r="N44" s="300"/>
      <c r="O44" s="297"/>
      <c r="P44" s="297"/>
      <c r="Q44" s="278"/>
      <c r="R44" s="270"/>
      <c r="S44" s="298"/>
      <c r="T44" s="275"/>
      <c r="U44" s="275"/>
      <c r="V44" s="275"/>
    </row>
    <row r="45" spans="1:22" s="301" customFormat="1" ht="17.100000000000001" customHeight="1">
      <c r="A45" s="270"/>
      <c r="B45" s="517">
        <v>10</v>
      </c>
      <c r="C45" s="519" t="s">
        <v>659</v>
      </c>
      <c r="D45" s="292" t="str">
        <f ca="1">IF(ISERROR(OFFSET('HARGA SATUAN'!$D$6,MATCH(RAB!C45,'HARGA SATUAN'!$C$7:$C$1509,0),0)),"",OFFSET('HARGA SATUAN'!$D$6,MATCH(RAB!C45,'HARGA SATUAN'!$C$7:$C$1509,0),0))</f>
        <v>JASA</v>
      </c>
      <c r="E45" s="293" t="str">
        <f ca="1">IF(B45="+","Unit",IF(ISERROR(OFFSET('HARGA SATUAN'!$E$6,MATCH(RAB!C45,'HARGA SATUAN'!$C$7:$C$1509,0),0)),"",OFFSET('HARGA SATUAN'!$E$6,MATCH(RAB!C45,'HARGA SATUAN'!$C$7:$C$1509,0),0)))</f>
        <v>Unit</v>
      </c>
      <c r="F45" s="520">
        <f>F35*1</f>
        <v>1</v>
      </c>
      <c r="G45" s="294">
        <f ca="1">IF(ISERROR(OFFSET('HARGA SATUAN'!$I$6,MATCH(RAB!C45,'HARGA SATUAN'!$C$7:$C$1509,0),0)),0,OFFSET('HARGA SATUAN'!$I$6,MATCH(RAB!C45,'HARGA SATUAN'!$C$7:$C$1509,0),0))</f>
        <v>50100</v>
      </c>
      <c r="H45" s="295">
        <f t="shared" ca="1" si="4"/>
        <v>0</v>
      </c>
      <c r="I45" s="295">
        <f t="shared" ca="1" si="5"/>
        <v>0</v>
      </c>
      <c r="J45" s="295">
        <f t="shared" ca="1" si="6"/>
        <v>50100</v>
      </c>
      <c r="K45" s="296">
        <f t="shared" ca="1" si="7"/>
        <v>50100</v>
      </c>
      <c r="L45" s="300"/>
      <c r="M45" s="300"/>
      <c r="N45" s="300"/>
      <c r="O45" s="297"/>
      <c r="P45" s="297"/>
      <c r="Q45" s="278"/>
      <c r="R45" s="270"/>
      <c r="S45" s="298"/>
      <c r="T45" s="275"/>
      <c r="U45" s="275"/>
      <c r="V45" s="275"/>
    </row>
    <row r="46" spans="1:22" s="301" customFormat="1" ht="17.100000000000001" customHeight="1">
      <c r="A46" s="270" t="e">
        <f>IF(AND(#REF!=0,#REF!=0,#REF!=0),"BLANKS",1)</f>
        <v>#REF!</v>
      </c>
      <c r="B46" s="504"/>
      <c r="C46" s="505"/>
      <c r="D46" s="292" t="str">
        <f ca="1">IF(ISERROR(OFFSET('HARGA SATUAN'!$D$6,MATCH(RAB!C46,'HARGA SATUAN'!$C$7:$C$1509,0),0)),"",OFFSET('HARGA SATUAN'!$D$6,MATCH(RAB!C46,'HARGA SATUAN'!$C$7:$C$1509,0),0))</f>
        <v/>
      </c>
      <c r="E46" s="293" t="str">
        <f ca="1">IF(B46="+","Unit",IF(ISERROR(OFFSET('HARGA SATUAN'!$E$6,MATCH(RAB!C46,'HARGA SATUAN'!$C$7:$C$1509,0),0)),"",OFFSET('HARGA SATUAN'!$E$6,MATCH(RAB!C46,'HARGA SATUAN'!$C$7:$C$1509,0),0)))</f>
        <v/>
      </c>
      <c r="F46" s="506"/>
      <c r="G46" s="294">
        <f ca="1">IF(ISERROR(OFFSET('HARGA SATUAN'!$I$6,MATCH(RAB!C46,'HARGA SATUAN'!$C$7:$C$1509,0),0)),0,OFFSET('HARGA SATUAN'!$I$6,MATCH(RAB!C46,'HARGA SATUAN'!$C$7:$C$1509,0),0))</f>
        <v>0</v>
      </c>
      <c r="H46" s="295">
        <f t="shared" ref="H46" ca="1" si="12">IF(OR(D46="MDU",D46="MDU-KD"),(IF($O$3="RAB NON MDU","PLN KD",G46*F46)),0)</f>
        <v>0</v>
      </c>
      <c r="I46" s="295">
        <f t="shared" ref="I46" ca="1" si="13">IF(D46="HDW",G46*F46,0)</f>
        <v>0</v>
      </c>
      <c r="J46" s="295">
        <f t="shared" ref="J46" ca="1" si="14">IF(D46="JASA",G46*F46,0)</f>
        <v>0</v>
      </c>
      <c r="K46" s="296">
        <f t="shared" ref="K46" ca="1" si="15">SUM(H46:J46)</f>
        <v>0</v>
      </c>
      <c r="L46" s="300"/>
      <c r="M46" s="300"/>
      <c r="N46" s="300"/>
      <c r="O46" s="297"/>
      <c r="P46" s="297"/>
      <c r="Q46" s="278"/>
      <c r="R46" s="270"/>
      <c r="S46" s="298"/>
      <c r="T46" s="275"/>
      <c r="U46" s="275"/>
      <c r="V46" s="275"/>
    </row>
    <row r="47" spans="1:22" s="301" customFormat="1" ht="17.100000000000001" customHeight="1">
      <c r="A47" s="270" t="e">
        <f>IF(AND(#REF!=0,#REF!=0,#REF!=0),"BLANKS",1)</f>
        <v>#REF!</v>
      </c>
      <c r="B47" s="504"/>
      <c r="C47" s="505"/>
      <c r="D47" s="292" t="str">
        <f ca="1">IF(ISERROR(OFFSET('HARGA SATUAN'!$D$6,MATCH(RAB!C47,'HARGA SATUAN'!$C$7:$C$1509,0),0)),"",OFFSET('HARGA SATUAN'!$D$6,MATCH(RAB!C47,'HARGA SATUAN'!$C$7:$C$1509,0),0))</f>
        <v/>
      </c>
      <c r="E47" s="293" t="str">
        <f ca="1">IF(B47="+","Unit",IF(ISERROR(OFFSET('HARGA SATUAN'!$E$6,MATCH(RAB!C47,'HARGA SATUAN'!$C$7:$C$1509,0),0)),"",OFFSET('HARGA SATUAN'!$E$6,MATCH(RAB!C47,'HARGA SATUAN'!$C$7:$C$1509,0),0)))</f>
        <v/>
      </c>
      <c r="F47" s="406"/>
      <c r="G47" s="294">
        <f ca="1">IF(ISERROR(OFFSET('HARGA SATUAN'!$I$6,MATCH(RAB!C47,'HARGA SATUAN'!$C$7:$C$1509,0),0)),0,OFFSET('HARGA SATUAN'!$I$6,MATCH(RAB!C47,'HARGA SATUAN'!$C$7:$C$1509,0),0))</f>
        <v>0</v>
      </c>
      <c r="H47" s="295">
        <f t="shared" ref="H47" ca="1" si="16">IF(OR(D47="MDU",D47="MDU-KD"),(IF($O$3="RAB NON MDU","PLN KD",G47*F47)),0)</f>
        <v>0</v>
      </c>
      <c r="I47" s="295">
        <f t="shared" ref="I47" ca="1" si="17">IF(D47="HDW",G47*F47,0)</f>
        <v>0</v>
      </c>
      <c r="J47" s="295">
        <f t="shared" ref="J47" ca="1" si="18">IF(D47="JASA",G47*F47,0)</f>
        <v>0</v>
      </c>
      <c r="K47" s="296">
        <f t="shared" ref="K47" ca="1" si="19">SUM(H47:J47)</f>
        <v>0</v>
      </c>
      <c r="L47" s="300"/>
      <c r="M47" s="300"/>
      <c r="N47" s="300"/>
      <c r="O47" s="297"/>
      <c r="P47" s="297"/>
      <c r="Q47" s="278"/>
      <c r="R47" s="270"/>
      <c r="S47" s="298"/>
      <c r="T47" s="275"/>
      <c r="U47" s="275"/>
      <c r="V47" s="275"/>
    </row>
    <row r="48" spans="1:22" s="301" customFormat="1" ht="23.25" customHeight="1">
      <c r="A48" s="270" t="e">
        <f>IF(AND(#REF!=0,#REF!=0,#REF!=0),"BLANKS",1)</f>
        <v>#REF!</v>
      </c>
      <c r="B48" s="504" t="s">
        <v>1039</v>
      </c>
      <c r="C48" s="505" t="s">
        <v>1642</v>
      </c>
      <c r="D48" s="292" t="str">
        <f ca="1">IF(ISERROR(OFFSET('HARGA SATUAN'!$D$6,MATCH(RAB!C48,'HARGA SATUAN'!$C$7:$C$1509,0),0)),"",OFFSET('HARGA SATUAN'!$D$6,MATCH(RAB!C48,'HARGA SATUAN'!$C$7:$C$1509,0),0))</f>
        <v/>
      </c>
      <c r="E48" s="293" t="str">
        <f ca="1">IF(B48="+","Unit",IF(ISERROR(OFFSET('HARGA SATUAN'!$E$6,MATCH(RAB!C48,'HARGA SATUAN'!$C$7:$C$1509,0),0)),"",OFFSET('HARGA SATUAN'!$E$6,MATCH(RAB!C48,'HARGA SATUAN'!$C$7:$C$1509,0),0)))</f>
        <v>Unit</v>
      </c>
      <c r="F48" s="23">
        <v>1</v>
      </c>
      <c r="G48" s="294">
        <f ca="1">IF(ISERROR(OFFSET('HARGA SATUAN'!$I$6,MATCH(RAB!C48,'HARGA SATUAN'!$C$7:$C$1509,0),0)),0,OFFSET('HARGA SATUAN'!$I$6,MATCH(RAB!C48,'HARGA SATUAN'!$C$7:$C$1509,0),0))</f>
        <v>0</v>
      </c>
      <c r="H48" s="295">
        <f t="shared" ref="H48:H83" ca="1" si="20">IF(OR(D48="MDU",D48="MDU-KD"),(IF($O$3="RAB NON MDU","PLN KD",G48*F48)),0)</f>
        <v>0</v>
      </c>
      <c r="I48" s="295">
        <f t="shared" ref="I48:I83" ca="1" si="21">IF(D48="HDW",G48*F48,0)</f>
        <v>0</v>
      </c>
      <c r="J48" s="295">
        <f t="shared" ref="J48:J83" ca="1" si="22">IF(D48="JASA",G48*F48,0)</f>
        <v>0</v>
      </c>
      <c r="K48" s="296">
        <f t="shared" ref="K48:K83" ca="1" si="23">SUM(H48:J48)</f>
        <v>0</v>
      </c>
      <c r="L48" s="300"/>
      <c r="M48" s="300"/>
      <c r="N48" s="300"/>
      <c r="O48" s="297"/>
      <c r="P48" s="297"/>
      <c r="Q48" s="278"/>
      <c r="R48" s="270"/>
      <c r="S48" s="298"/>
      <c r="T48" s="275"/>
      <c r="U48" s="275"/>
      <c r="V48" s="275"/>
    </row>
    <row r="49" spans="1:22" s="301" customFormat="1" ht="17.100000000000001" customHeight="1">
      <c r="A49" s="270" t="e">
        <f>IF(AND(#REF!=0,#REF!=0,#REF!=0),"BLANKS",1)</f>
        <v>#REF!</v>
      </c>
      <c r="B49" s="504">
        <v>1</v>
      </c>
      <c r="C49" s="505" t="s">
        <v>535</v>
      </c>
      <c r="D49" s="292" t="str">
        <f ca="1">IF(ISERROR(OFFSET('HARGA SATUAN'!$D$6,MATCH(RAB!C49,'HARGA SATUAN'!$C$7:$C$1509,0),0)),"",OFFSET('HARGA SATUAN'!$D$6,MATCH(RAB!C49,'HARGA SATUAN'!$C$7:$C$1509,0),0))</f>
        <v>MDU-KD</v>
      </c>
      <c r="E49" s="293" t="str">
        <f ca="1">IF(B49="+","Unit",IF(ISERROR(OFFSET('HARGA SATUAN'!$E$6,MATCH(RAB!C49,'HARGA SATUAN'!$C$7:$C$1509,0),0)),"",OFFSET('HARGA SATUAN'!$E$6,MATCH(RAB!C49,'HARGA SATUAN'!$C$7:$C$1509,0),0)))</f>
        <v>Bh</v>
      </c>
      <c r="F49" s="507">
        <f>F48*1</f>
        <v>1</v>
      </c>
      <c r="G49" s="294">
        <f ca="1">IF(ISERROR(OFFSET('HARGA SATUAN'!$I$6,MATCH(RAB!C49,'HARGA SATUAN'!$C$7:$C$1509,0),0)),0,OFFSET('HARGA SATUAN'!$I$6,MATCH(RAB!C49,'HARGA SATUAN'!$C$7:$C$1509,0),0))</f>
        <v>27845400</v>
      </c>
      <c r="H49" s="295">
        <f t="shared" ca="1" si="20"/>
        <v>27845400</v>
      </c>
      <c r="I49" s="295">
        <f t="shared" ca="1" si="21"/>
        <v>0</v>
      </c>
      <c r="J49" s="295">
        <f t="shared" ca="1" si="22"/>
        <v>0</v>
      </c>
      <c r="K49" s="296">
        <f t="shared" ca="1" si="23"/>
        <v>27845400</v>
      </c>
      <c r="L49" s="300"/>
      <c r="M49" s="300"/>
      <c r="N49" s="300"/>
      <c r="O49" s="297"/>
      <c r="P49" s="297"/>
      <c r="Q49" s="278"/>
      <c r="R49" s="270"/>
      <c r="S49" s="298"/>
      <c r="T49" s="275"/>
      <c r="U49" s="275"/>
      <c r="V49" s="275"/>
    </row>
    <row r="50" spans="1:22" s="301" customFormat="1" ht="22.5" customHeight="1">
      <c r="A50" s="270" t="e">
        <f>IF(AND(#REF!=0,#REF!=0,#REF!=0),"BLANKS",1)</f>
        <v>#REF!</v>
      </c>
      <c r="B50" s="504">
        <v>2</v>
      </c>
      <c r="C50" s="505" t="s">
        <v>1643</v>
      </c>
      <c r="D50" s="292" t="str">
        <f ca="1">IF(ISERROR(OFFSET('HARGA SATUAN'!$D$6,MATCH(RAB!C50,'HARGA SATUAN'!$C$7:$C$1509,0),0)),"",OFFSET('HARGA SATUAN'!$D$6,MATCH(RAB!C50,'HARGA SATUAN'!$C$7:$C$1509,0),0))</f>
        <v/>
      </c>
      <c r="E50" s="293" t="str">
        <f ca="1">IF(B50="+","Unit",IF(ISERROR(OFFSET('HARGA SATUAN'!$E$6,MATCH(RAB!C50,'HARGA SATUAN'!$C$7:$C$1509,0),0)),"",OFFSET('HARGA SATUAN'!$E$6,MATCH(RAB!C50,'HARGA SATUAN'!$C$7:$C$1509,0),0)))</f>
        <v/>
      </c>
      <c r="F50" s="507"/>
      <c r="G50" s="294">
        <f ca="1">IF(ISERROR(OFFSET('HARGA SATUAN'!$I$6,MATCH(RAB!C50,'HARGA SATUAN'!$C$7:$C$1509,0),0)),0,OFFSET('HARGA SATUAN'!$I$6,MATCH(RAB!C50,'HARGA SATUAN'!$C$7:$C$1509,0),0))</f>
        <v>0</v>
      </c>
      <c r="H50" s="295">
        <f t="shared" ca="1" si="20"/>
        <v>0</v>
      </c>
      <c r="I50" s="295">
        <f t="shared" ca="1" si="21"/>
        <v>0</v>
      </c>
      <c r="J50" s="295">
        <f t="shared" ca="1" si="22"/>
        <v>0</v>
      </c>
      <c r="K50" s="296">
        <f t="shared" ca="1" si="23"/>
        <v>0</v>
      </c>
      <c r="L50" s="300"/>
      <c r="M50" s="300"/>
      <c r="N50" s="300"/>
      <c r="O50" s="297"/>
      <c r="P50" s="297"/>
      <c r="Q50" s="278"/>
      <c r="R50" s="270"/>
      <c r="S50" s="298"/>
      <c r="T50" s="275"/>
      <c r="U50" s="275"/>
      <c r="V50" s="275"/>
    </row>
    <row r="51" spans="1:22" s="301" customFormat="1" ht="17.100000000000001" customHeight="1">
      <c r="A51" s="270" t="e">
        <f>IF(AND(#REF!=0,#REF!=0,#REF!=0),"BLANKS",1)</f>
        <v>#REF!</v>
      </c>
      <c r="B51" s="504"/>
      <c r="C51" s="505" t="s">
        <v>67</v>
      </c>
      <c r="D51" s="292" t="str">
        <f ca="1">IF(ISERROR(OFFSET('HARGA SATUAN'!$D$6,MATCH(RAB!C51,'HARGA SATUAN'!$C$7:$C$1509,0),0)),"",OFFSET('HARGA SATUAN'!$D$6,MATCH(RAB!C51,'HARGA SATUAN'!$C$7:$C$1509,0),0))</f>
        <v>MDU-KD</v>
      </c>
      <c r="E51" s="293" t="str">
        <f ca="1">IF(B51="+","Unit",IF(ISERROR(OFFSET('HARGA SATUAN'!$E$6,MATCH(RAB!C51,'HARGA SATUAN'!$C$7:$C$1509,0),0)),"",OFFSET('HARGA SATUAN'!$E$6,MATCH(RAB!C51,'HARGA SATUAN'!$C$7:$C$1509,0),0)))</f>
        <v>Mtr</v>
      </c>
      <c r="F51" s="507">
        <f>F48*2</f>
        <v>2</v>
      </c>
      <c r="G51" s="294">
        <f ca="1">IF(ISERROR(OFFSET('HARGA SATUAN'!$I$6,MATCH(RAB!C51,'HARGA SATUAN'!$C$7:$C$1509,0),0)),0,OFFSET('HARGA SATUAN'!$I$6,MATCH(RAB!C51,'HARGA SATUAN'!$C$7:$C$1509,0),0))</f>
        <v>14200</v>
      </c>
      <c r="H51" s="295">
        <f t="shared" ca="1" si="20"/>
        <v>28400</v>
      </c>
      <c r="I51" s="295">
        <f t="shared" ca="1" si="21"/>
        <v>0</v>
      </c>
      <c r="J51" s="295">
        <f t="shared" ca="1" si="22"/>
        <v>0</v>
      </c>
      <c r="K51" s="296">
        <f t="shared" ca="1" si="23"/>
        <v>28400</v>
      </c>
      <c r="L51" s="300"/>
      <c r="M51" s="300"/>
      <c r="N51" s="300"/>
      <c r="O51" s="297"/>
      <c r="P51" s="297"/>
      <c r="Q51" s="278"/>
      <c r="R51" s="270"/>
      <c r="S51" s="298"/>
      <c r="T51" s="275"/>
      <c r="U51" s="275"/>
      <c r="V51" s="275"/>
    </row>
    <row r="52" spans="1:22" s="301" customFormat="1" ht="17.100000000000001" customHeight="1">
      <c r="A52" s="270" t="e">
        <f>IF(AND(#REF!=0,C33=0,#REF!=0),"BLANKS",1)</f>
        <v>#REF!</v>
      </c>
      <c r="B52" s="504"/>
      <c r="C52" s="528" t="s">
        <v>1406</v>
      </c>
      <c r="D52" s="292" t="str">
        <f ca="1">IF(ISERROR(OFFSET('HARGA SATUAN'!$D$6,MATCH(RAB!C52,'HARGA SATUAN'!$C$7:$C$1509,0),0)),"",OFFSET('HARGA SATUAN'!$D$6,MATCH(RAB!C52,'HARGA SATUAN'!$C$7:$C$1509,0),0))</f>
        <v>MDU-KD</v>
      </c>
      <c r="E52" s="293" t="str">
        <f ca="1">IF(B52="+","Unit",IF(ISERROR(OFFSET('HARGA SATUAN'!$E$6,MATCH(RAB!C52,'HARGA SATUAN'!$C$7:$C$1509,0),0)),"",OFFSET('HARGA SATUAN'!$E$6,MATCH(RAB!C52,'HARGA SATUAN'!$C$7:$C$1509,0),0)))</f>
        <v>Mtr</v>
      </c>
      <c r="F52" s="507">
        <f>F48*2</f>
        <v>2</v>
      </c>
      <c r="G52" s="294">
        <f ca="1">IF(ISERROR(OFFSET('HARGA SATUAN'!$I$6,MATCH(RAB!C52,'HARGA SATUAN'!$C$7:$C$1509,0),0)),0,OFFSET('HARGA SATUAN'!$I$6,MATCH(RAB!C52,'HARGA SATUAN'!$C$7:$C$1509,0),0))</f>
        <v>53300</v>
      </c>
      <c r="H52" s="295">
        <f t="shared" ca="1" si="20"/>
        <v>106600</v>
      </c>
      <c r="I52" s="295">
        <f t="shared" ca="1" si="21"/>
        <v>0</v>
      </c>
      <c r="J52" s="295">
        <f t="shared" ca="1" si="22"/>
        <v>0</v>
      </c>
      <c r="K52" s="296">
        <f t="shared" ca="1" si="23"/>
        <v>106600</v>
      </c>
      <c r="L52" s="300"/>
      <c r="M52" s="300"/>
      <c r="N52" s="300"/>
      <c r="O52" s="297"/>
      <c r="P52" s="297"/>
      <c r="Q52" s="278"/>
      <c r="R52" s="270"/>
      <c r="S52" s="298"/>
      <c r="T52" s="275"/>
      <c r="U52" s="275"/>
      <c r="V52" s="275"/>
    </row>
    <row r="53" spans="1:22" s="301" customFormat="1" ht="32.25" customHeight="1">
      <c r="A53" s="270" t="e">
        <f>IF(AND(#REF!=0,#REF!=0,#REF!=0),"BLANKS",1)</f>
        <v>#REF!</v>
      </c>
      <c r="B53" s="504">
        <v>3</v>
      </c>
      <c r="C53" s="505" t="s">
        <v>210</v>
      </c>
      <c r="D53" s="292" t="str">
        <f ca="1">IF(ISERROR(OFFSET('HARGA SATUAN'!$D$6,MATCH(RAB!C53,'HARGA SATUAN'!$C$7:$C$1509,0),0)),"",OFFSET('HARGA SATUAN'!$D$6,MATCH(RAB!C53,'HARGA SATUAN'!$C$7:$C$1509,0),0))</f>
        <v>HDW</v>
      </c>
      <c r="E53" s="293" t="str">
        <f ca="1">IF(B53="+","Unit",IF(ISERROR(OFFSET('HARGA SATUAN'!$E$6,MATCH(RAB!C53,'HARGA SATUAN'!$C$7:$C$1509,0),0)),"",OFFSET('HARGA SATUAN'!$E$6,MATCH(RAB!C53,'HARGA SATUAN'!$C$7:$C$1509,0),0)))</f>
        <v>Bh</v>
      </c>
      <c r="F53" s="507">
        <f>F48*1</f>
        <v>1</v>
      </c>
      <c r="G53" s="294">
        <f ca="1">IF(ISERROR(OFFSET('HARGA SATUAN'!$I$6,MATCH(RAB!C53,'HARGA SATUAN'!$C$7:$C$1509,0),0)),0,OFFSET('HARGA SATUAN'!$I$6,MATCH(RAB!C53,'HARGA SATUAN'!$C$7:$C$1509,0),0))</f>
        <v>87000</v>
      </c>
      <c r="H53" s="295">
        <f t="shared" ca="1" si="20"/>
        <v>0</v>
      </c>
      <c r="I53" s="295">
        <f t="shared" ca="1" si="21"/>
        <v>87000</v>
      </c>
      <c r="J53" s="295">
        <f t="shared" ca="1" si="22"/>
        <v>0</v>
      </c>
      <c r="K53" s="296">
        <f t="shared" ca="1" si="23"/>
        <v>87000</v>
      </c>
      <c r="L53" s="300"/>
      <c r="M53" s="300"/>
      <c r="N53" s="300"/>
      <c r="O53" s="297"/>
      <c r="P53" s="297"/>
      <c r="Q53" s="278"/>
      <c r="R53" s="270"/>
      <c r="S53" s="298"/>
      <c r="T53" s="275"/>
      <c r="U53" s="275"/>
      <c r="V53" s="275"/>
    </row>
    <row r="54" spans="1:22" s="301" customFormat="1" ht="24.75" customHeight="1">
      <c r="A54" s="270" t="e">
        <f>IF(AND(#REF!=0,#REF!=0,#REF!=0),"BLANKS",1)</f>
        <v>#REF!</v>
      </c>
      <c r="B54" s="504">
        <v>4</v>
      </c>
      <c r="C54" s="505" t="s">
        <v>179</v>
      </c>
      <c r="D54" s="292" t="str">
        <f ca="1">IF(ISERROR(OFFSET('HARGA SATUAN'!$D$6,MATCH(RAB!C54,'HARGA SATUAN'!$C$7:$C$1509,0),0)),"",OFFSET('HARGA SATUAN'!$D$6,MATCH(RAB!C54,'HARGA SATUAN'!$C$7:$C$1509,0),0))</f>
        <v>HDW</v>
      </c>
      <c r="E54" s="293" t="str">
        <f ca="1">IF(B54="+","Unit",IF(ISERROR(OFFSET('HARGA SATUAN'!$E$6,MATCH(RAB!C54,'HARGA SATUAN'!$C$7:$C$1509,0),0)),"",OFFSET('HARGA SATUAN'!$E$6,MATCH(RAB!C54,'HARGA SATUAN'!$C$7:$C$1509,0),0)))</f>
        <v>Bh</v>
      </c>
      <c r="F54" s="507">
        <f>F48*2</f>
        <v>2</v>
      </c>
      <c r="G54" s="294">
        <f ca="1">IF(ISERROR(OFFSET('HARGA SATUAN'!$I$6,MATCH(RAB!C54,'HARGA SATUAN'!$C$7:$C$1509,0),0)),0,OFFSET('HARGA SATUAN'!$I$6,MATCH(RAB!C54,'HARGA SATUAN'!$C$7:$C$1509,0),0))</f>
        <v>404600</v>
      </c>
      <c r="H54" s="295">
        <f t="shared" ca="1" si="20"/>
        <v>0</v>
      </c>
      <c r="I54" s="295">
        <f t="shared" ca="1" si="21"/>
        <v>809200</v>
      </c>
      <c r="J54" s="295">
        <f t="shared" ca="1" si="22"/>
        <v>0</v>
      </c>
      <c r="K54" s="296">
        <f t="shared" ca="1" si="23"/>
        <v>809200</v>
      </c>
      <c r="L54" s="300"/>
      <c r="M54" s="300"/>
      <c r="N54" s="300"/>
      <c r="O54" s="297"/>
      <c r="P54" s="297"/>
      <c r="Q54" s="278"/>
      <c r="R54" s="270"/>
      <c r="S54" s="298"/>
      <c r="T54" s="275"/>
      <c r="U54" s="275"/>
      <c r="V54" s="275"/>
    </row>
    <row r="55" spans="1:22" s="301" customFormat="1" ht="17.100000000000001" customHeight="1">
      <c r="A55" s="270"/>
      <c r="B55" s="504">
        <v>5</v>
      </c>
      <c r="C55" s="505" t="s">
        <v>187</v>
      </c>
      <c r="D55" s="292" t="str">
        <f ca="1">IF(ISERROR(OFFSET('HARGA SATUAN'!$D$6,MATCH(RAB!C55,'HARGA SATUAN'!$C$7:$C$1509,0),0)),"",OFFSET('HARGA SATUAN'!$D$6,MATCH(RAB!C55,'HARGA SATUAN'!$C$7:$C$1509,0),0))</f>
        <v>HDW</v>
      </c>
      <c r="E55" s="293" t="str">
        <f ca="1">IF(B55="+","Unit",IF(ISERROR(OFFSET('HARGA SATUAN'!$E$6,MATCH(RAB!C55,'HARGA SATUAN'!$C$7:$C$1509,0),0)),"",OFFSET('HARGA SATUAN'!$E$6,MATCH(RAB!C55,'HARGA SATUAN'!$C$7:$C$1509,0),0)))</f>
        <v>Bh</v>
      </c>
      <c r="F55" s="507">
        <f>F48*3</f>
        <v>3</v>
      </c>
      <c r="G55" s="294">
        <f ca="1">IF(ISERROR(OFFSET('HARGA SATUAN'!$I$6,MATCH(RAB!C55,'HARGA SATUAN'!$C$7:$C$1509,0),0)),0,OFFSET('HARGA SATUAN'!$I$6,MATCH(RAB!C55,'HARGA SATUAN'!$C$7:$C$1509,0),0))</f>
        <v>15900</v>
      </c>
      <c r="H55" s="295">
        <f t="shared" ca="1" si="20"/>
        <v>0</v>
      </c>
      <c r="I55" s="295">
        <f t="shared" ca="1" si="21"/>
        <v>47700</v>
      </c>
      <c r="J55" s="295">
        <f t="shared" ca="1" si="22"/>
        <v>0</v>
      </c>
      <c r="K55" s="296">
        <f t="shared" ca="1" si="23"/>
        <v>47700</v>
      </c>
      <c r="L55" s="300"/>
      <c r="M55" s="300"/>
      <c r="N55" s="300"/>
      <c r="O55" s="297"/>
      <c r="P55" s="297"/>
      <c r="Q55" s="278"/>
      <c r="R55" s="270"/>
      <c r="S55" s="298"/>
      <c r="T55" s="275"/>
      <c r="U55" s="275"/>
      <c r="V55" s="275"/>
    </row>
    <row r="56" spans="1:22" s="301" customFormat="1" ht="17.100000000000001" customHeight="1">
      <c r="A56" s="270" t="e">
        <f>IF(AND(#REF!=0,#REF!=0,#REF!=0),"BLANKS",1)</f>
        <v>#REF!</v>
      </c>
      <c r="B56" s="504">
        <v>6</v>
      </c>
      <c r="C56" s="505" t="s">
        <v>190</v>
      </c>
      <c r="D56" s="292" t="str">
        <f ca="1">IF(ISERROR(OFFSET('HARGA SATUAN'!$D$6,MATCH(RAB!C56,'HARGA SATUAN'!$C$7:$C$1509,0),0)),"",OFFSET('HARGA SATUAN'!$D$6,MATCH(RAB!C56,'HARGA SATUAN'!$C$7:$C$1509,0),0))</f>
        <v>HDW</v>
      </c>
      <c r="E56" s="293" t="str">
        <f ca="1">IF(B56="+","Unit",IF(ISERROR(OFFSET('HARGA SATUAN'!$E$6,MATCH(RAB!C56,'HARGA SATUAN'!$C$7:$C$1509,0),0)),"",OFFSET('HARGA SATUAN'!$E$6,MATCH(RAB!C56,'HARGA SATUAN'!$C$7:$C$1509,0),0)))</f>
        <v>Bh</v>
      </c>
      <c r="F56" s="507">
        <f>F48*2</f>
        <v>2</v>
      </c>
      <c r="G56" s="294">
        <f ca="1">IF(ISERROR(OFFSET('HARGA SATUAN'!$I$6,MATCH(RAB!C56,'HARGA SATUAN'!$C$7:$C$1509,0),0)),0,OFFSET('HARGA SATUAN'!$I$6,MATCH(RAB!C56,'HARGA SATUAN'!$C$7:$C$1509,0),0))</f>
        <v>17100</v>
      </c>
      <c r="H56" s="295">
        <f t="shared" ca="1" si="20"/>
        <v>0</v>
      </c>
      <c r="I56" s="295">
        <f t="shared" ca="1" si="21"/>
        <v>34200</v>
      </c>
      <c r="J56" s="295">
        <f t="shared" ca="1" si="22"/>
        <v>0</v>
      </c>
      <c r="K56" s="296">
        <f t="shared" ca="1" si="23"/>
        <v>34200</v>
      </c>
      <c r="L56" s="300"/>
      <c r="M56" s="300"/>
      <c r="N56" s="300"/>
      <c r="O56" s="297"/>
      <c r="P56" s="297"/>
      <c r="Q56" s="278"/>
      <c r="R56" s="270"/>
      <c r="S56" s="298"/>
      <c r="T56" s="275"/>
      <c r="U56" s="275"/>
      <c r="V56" s="275"/>
    </row>
    <row r="57" spans="1:22" s="301" customFormat="1" ht="17.100000000000001" customHeight="1">
      <c r="A57" s="270" t="e">
        <f>IF(AND(#REF!=0,#REF!=0,#REF!=0),"BLANKS",1)</f>
        <v>#REF!</v>
      </c>
      <c r="B57" s="504">
        <v>7</v>
      </c>
      <c r="C57" s="505" t="s">
        <v>584</v>
      </c>
      <c r="D57" s="292" t="str">
        <f ca="1">IF(ISERROR(OFFSET('HARGA SATUAN'!$D$6,MATCH(RAB!C57,'HARGA SATUAN'!$C$7:$C$1509,0),0)),"",OFFSET('HARGA SATUAN'!$D$6,MATCH(RAB!C57,'HARGA SATUAN'!$C$7:$C$1509,0),0))</f>
        <v>HDW</v>
      </c>
      <c r="E57" s="293" t="str">
        <f ca="1">IF(B57="+","Unit",IF(ISERROR(OFFSET('HARGA SATUAN'!$E$6,MATCH(RAB!C57,'HARGA SATUAN'!$C$7:$C$1509,0),0)),"",OFFSET('HARGA SATUAN'!$E$6,MATCH(RAB!C57,'HARGA SATUAN'!$C$7:$C$1509,0),0)))</f>
        <v>Bh</v>
      </c>
      <c r="F57" s="507">
        <f>F48*4</f>
        <v>4</v>
      </c>
      <c r="G57" s="294">
        <f ca="1">IF(ISERROR(OFFSET('HARGA SATUAN'!$I$6,MATCH(RAB!C57,'HARGA SATUAN'!$C$7:$C$1509,0),0)),0,OFFSET('HARGA SATUAN'!$I$6,MATCH(RAB!C57,'HARGA SATUAN'!$C$7:$C$1509,0),0))</f>
        <v>49000</v>
      </c>
      <c r="H57" s="295">
        <f t="shared" ca="1" si="20"/>
        <v>0</v>
      </c>
      <c r="I57" s="295">
        <f t="shared" ca="1" si="21"/>
        <v>196000</v>
      </c>
      <c r="J57" s="295">
        <f t="shared" ca="1" si="22"/>
        <v>0</v>
      </c>
      <c r="K57" s="296">
        <f t="shared" ca="1" si="23"/>
        <v>196000</v>
      </c>
      <c r="L57" s="300"/>
      <c r="M57" s="300"/>
      <c r="N57" s="300"/>
      <c r="O57" s="297"/>
      <c r="P57" s="297"/>
      <c r="Q57" s="278"/>
      <c r="R57" s="270"/>
      <c r="S57" s="298"/>
      <c r="T57" s="275"/>
      <c r="U57" s="275"/>
      <c r="V57" s="275"/>
    </row>
    <row r="58" spans="1:22" s="301" customFormat="1" ht="17.100000000000001" customHeight="1">
      <c r="A58" s="270" t="e">
        <f>IF(AND(#REF!=0,#REF!=0,#REF!=0),"BLANKS",1)</f>
        <v>#REF!</v>
      </c>
      <c r="B58" s="504">
        <v>8</v>
      </c>
      <c r="C58" s="505" t="s">
        <v>152</v>
      </c>
      <c r="D58" s="292" t="str">
        <f ca="1">IF(ISERROR(OFFSET('HARGA SATUAN'!$D$6,MATCH(RAB!C58,'HARGA SATUAN'!$C$7:$C$1509,0),0)),"",OFFSET('HARGA SATUAN'!$D$6,MATCH(RAB!C58,'HARGA SATUAN'!$C$7:$C$1509,0),0))</f>
        <v>HDW</v>
      </c>
      <c r="E58" s="293" t="str">
        <f ca="1">IF(B58="+","Unit",IF(ISERROR(OFFSET('HARGA SATUAN'!$E$6,MATCH(RAB!C58,'HARGA SATUAN'!$C$7:$C$1509,0),0)),"",OFFSET('HARGA SATUAN'!$E$6,MATCH(RAB!C58,'HARGA SATUAN'!$C$7:$C$1509,0),0)))</f>
        <v>Set</v>
      </c>
      <c r="F58" s="507">
        <f>F48*1</f>
        <v>1</v>
      </c>
      <c r="G58" s="294">
        <f ca="1">IF(ISERROR(OFFSET('HARGA SATUAN'!$I$6,MATCH(RAB!C58,'HARGA SATUAN'!$C$7:$C$1509,0),0)),0,OFFSET('HARGA SATUAN'!$I$6,MATCH(RAB!C58,'HARGA SATUAN'!$C$7:$C$1509,0),0))</f>
        <v>67800</v>
      </c>
      <c r="H58" s="295">
        <f t="shared" ca="1" si="20"/>
        <v>0</v>
      </c>
      <c r="I58" s="295">
        <f t="shared" ca="1" si="21"/>
        <v>67800</v>
      </c>
      <c r="J58" s="295">
        <f t="shared" ca="1" si="22"/>
        <v>0</v>
      </c>
      <c r="K58" s="296">
        <f t="shared" ca="1" si="23"/>
        <v>67800</v>
      </c>
      <c r="L58" s="300"/>
      <c r="M58" s="300"/>
      <c r="N58" s="300"/>
      <c r="O58" s="297"/>
      <c r="P58" s="297"/>
      <c r="Q58" s="278"/>
      <c r="R58" s="270"/>
      <c r="S58" s="298"/>
      <c r="T58" s="275"/>
      <c r="U58" s="275"/>
      <c r="V58" s="275"/>
    </row>
    <row r="59" spans="1:22" s="301" customFormat="1" ht="17.100000000000001" customHeight="1">
      <c r="A59" s="270" t="e">
        <f>IF(AND(#REF!=0,#REF!=0,#REF!=0),"BLANKS",1)</f>
        <v>#REF!</v>
      </c>
      <c r="B59" s="504">
        <v>9</v>
      </c>
      <c r="C59" s="505" t="s">
        <v>32</v>
      </c>
      <c r="D59" s="292" t="str">
        <f ca="1">IF(ISERROR(OFFSET('HARGA SATUAN'!$D$6,MATCH(RAB!C59,'HARGA SATUAN'!$C$7:$C$1509,0),0)),"",OFFSET('HARGA SATUAN'!$D$6,MATCH(RAB!C59,'HARGA SATUAN'!$C$7:$C$1509,0),0))</f>
        <v>HDW</v>
      </c>
      <c r="E59" s="293" t="str">
        <f ca="1">IF(B59="+","Unit",IF(ISERROR(OFFSET('HARGA SATUAN'!$E$6,MATCH(RAB!C59,'HARGA SATUAN'!$C$7:$C$1509,0),0)),"",OFFSET('HARGA SATUAN'!$E$6,MATCH(RAB!C59,'HARGA SATUAN'!$C$7:$C$1509,0),0)))</f>
        <v>Mtr</v>
      </c>
      <c r="F59" s="507">
        <f>F48*2</f>
        <v>2</v>
      </c>
      <c r="G59" s="294">
        <f ca="1">IF(ISERROR(OFFSET('HARGA SATUAN'!$I$6,MATCH(RAB!C59,'HARGA SATUAN'!$C$7:$C$1509,0),0)),0,OFFSET('HARGA SATUAN'!$I$6,MATCH(RAB!C59,'HARGA SATUAN'!$C$7:$C$1509,0),0))</f>
        <v>30000</v>
      </c>
      <c r="H59" s="295">
        <f t="shared" ca="1" si="20"/>
        <v>0</v>
      </c>
      <c r="I59" s="295">
        <f t="shared" ca="1" si="21"/>
        <v>60000</v>
      </c>
      <c r="J59" s="295">
        <f t="shared" ca="1" si="22"/>
        <v>0</v>
      </c>
      <c r="K59" s="296">
        <f t="shared" ca="1" si="23"/>
        <v>60000</v>
      </c>
      <c r="L59" s="300"/>
      <c r="M59" s="300"/>
      <c r="N59" s="300"/>
      <c r="O59" s="297"/>
      <c r="P59" s="297"/>
      <c r="Q59" s="278"/>
      <c r="R59" s="270"/>
      <c r="S59" s="298"/>
      <c r="T59" s="275"/>
      <c r="U59" s="275"/>
      <c r="V59" s="275"/>
    </row>
    <row r="60" spans="1:22" s="301" customFormat="1" ht="17.100000000000001" customHeight="1">
      <c r="A60" s="270" t="e">
        <f>IF(AND(#REF!=0,C21=0,C22=0),"BLANKS",1)</f>
        <v>#REF!</v>
      </c>
      <c r="B60" s="504">
        <v>10</v>
      </c>
      <c r="C60" s="505" t="s">
        <v>785</v>
      </c>
      <c r="D60" s="292" t="str">
        <f ca="1">IF(ISERROR(OFFSET('HARGA SATUAN'!$D$6,MATCH(RAB!C60,'HARGA SATUAN'!$C$7:$C$1509,0),0)),"",OFFSET('HARGA SATUAN'!$D$6,MATCH(RAB!C60,'HARGA SATUAN'!$C$7:$C$1509,0),0))</f>
        <v>JASA</v>
      </c>
      <c r="E60" s="293" t="str">
        <f ca="1">IF(B60="+","Unit",IF(ISERROR(OFFSET('HARGA SATUAN'!$E$6,MATCH(RAB!C60,'HARGA SATUAN'!$C$7:$C$1509,0),0)),"",OFFSET('HARGA SATUAN'!$E$6,MATCH(RAB!C60,'HARGA SATUAN'!$C$7:$C$1509,0),0)))</f>
        <v>Unit</v>
      </c>
      <c r="F60" s="507">
        <f>F48*1</f>
        <v>1</v>
      </c>
      <c r="G60" s="294">
        <f ca="1">IF(ISERROR(OFFSET('HARGA SATUAN'!$I$6,MATCH(RAB!C60,'HARGA SATUAN'!$C$7:$C$1509,0),0)),0,OFFSET('HARGA SATUAN'!$I$6,MATCH(RAB!C60,'HARGA SATUAN'!$C$7:$C$1509,0),0))</f>
        <v>346400</v>
      </c>
      <c r="H60" s="295">
        <f t="shared" ca="1" si="20"/>
        <v>0</v>
      </c>
      <c r="I60" s="295">
        <f t="shared" ca="1" si="21"/>
        <v>0</v>
      </c>
      <c r="J60" s="295">
        <f t="shared" ca="1" si="22"/>
        <v>346400</v>
      </c>
      <c r="K60" s="296">
        <f t="shared" ca="1" si="23"/>
        <v>346400</v>
      </c>
      <c r="L60" s="300"/>
      <c r="M60" s="300"/>
      <c r="N60" s="300"/>
      <c r="O60" s="297"/>
      <c r="P60" s="297"/>
      <c r="Q60" s="278"/>
      <c r="R60" s="270"/>
      <c r="S60" s="298"/>
      <c r="T60" s="275"/>
      <c r="U60" s="275"/>
      <c r="V60" s="275"/>
    </row>
    <row r="61" spans="1:22" s="301" customFormat="1" ht="17.100000000000001" customHeight="1">
      <c r="A61" s="270"/>
      <c r="B61" s="504"/>
      <c r="C61" s="505"/>
      <c r="D61" s="292" t="str">
        <f ca="1">IF(ISERROR(OFFSET('HARGA SATUAN'!$D$6,MATCH(RAB!C61,'HARGA SATUAN'!$C$7:$C$1509,0),0)),"",OFFSET('HARGA SATUAN'!$D$6,MATCH(RAB!C61,'HARGA SATUAN'!$C$7:$C$1509,0),0))</f>
        <v/>
      </c>
      <c r="E61" s="293" t="str">
        <f ca="1">IF(B61="+","Unit",IF(ISERROR(OFFSET('HARGA SATUAN'!$E$6,MATCH(RAB!C61,'HARGA SATUAN'!$C$7:$C$1509,0),0)),"",OFFSET('HARGA SATUAN'!$E$6,MATCH(RAB!C61,'HARGA SATUAN'!$C$7:$C$1509,0),0)))</f>
        <v/>
      </c>
      <c r="F61" s="406"/>
      <c r="G61" s="294">
        <f ca="1">IF(ISERROR(OFFSET('HARGA SATUAN'!$I$6,MATCH(RAB!C61,'HARGA SATUAN'!$C$7:$C$1509,0),0)),0,OFFSET('HARGA SATUAN'!$I$6,MATCH(RAB!C61,'HARGA SATUAN'!$C$7:$C$1509,0),0))</f>
        <v>0</v>
      </c>
      <c r="H61" s="295">
        <f t="shared" ca="1" si="20"/>
        <v>0</v>
      </c>
      <c r="I61" s="295">
        <f t="shared" ca="1" si="21"/>
        <v>0</v>
      </c>
      <c r="J61" s="295">
        <f t="shared" ca="1" si="22"/>
        <v>0</v>
      </c>
      <c r="K61" s="296">
        <f t="shared" ca="1" si="23"/>
        <v>0</v>
      </c>
      <c r="L61" s="300"/>
      <c r="M61" s="300"/>
      <c r="N61" s="300"/>
      <c r="O61" s="297"/>
      <c r="P61" s="297"/>
      <c r="Q61" s="278"/>
      <c r="R61" s="270"/>
      <c r="S61" s="298"/>
      <c r="T61" s="275"/>
      <c r="U61" s="275"/>
      <c r="V61" s="275"/>
    </row>
    <row r="62" spans="1:22" s="301" customFormat="1" ht="23.25" customHeight="1">
      <c r="A62" s="270" t="e">
        <f>IF(AND(C22=0,C23=0,#REF!=0),"BLANKS",1)</f>
        <v>#REF!</v>
      </c>
      <c r="B62" s="504" t="s">
        <v>1039</v>
      </c>
      <c r="C62" s="505" t="s">
        <v>1641</v>
      </c>
      <c r="D62" s="292" t="str">
        <f ca="1">IF(ISERROR(OFFSET('HARGA SATUAN'!$D$6,MATCH(RAB!C62,'HARGA SATUAN'!$C$7:$C$1509,0),0)),"",OFFSET('HARGA SATUAN'!$D$6,MATCH(RAB!C62,'HARGA SATUAN'!$C$7:$C$1509,0),0))</f>
        <v/>
      </c>
      <c r="E62" s="293" t="str">
        <f ca="1">IF(B62="+","Unit",IF(ISERROR(OFFSET('HARGA SATUAN'!$E$6,MATCH(RAB!C62,'HARGA SATUAN'!$C$7:$C$1509,0),0)),"",OFFSET('HARGA SATUAN'!$E$6,MATCH(RAB!C62,'HARGA SATUAN'!$C$7:$C$1509,0),0)))</f>
        <v>Unit</v>
      </c>
      <c r="F62" s="406">
        <v>2</v>
      </c>
      <c r="G62" s="294">
        <f ca="1">IF(ISERROR(OFFSET('HARGA SATUAN'!$I$6,MATCH(RAB!C62,'HARGA SATUAN'!$C$7:$C$1509,0),0)),0,OFFSET('HARGA SATUAN'!$I$6,MATCH(RAB!C62,'HARGA SATUAN'!$C$7:$C$1509,0),0))</f>
        <v>0</v>
      </c>
      <c r="H62" s="295">
        <f t="shared" ca="1" si="20"/>
        <v>0</v>
      </c>
      <c r="I62" s="295">
        <f t="shared" ca="1" si="21"/>
        <v>0</v>
      </c>
      <c r="J62" s="295">
        <f t="shared" ca="1" si="22"/>
        <v>0</v>
      </c>
      <c r="K62" s="296">
        <f t="shared" ca="1" si="23"/>
        <v>0</v>
      </c>
      <c r="L62" s="300"/>
      <c r="M62" s="300"/>
      <c r="N62" s="300"/>
      <c r="O62" s="297"/>
      <c r="P62" s="297"/>
      <c r="Q62" s="278"/>
      <c r="R62" s="270"/>
      <c r="S62" s="298"/>
      <c r="T62" s="275"/>
      <c r="U62" s="275"/>
      <c r="V62" s="275"/>
    </row>
    <row r="63" spans="1:22" s="301" customFormat="1" ht="17.100000000000001" customHeight="1">
      <c r="A63" s="270"/>
      <c r="B63" s="504">
        <v>1</v>
      </c>
      <c r="C63" s="505" t="s">
        <v>29</v>
      </c>
      <c r="D63" s="292" t="str">
        <f ca="1">IF(ISERROR(OFFSET('HARGA SATUAN'!$D$6,MATCH(RAB!C63,'HARGA SATUAN'!$C$7:$C$1509,0),0)),"",OFFSET('HARGA SATUAN'!$D$6,MATCH(RAB!C63,'HARGA SATUAN'!$C$7:$C$1509,0),0))</f>
        <v>HDW</v>
      </c>
      <c r="E63" s="293" t="str">
        <f ca="1">IF(B63="+","Unit",IF(ISERROR(OFFSET('HARGA SATUAN'!$E$6,MATCH(RAB!C63,'HARGA SATUAN'!$C$7:$C$1509,0),0)),"",OFFSET('HARGA SATUAN'!$E$6,MATCH(RAB!C63,'HARGA SATUAN'!$C$7:$C$1509,0),0)))</f>
        <v>Bh</v>
      </c>
      <c r="F63" s="406">
        <f>F62*1</f>
        <v>2</v>
      </c>
      <c r="G63" s="294">
        <f ca="1">IF(ISERROR(OFFSET('HARGA SATUAN'!$I$6,MATCH(RAB!C63,'HARGA SATUAN'!$C$7:$C$1509,0),0)),0,OFFSET('HARGA SATUAN'!$I$6,MATCH(RAB!C63,'HARGA SATUAN'!$C$7:$C$1509,0),0))</f>
        <v>185200</v>
      </c>
      <c r="H63" s="295">
        <f t="shared" ca="1" si="20"/>
        <v>0</v>
      </c>
      <c r="I63" s="295">
        <f t="shared" ca="1" si="21"/>
        <v>370400</v>
      </c>
      <c r="J63" s="295">
        <f t="shared" ca="1" si="22"/>
        <v>0</v>
      </c>
      <c r="K63" s="296">
        <f t="shared" ca="1" si="23"/>
        <v>370400</v>
      </c>
      <c r="L63" s="300"/>
      <c r="M63" s="300"/>
      <c r="N63" s="300"/>
      <c r="O63" s="297"/>
      <c r="P63" s="297"/>
      <c r="Q63" s="278"/>
      <c r="R63" s="270"/>
      <c r="S63" s="298"/>
      <c r="T63" s="275"/>
      <c r="U63" s="275"/>
      <c r="V63" s="275"/>
    </row>
    <row r="64" spans="1:22" s="301" customFormat="1" ht="17.100000000000001" customHeight="1">
      <c r="A64" s="270" t="e">
        <f>IF(AND(#REF!=0,#REF!=0,#REF!=0),"BLANKS",1)</f>
        <v>#REF!</v>
      </c>
      <c r="B64" s="504">
        <v>2</v>
      </c>
      <c r="C64" s="505" t="s">
        <v>30</v>
      </c>
      <c r="D64" s="292" t="str">
        <f ca="1">IF(ISERROR(OFFSET('HARGA SATUAN'!$D$6,MATCH(RAB!C64,'HARGA SATUAN'!$C$7:$C$1509,0),0)),"",OFFSET('HARGA SATUAN'!$D$6,MATCH(RAB!C64,'HARGA SATUAN'!$C$7:$C$1509,0),0))</f>
        <v>HDW</v>
      </c>
      <c r="E64" s="293" t="str">
        <f ca="1">IF(B64="+","Unit",IF(ISERROR(OFFSET('HARGA SATUAN'!$E$6,MATCH(RAB!C64,'HARGA SATUAN'!$C$7:$C$1509,0),0)),"",OFFSET('HARGA SATUAN'!$E$6,MATCH(RAB!C64,'HARGA SATUAN'!$C$7:$C$1509,0),0)))</f>
        <v>Bh</v>
      </c>
      <c r="F64" s="406">
        <f>F62*1</f>
        <v>2</v>
      </c>
      <c r="G64" s="294">
        <f ca="1">IF(ISERROR(OFFSET('HARGA SATUAN'!$I$6,MATCH(RAB!C64,'HARGA SATUAN'!$C$7:$C$1509,0),0)),0,OFFSET('HARGA SATUAN'!$I$6,MATCH(RAB!C64,'HARGA SATUAN'!$C$7:$C$1509,0),0))</f>
        <v>47459</v>
      </c>
      <c r="H64" s="295">
        <f t="shared" ca="1" si="20"/>
        <v>0</v>
      </c>
      <c r="I64" s="295">
        <f t="shared" ca="1" si="21"/>
        <v>94918</v>
      </c>
      <c r="J64" s="295">
        <f t="shared" ca="1" si="22"/>
        <v>0</v>
      </c>
      <c r="K64" s="296">
        <f t="shared" ca="1" si="23"/>
        <v>94918</v>
      </c>
      <c r="L64" s="300"/>
      <c r="M64" s="300"/>
      <c r="N64" s="300"/>
      <c r="O64" s="297"/>
      <c r="P64" s="297"/>
      <c r="Q64" s="278"/>
      <c r="R64" s="270"/>
      <c r="S64" s="298"/>
      <c r="T64" s="275"/>
      <c r="U64" s="275"/>
      <c r="V64" s="275"/>
    </row>
    <row r="65" spans="1:22" s="301" customFormat="1" ht="20.25" customHeight="1">
      <c r="A65" s="270" t="e">
        <f>IF(AND(#REF!=0,#REF!=0,#REF!=0),"BLANKS",1)</f>
        <v>#REF!</v>
      </c>
      <c r="B65" s="504">
        <v>3</v>
      </c>
      <c r="C65" s="505" t="s">
        <v>31</v>
      </c>
      <c r="D65" s="292" t="str">
        <f ca="1">IF(ISERROR(OFFSET('HARGA SATUAN'!$D$6,MATCH(RAB!C65,'HARGA SATUAN'!$C$7:$C$1509,0),0)),"",OFFSET('HARGA SATUAN'!$D$6,MATCH(RAB!C65,'HARGA SATUAN'!$C$7:$C$1509,0),0))</f>
        <v>HDW</v>
      </c>
      <c r="E65" s="293" t="str">
        <f ca="1">IF(B65="+","Unit",IF(ISERROR(OFFSET('HARGA SATUAN'!$E$6,MATCH(RAB!C65,'HARGA SATUAN'!$C$7:$C$1509,0),0)),"",OFFSET('HARGA SATUAN'!$E$6,MATCH(RAB!C65,'HARGA SATUAN'!$C$7:$C$1509,0),0)))</f>
        <v>Bh</v>
      </c>
      <c r="F65" s="406">
        <f>F62*1</f>
        <v>2</v>
      </c>
      <c r="G65" s="294">
        <f ca="1">IF(ISERROR(OFFSET('HARGA SATUAN'!$I$6,MATCH(RAB!C65,'HARGA SATUAN'!$C$7:$C$1509,0),0)),0,OFFSET('HARGA SATUAN'!$I$6,MATCH(RAB!C65,'HARGA SATUAN'!$C$7:$C$1509,0),0))</f>
        <v>4880</v>
      </c>
      <c r="H65" s="295">
        <f t="shared" ca="1" si="20"/>
        <v>0</v>
      </c>
      <c r="I65" s="295">
        <f t="shared" ca="1" si="21"/>
        <v>9760</v>
      </c>
      <c r="J65" s="295">
        <f t="shared" ca="1" si="22"/>
        <v>0</v>
      </c>
      <c r="K65" s="296">
        <f t="shared" ca="1" si="23"/>
        <v>9760</v>
      </c>
      <c r="L65" s="300"/>
      <c r="M65" s="300"/>
      <c r="N65" s="300"/>
      <c r="O65" s="297"/>
      <c r="P65" s="297"/>
      <c r="Q65" s="278"/>
      <c r="R65" s="270"/>
      <c r="S65" s="298"/>
      <c r="T65" s="275"/>
      <c r="U65" s="275"/>
      <c r="V65" s="275"/>
    </row>
    <row r="66" spans="1:22" s="301" customFormat="1" ht="17.100000000000001" customHeight="1">
      <c r="A66" s="270" t="e">
        <f>IF(AND(#REF!=0,#REF!=0,#REF!=0),"BLANKS",1)</f>
        <v>#REF!</v>
      </c>
      <c r="B66" s="504">
        <v>4</v>
      </c>
      <c r="C66" s="505" t="s">
        <v>32</v>
      </c>
      <c r="D66" s="292" t="str">
        <f ca="1">IF(ISERROR(OFFSET('HARGA SATUAN'!$D$6,MATCH(RAB!C66,'HARGA SATUAN'!$C$7:$C$1509,0),0)),"",OFFSET('HARGA SATUAN'!$D$6,MATCH(RAB!C66,'HARGA SATUAN'!$C$7:$C$1509,0),0))</f>
        <v>HDW</v>
      </c>
      <c r="E66" s="293" t="str">
        <f ca="1">IF(B66="+","Unit",IF(ISERROR(OFFSET('HARGA SATUAN'!$E$6,MATCH(RAB!C66,'HARGA SATUAN'!$C$7:$C$1509,0),0)),"",OFFSET('HARGA SATUAN'!$E$6,MATCH(RAB!C66,'HARGA SATUAN'!$C$7:$C$1509,0),0)))</f>
        <v>Mtr</v>
      </c>
      <c r="F66" s="406">
        <f>F62*10</f>
        <v>20</v>
      </c>
      <c r="G66" s="294">
        <f ca="1">IF(ISERROR(OFFSET('HARGA SATUAN'!$I$6,MATCH(RAB!C66,'HARGA SATUAN'!$C$7:$C$1509,0),0)),0,OFFSET('HARGA SATUAN'!$I$6,MATCH(RAB!C66,'HARGA SATUAN'!$C$7:$C$1509,0),0))</f>
        <v>30000</v>
      </c>
      <c r="H66" s="295">
        <f t="shared" ca="1" si="20"/>
        <v>0</v>
      </c>
      <c r="I66" s="295">
        <f t="shared" ca="1" si="21"/>
        <v>600000</v>
      </c>
      <c r="J66" s="295">
        <f t="shared" ca="1" si="22"/>
        <v>0</v>
      </c>
      <c r="K66" s="296">
        <f t="shared" ca="1" si="23"/>
        <v>600000</v>
      </c>
      <c r="L66" s="300"/>
      <c r="M66" s="300"/>
      <c r="N66" s="300"/>
      <c r="O66" s="297"/>
      <c r="P66" s="297"/>
      <c r="Q66" s="278"/>
      <c r="R66" s="270"/>
      <c r="S66" s="298"/>
      <c r="T66" s="275"/>
      <c r="U66" s="275"/>
      <c r="V66" s="275"/>
    </row>
    <row r="67" spans="1:22" s="301" customFormat="1" ht="17.100000000000001" customHeight="1">
      <c r="A67" s="270" t="e">
        <f>IF(AND(#REF!=0,C103=0,#REF!=0),"BLANKS",1)</f>
        <v>#REF!</v>
      </c>
      <c r="B67" s="504">
        <v>5</v>
      </c>
      <c r="C67" s="505" t="s">
        <v>33</v>
      </c>
      <c r="D67" s="292" t="str">
        <f ca="1">IF(ISERROR(OFFSET('HARGA SATUAN'!$D$6,MATCH(RAB!C67,'HARGA SATUAN'!$C$7:$C$1509,0),0)),"",OFFSET('HARGA SATUAN'!$D$6,MATCH(RAB!C67,'HARGA SATUAN'!$C$7:$C$1509,0),0))</f>
        <v>HDW</v>
      </c>
      <c r="E67" s="293" t="str">
        <f ca="1">IF(B67="+","Unit",IF(ISERROR(OFFSET('HARGA SATUAN'!$E$6,MATCH(RAB!C67,'HARGA SATUAN'!$C$7:$C$1509,0),0)),"",OFFSET('HARGA SATUAN'!$E$6,MATCH(RAB!C67,'HARGA SATUAN'!$C$7:$C$1509,0),0)))</f>
        <v>Bh</v>
      </c>
      <c r="F67" s="406">
        <f>F62*2</f>
        <v>4</v>
      </c>
      <c r="G67" s="294">
        <f ca="1">IF(ISERROR(OFFSET('HARGA SATUAN'!$I$6,MATCH(RAB!C67,'HARGA SATUAN'!$C$7:$C$1509,0),0)),0,OFFSET('HARGA SATUAN'!$I$6,MATCH(RAB!C67,'HARGA SATUAN'!$C$7:$C$1509,0),0))</f>
        <v>9500</v>
      </c>
      <c r="H67" s="295">
        <f t="shared" ca="1" si="20"/>
        <v>0</v>
      </c>
      <c r="I67" s="295">
        <f t="shared" ca="1" si="21"/>
        <v>38000</v>
      </c>
      <c r="J67" s="295">
        <f t="shared" ca="1" si="22"/>
        <v>0</v>
      </c>
      <c r="K67" s="296">
        <f t="shared" ca="1" si="23"/>
        <v>38000</v>
      </c>
      <c r="L67" s="300"/>
      <c r="M67" s="300"/>
      <c r="N67" s="300"/>
      <c r="O67" s="297"/>
      <c r="P67" s="297"/>
      <c r="Q67" s="278"/>
      <c r="R67" s="270"/>
      <c r="S67" s="298"/>
      <c r="T67" s="275"/>
      <c r="U67" s="275"/>
      <c r="V67" s="275"/>
    </row>
    <row r="68" spans="1:22" s="301" customFormat="1" ht="15.75" customHeight="1">
      <c r="A68" s="270" t="e">
        <f>IF(AND(#REF!=0,#REF!=0,#REF!=0),"BLANKS",1)</f>
        <v>#REF!</v>
      </c>
      <c r="B68" s="504">
        <v>6</v>
      </c>
      <c r="C68" s="505" t="s">
        <v>34</v>
      </c>
      <c r="D68" s="292" t="str">
        <f ca="1">IF(ISERROR(OFFSET('HARGA SATUAN'!$D$6,MATCH(RAB!C68,'HARGA SATUAN'!$C$7:$C$1509,0),0)),"",OFFSET('HARGA SATUAN'!$D$6,MATCH(RAB!C68,'HARGA SATUAN'!$C$7:$C$1509,0),0))</f>
        <v>HDW</v>
      </c>
      <c r="E68" s="293" t="str">
        <f ca="1">IF(B68="+","Unit",IF(ISERROR(OFFSET('HARGA SATUAN'!$E$6,MATCH(RAB!C68,'HARGA SATUAN'!$C$7:$C$1509,0),0)),"",OFFSET('HARGA SATUAN'!$E$6,MATCH(RAB!C68,'HARGA SATUAN'!$C$7:$C$1509,0),0)))</f>
        <v>Bh</v>
      </c>
      <c r="F68" s="406">
        <f>F62*5.5</f>
        <v>11</v>
      </c>
      <c r="G68" s="294">
        <f ca="1">IF(ISERROR(OFFSET('HARGA SATUAN'!$I$6,MATCH(RAB!C68,'HARGA SATUAN'!$C$7:$C$1509,0),0)),0,OFFSET('HARGA SATUAN'!$I$6,MATCH(RAB!C68,'HARGA SATUAN'!$C$7:$C$1509,0),0))</f>
        <v>6100</v>
      </c>
      <c r="H68" s="295">
        <f t="shared" ca="1" si="20"/>
        <v>0</v>
      </c>
      <c r="I68" s="295">
        <f t="shared" ca="1" si="21"/>
        <v>67100</v>
      </c>
      <c r="J68" s="295">
        <f t="shared" ca="1" si="22"/>
        <v>0</v>
      </c>
      <c r="K68" s="296">
        <f t="shared" ca="1" si="23"/>
        <v>67100</v>
      </c>
      <c r="L68" s="300"/>
      <c r="M68" s="300"/>
      <c r="N68" s="300"/>
      <c r="O68" s="297"/>
      <c r="P68" s="297"/>
      <c r="Q68" s="278"/>
      <c r="R68" s="270"/>
      <c r="S68" s="298"/>
      <c r="T68" s="275"/>
      <c r="U68" s="275"/>
      <c r="V68" s="275"/>
    </row>
    <row r="69" spans="1:22" s="301" customFormat="1" ht="27.75" customHeight="1">
      <c r="A69" s="270" t="e">
        <f>IF(AND(#REF!=0,#REF!=0,#REF!=0),"BLANKS",1)</f>
        <v>#REF!</v>
      </c>
      <c r="B69" s="504">
        <v>7</v>
      </c>
      <c r="C69" s="505" t="s">
        <v>35</v>
      </c>
      <c r="D69" s="292" t="str">
        <f ca="1">IF(ISERROR(OFFSET('HARGA SATUAN'!$D$6,MATCH(RAB!C69,'HARGA SATUAN'!$C$7:$C$1509,0),0)),"",OFFSET('HARGA SATUAN'!$D$6,MATCH(RAB!C69,'HARGA SATUAN'!$C$7:$C$1509,0),0))</f>
        <v>HDW</v>
      </c>
      <c r="E69" s="293" t="str">
        <f ca="1">IF(B69="+","Unit",IF(ISERROR(OFFSET('HARGA SATUAN'!$E$6,MATCH(RAB!C69,'HARGA SATUAN'!$C$7:$C$1509,0),0)),"",OFFSET('HARGA SATUAN'!$E$6,MATCH(RAB!C69,'HARGA SATUAN'!$C$7:$C$1509,0),0)))</f>
        <v>Bh</v>
      </c>
      <c r="F69" s="406">
        <f>F62*6</f>
        <v>12</v>
      </c>
      <c r="G69" s="294">
        <f ca="1">IF(ISERROR(OFFSET('HARGA SATUAN'!$I$6,MATCH(RAB!C69,'HARGA SATUAN'!$C$7:$C$1509,0),0)),0,OFFSET('HARGA SATUAN'!$I$6,MATCH(RAB!C69,'HARGA SATUAN'!$C$7:$C$1509,0),0))</f>
        <v>2300</v>
      </c>
      <c r="H69" s="295">
        <f t="shared" ca="1" si="20"/>
        <v>0</v>
      </c>
      <c r="I69" s="295">
        <f t="shared" ca="1" si="21"/>
        <v>27600</v>
      </c>
      <c r="J69" s="295">
        <f t="shared" ca="1" si="22"/>
        <v>0</v>
      </c>
      <c r="K69" s="296">
        <f t="shared" ca="1" si="23"/>
        <v>27600</v>
      </c>
      <c r="L69" s="300"/>
      <c r="M69" s="300"/>
      <c r="N69" s="300"/>
      <c r="O69" s="297"/>
      <c r="P69" s="297"/>
      <c r="Q69" s="278"/>
      <c r="R69" s="270"/>
      <c r="S69" s="298"/>
      <c r="T69" s="275"/>
      <c r="U69" s="275"/>
      <c r="V69" s="275"/>
    </row>
    <row r="70" spans="1:22" s="301" customFormat="1" ht="17.100000000000001" customHeight="1">
      <c r="A70" s="270"/>
      <c r="B70" s="504">
        <v>8</v>
      </c>
      <c r="C70" s="505" t="s">
        <v>1644</v>
      </c>
      <c r="D70" s="292" t="str">
        <f ca="1">IF(ISERROR(OFFSET('HARGA SATUAN'!$D$6,MATCH(RAB!C70,'HARGA SATUAN'!$C$7:$C$1509,0),0)),"",OFFSET('HARGA SATUAN'!$D$6,MATCH(RAB!C70,'HARGA SATUAN'!$C$7:$C$1509,0),0))</f>
        <v>HDW</v>
      </c>
      <c r="E70" s="293" t="str">
        <f ca="1">IF(B70="+","Unit",IF(ISERROR(OFFSET('HARGA SATUAN'!$E$6,MATCH(RAB!C70,'HARGA SATUAN'!$C$7:$C$1509,0),0)),"",OFFSET('HARGA SATUAN'!$E$6,MATCH(RAB!C70,'HARGA SATUAN'!$C$7:$C$1509,0),0)))</f>
        <v>Mtr</v>
      </c>
      <c r="F70" s="406">
        <f>F62*4.8</f>
        <v>9.6</v>
      </c>
      <c r="G70" s="294">
        <f ca="1">IF(ISERROR(OFFSET('HARGA SATUAN'!$I$6,MATCH(RAB!C70,'HARGA SATUAN'!$C$7:$C$1509,0),0)),0,OFFSET('HARGA SATUAN'!$I$6,MATCH(RAB!C70,'HARGA SATUAN'!$C$7:$C$1509,0),0))</f>
        <v>23310</v>
      </c>
      <c r="H70" s="295">
        <f t="shared" ca="1" si="20"/>
        <v>0</v>
      </c>
      <c r="I70" s="295">
        <f t="shared" ca="1" si="21"/>
        <v>223776</v>
      </c>
      <c r="J70" s="295">
        <f t="shared" ca="1" si="22"/>
        <v>0</v>
      </c>
      <c r="K70" s="296">
        <f t="shared" ca="1" si="23"/>
        <v>223776</v>
      </c>
      <c r="L70" s="300"/>
      <c r="M70" s="300"/>
      <c r="N70" s="300"/>
      <c r="O70" s="297"/>
      <c r="P70" s="297"/>
      <c r="Q70" s="278"/>
      <c r="R70" s="270"/>
      <c r="S70" s="298"/>
      <c r="T70" s="275"/>
      <c r="U70" s="275"/>
      <c r="V70" s="275"/>
    </row>
    <row r="71" spans="1:22" s="301" customFormat="1" ht="17.100000000000001" customHeight="1">
      <c r="A71" s="270" t="e">
        <f>IF(AND(#REF!=0,#REF!=0,#REF!=0),"BLANKS",1)</f>
        <v>#REF!</v>
      </c>
      <c r="B71" s="504">
        <v>9</v>
      </c>
      <c r="C71" s="505" t="s">
        <v>740</v>
      </c>
      <c r="D71" s="292" t="str">
        <f ca="1">IF(ISERROR(OFFSET('HARGA SATUAN'!$D$6,MATCH(RAB!C71,'HARGA SATUAN'!$C$7:$C$1509,0),0)),"",OFFSET('HARGA SATUAN'!$D$6,MATCH(RAB!C71,'HARGA SATUAN'!$C$7:$C$1509,0),0))</f>
        <v>JASA</v>
      </c>
      <c r="E71" s="293" t="str">
        <f ca="1">IF(B71="+","Unit",IF(ISERROR(OFFSET('HARGA SATUAN'!$E$6,MATCH(RAB!C71,'HARGA SATUAN'!$C$7:$C$1509,0),0)),"",OFFSET('HARGA SATUAN'!$E$6,MATCH(RAB!C71,'HARGA SATUAN'!$C$7:$C$1509,0),0)))</f>
        <v>Unit</v>
      </c>
      <c r="F71" s="406">
        <f>F62*1</f>
        <v>2</v>
      </c>
      <c r="G71" s="294">
        <f ca="1">IF(ISERROR(OFFSET('HARGA SATUAN'!$I$6,MATCH(RAB!C71,'HARGA SATUAN'!$C$7:$C$1509,0),0)),0,OFFSET('HARGA SATUAN'!$I$6,MATCH(RAB!C71,'HARGA SATUAN'!$C$7:$C$1509,0),0))</f>
        <v>65400</v>
      </c>
      <c r="H71" s="295">
        <f t="shared" ref="H71:H81" ca="1" si="24">IF(OR(D71="MDU",D71="MDU-KD"),(IF($O$3="RAB NON MDU","PLN KD",G71*F71)),0)</f>
        <v>0</v>
      </c>
      <c r="I71" s="295">
        <f t="shared" ref="I71:I81" ca="1" si="25">IF(D71="HDW",G71*F71,0)</f>
        <v>0</v>
      </c>
      <c r="J71" s="295">
        <f t="shared" ref="J71:J81" ca="1" si="26">IF(D71="JASA",G71*F71,0)</f>
        <v>130800</v>
      </c>
      <c r="K71" s="296">
        <f t="shared" ref="K71:K81" ca="1" si="27">SUM(H71:J71)</f>
        <v>130800</v>
      </c>
      <c r="L71" s="300"/>
      <c r="M71" s="300"/>
      <c r="N71" s="300"/>
      <c r="O71" s="297"/>
      <c r="P71" s="297"/>
      <c r="Q71" s="278"/>
      <c r="R71" s="270"/>
      <c r="S71" s="298"/>
      <c r="T71" s="275"/>
      <c r="U71" s="275"/>
      <c r="V71" s="275"/>
    </row>
    <row r="72" spans="1:22" s="301" customFormat="1" ht="17.100000000000001" customHeight="1">
      <c r="A72" s="270" t="e">
        <f>IF(AND(#REF!=0,#REF!=0,#REF!=0),"BLANKS",1)</f>
        <v>#REF!</v>
      </c>
      <c r="B72" s="504">
        <v>10</v>
      </c>
      <c r="C72" s="505" t="s">
        <v>584</v>
      </c>
      <c r="D72" s="292" t="str">
        <f ca="1">IF(ISERROR(OFFSET('HARGA SATUAN'!$D$6,MATCH(RAB!C72,'HARGA SATUAN'!$C$7:$C$1509,0),0)),"",OFFSET('HARGA SATUAN'!$D$6,MATCH(RAB!C72,'HARGA SATUAN'!$C$7:$C$1509,0),0))</f>
        <v>HDW</v>
      </c>
      <c r="E72" s="293" t="str">
        <f ca="1">IF(B72="+","Unit",IF(ISERROR(OFFSET('HARGA SATUAN'!$E$6,MATCH(RAB!C72,'HARGA SATUAN'!$C$7:$C$1509,0),0)),"",OFFSET('HARGA SATUAN'!$E$6,MATCH(RAB!C72,'HARGA SATUAN'!$C$7:$C$1509,0),0)))</f>
        <v>Bh</v>
      </c>
      <c r="F72" s="406">
        <f>F67*1</f>
        <v>4</v>
      </c>
      <c r="G72" s="294">
        <f ca="1">IF(ISERROR(OFFSET('HARGA SATUAN'!$I$6,MATCH(RAB!C72,'HARGA SATUAN'!$C$7:$C$1509,0),0)),0,OFFSET('HARGA SATUAN'!$I$6,MATCH(RAB!C72,'HARGA SATUAN'!$C$7:$C$1509,0),0))</f>
        <v>49000</v>
      </c>
      <c r="H72" s="295">
        <f t="shared" ca="1" si="24"/>
        <v>0</v>
      </c>
      <c r="I72" s="295">
        <f t="shared" ca="1" si="25"/>
        <v>196000</v>
      </c>
      <c r="J72" s="295">
        <f t="shared" ca="1" si="26"/>
        <v>0</v>
      </c>
      <c r="K72" s="296">
        <f t="shared" ca="1" si="27"/>
        <v>196000</v>
      </c>
      <c r="L72" s="300"/>
      <c r="M72" s="300"/>
      <c r="N72" s="300"/>
      <c r="O72" s="297"/>
      <c r="P72" s="297"/>
      <c r="Q72" s="278"/>
      <c r="R72" s="270"/>
      <c r="S72" s="298"/>
      <c r="T72" s="275"/>
      <c r="U72" s="275"/>
      <c r="V72" s="275"/>
    </row>
    <row r="73" spans="1:22" s="301" customFormat="1" ht="17.100000000000001" customHeight="1">
      <c r="A73" s="270" t="e">
        <f>IF(AND(#REF!=0,#REF!=0,#REF!=0),"BLANKS",1)</f>
        <v>#REF!</v>
      </c>
      <c r="B73" s="305"/>
      <c r="C73" s="497"/>
      <c r="D73" s="292" t="str">
        <f ca="1">IF(ISERROR(OFFSET('HARGA SATUAN'!$D$6,MATCH(RAB!C73,'HARGA SATUAN'!$C$7:$C$1509,0),0)),"",OFFSET('HARGA SATUAN'!$D$6,MATCH(RAB!C73,'HARGA SATUAN'!$C$7:$C$1509,0),0))</f>
        <v/>
      </c>
      <c r="E73" s="293" t="str">
        <f ca="1">IF(B73="+","Unit",IF(ISERROR(OFFSET('HARGA SATUAN'!$E$6,MATCH(RAB!C73,'HARGA SATUAN'!$C$7:$C$1509,0),0)),"",OFFSET('HARGA SATUAN'!$E$6,MATCH(RAB!C73,'HARGA SATUAN'!$C$7:$C$1509,0),0)))</f>
        <v/>
      </c>
      <c r="F73" s="406"/>
      <c r="G73" s="294">
        <f ca="1">IF(ISERROR(OFFSET('HARGA SATUAN'!$I$6,MATCH(RAB!C73,'HARGA SATUAN'!$C$7:$C$1509,0),0)),0,OFFSET('HARGA SATUAN'!$I$6,MATCH(RAB!C73,'HARGA SATUAN'!$C$7:$C$1509,0),0))</f>
        <v>0</v>
      </c>
      <c r="H73" s="295">
        <f t="shared" ca="1" si="24"/>
        <v>0</v>
      </c>
      <c r="I73" s="295">
        <f t="shared" ca="1" si="25"/>
        <v>0</v>
      </c>
      <c r="J73" s="295">
        <f t="shared" ca="1" si="26"/>
        <v>0</v>
      </c>
      <c r="K73" s="296">
        <f t="shared" ca="1" si="27"/>
        <v>0</v>
      </c>
      <c r="L73" s="300"/>
      <c r="M73" s="300"/>
      <c r="N73" s="300"/>
      <c r="O73" s="297"/>
      <c r="P73" s="297"/>
      <c r="Q73" s="278"/>
      <c r="R73" s="270"/>
      <c r="S73" s="298"/>
      <c r="T73" s="275"/>
      <c r="U73" s="275"/>
      <c r="V73" s="275"/>
    </row>
    <row r="74" spans="1:22" s="301" customFormat="1" ht="17.100000000000001" customHeight="1">
      <c r="A74" s="270" t="e">
        <f>IF(AND(#REF!=0,C129=0,#REF!=0),"BLANKS",1)</f>
        <v>#REF!</v>
      </c>
      <c r="B74" s="526" t="s">
        <v>1039</v>
      </c>
      <c r="C74" s="527" t="s">
        <v>1657</v>
      </c>
      <c r="D74" s="292" t="str">
        <f ca="1">IF(ISERROR(OFFSET('HARGA SATUAN'!$D$6,MATCH(RAB!C74,'HARGA SATUAN'!$C$7:$C$1509,0),0)),"",OFFSET('HARGA SATUAN'!$D$6,MATCH(RAB!C74,'HARGA SATUAN'!$C$7:$C$1509,0),0))</f>
        <v/>
      </c>
      <c r="E74" s="293" t="str">
        <f ca="1">IF(B74="+","Unit",IF(ISERROR(OFFSET('HARGA SATUAN'!$E$6,MATCH(RAB!C74,'HARGA SATUAN'!$C$7:$C$1509,0),0)),"",OFFSET('HARGA SATUAN'!$E$6,MATCH(RAB!C74,'HARGA SATUAN'!$C$7:$C$1509,0),0)))</f>
        <v>Unit</v>
      </c>
      <c r="F74" s="406">
        <v>2</v>
      </c>
      <c r="G74" s="294">
        <f ca="1">IF(ISERROR(OFFSET('HARGA SATUAN'!$I$6,MATCH(RAB!C74,'HARGA SATUAN'!$C$7:$C$1509,0),0)),0,OFFSET('HARGA SATUAN'!$I$6,MATCH(RAB!C74,'HARGA SATUAN'!$C$7:$C$1509,0),0))</f>
        <v>0</v>
      </c>
      <c r="H74" s="295">
        <f t="shared" ref="H74:H80" ca="1" si="28">IF(OR(D74="MDU",D74="MDU-KD"),(IF($O$3="RAB NON MDU","PLN KD",G74*F74)),0)</f>
        <v>0</v>
      </c>
      <c r="I74" s="295">
        <f t="shared" ref="I74:I80" ca="1" si="29">IF(D74="HDW",G74*F74,0)</f>
        <v>0</v>
      </c>
      <c r="J74" s="295">
        <f t="shared" ref="J74:J80" ca="1" si="30">IF(D74="JASA",G74*F74,0)</f>
        <v>0</v>
      </c>
      <c r="K74" s="296">
        <f t="shared" ref="K74:K80" ca="1" si="31">SUM(H74:J74)</f>
        <v>0</v>
      </c>
      <c r="L74" s="300"/>
      <c r="M74" s="300"/>
      <c r="N74" s="300"/>
      <c r="O74" s="297"/>
      <c r="P74" s="297"/>
      <c r="Q74" s="278"/>
      <c r="R74" s="270"/>
      <c r="S74" s="298"/>
      <c r="T74" s="275"/>
      <c r="U74" s="275"/>
      <c r="V74" s="275"/>
    </row>
    <row r="75" spans="1:22" s="301" customFormat="1" ht="17.100000000000001" customHeight="1">
      <c r="A75" s="270" t="e">
        <f>IF(AND(#REF!=0,#REF!=0,#REF!=0),"BLANKS",1)</f>
        <v>#REF!</v>
      </c>
      <c r="B75" s="526">
        <v>1</v>
      </c>
      <c r="C75" s="527" t="s">
        <v>232</v>
      </c>
      <c r="D75" s="292" t="str">
        <f ca="1">IF(ISERROR(OFFSET('HARGA SATUAN'!$D$6,MATCH(RAB!C75,'HARGA SATUAN'!$C$7:$C$1509,0),0)),"",OFFSET('HARGA SATUAN'!$D$6,MATCH(RAB!C75,'HARGA SATUAN'!$C$7:$C$1509,0),0))</f>
        <v>HDW</v>
      </c>
      <c r="E75" s="293" t="str">
        <f ca="1">IF(B75="+","Unit",IF(ISERROR(OFFSET('HARGA SATUAN'!$E$6,MATCH(RAB!C75,'HARGA SATUAN'!$C$7:$C$1509,0),0)),"",OFFSET('HARGA SATUAN'!$E$6,MATCH(RAB!C75,'HARGA SATUAN'!$C$7:$C$1509,0),0)))</f>
        <v>Bh</v>
      </c>
      <c r="F75" s="406">
        <f>F74*1</f>
        <v>2</v>
      </c>
      <c r="G75" s="294">
        <f ca="1">IF(ISERROR(OFFSET('HARGA SATUAN'!$I$6,MATCH(RAB!C75,'HARGA SATUAN'!$C$7:$C$1509,0),0)),0,OFFSET('HARGA SATUAN'!$I$6,MATCH(RAB!C75,'HARGA SATUAN'!$C$7:$C$1509,0),0))</f>
        <v>4212</v>
      </c>
      <c r="H75" s="295">
        <f t="shared" ca="1" si="28"/>
        <v>0</v>
      </c>
      <c r="I75" s="295">
        <f t="shared" ca="1" si="29"/>
        <v>8424</v>
      </c>
      <c r="J75" s="295">
        <f t="shared" ca="1" si="30"/>
        <v>0</v>
      </c>
      <c r="K75" s="296">
        <f t="shared" ca="1" si="31"/>
        <v>8424</v>
      </c>
      <c r="L75" s="300"/>
      <c r="M75" s="300"/>
      <c r="N75" s="300"/>
      <c r="O75" s="297"/>
      <c r="P75" s="297"/>
      <c r="Q75" s="278"/>
      <c r="R75" s="270"/>
      <c r="S75" s="298"/>
      <c r="T75" s="275"/>
      <c r="U75" s="275"/>
      <c r="V75" s="275"/>
    </row>
    <row r="76" spans="1:22" s="301" customFormat="1" ht="17.100000000000001" customHeight="1">
      <c r="A76" s="270"/>
      <c r="B76" s="526">
        <v>2</v>
      </c>
      <c r="C76" s="527" t="s">
        <v>269</v>
      </c>
      <c r="D76" s="292" t="str">
        <f ca="1">IF(ISERROR(OFFSET('HARGA SATUAN'!$D$6,MATCH(RAB!C76,'HARGA SATUAN'!$C$7:$C$1509,0),0)),"",OFFSET('HARGA SATUAN'!$D$6,MATCH(RAB!C76,'HARGA SATUAN'!$C$7:$C$1509,0),0))</f>
        <v>HDW</v>
      </c>
      <c r="E76" s="293" t="str">
        <f ca="1">IF(B76="+","Unit",IF(ISERROR(OFFSET('HARGA SATUAN'!$E$6,MATCH(RAB!C76,'HARGA SATUAN'!$C$7:$C$1509,0),0)),"",OFFSET('HARGA SATUAN'!$E$6,MATCH(RAB!C76,'HARGA SATUAN'!$C$7:$C$1509,0),0)))</f>
        <v>Mtr</v>
      </c>
      <c r="F76" s="406">
        <f>F74*1</f>
        <v>2</v>
      </c>
      <c r="G76" s="294">
        <f ca="1">IF(ISERROR(OFFSET('HARGA SATUAN'!$I$6,MATCH(RAB!C76,'HARGA SATUAN'!$C$7:$C$1509,0),0)),0,OFFSET('HARGA SATUAN'!$I$6,MATCH(RAB!C76,'HARGA SATUAN'!$C$7:$C$1509,0),0))</f>
        <v>23310</v>
      </c>
      <c r="H76" s="295">
        <f t="shared" ca="1" si="28"/>
        <v>0</v>
      </c>
      <c r="I76" s="295">
        <f t="shared" ca="1" si="29"/>
        <v>46620</v>
      </c>
      <c r="J76" s="295">
        <f t="shared" ca="1" si="30"/>
        <v>0</v>
      </c>
      <c r="K76" s="296">
        <f t="shared" ca="1" si="31"/>
        <v>46620</v>
      </c>
      <c r="L76" s="300"/>
      <c r="M76" s="300"/>
      <c r="N76" s="300"/>
      <c r="O76" s="297"/>
      <c r="P76" s="297"/>
      <c r="Q76" s="278"/>
      <c r="R76" s="270"/>
      <c r="S76" s="298"/>
      <c r="T76" s="275"/>
      <c r="U76" s="275"/>
      <c r="V76" s="275"/>
    </row>
    <row r="77" spans="1:22" s="301" customFormat="1" ht="17.100000000000001" customHeight="1">
      <c r="A77" s="270" t="e">
        <f>IF(AND(#REF!=0,#REF!=0,#REF!=0),"BLANKS",1)</f>
        <v>#REF!</v>
      </c>
      <c r="B77" s="526">
        <v>3</v>
      </c>
      <c r="C77" s="527" t="s">
        <v>35</v>
      </c>
      <c r="D77" s="292" t="str">
        <f ca="1">IF(ISERROR(OFFSET('HARGA SATUAN'!$D$6,MATCH(RAB!C77,'HARGA SATUAN'!$C$7:$C$1509,0),0)),"",OFFSET('HARGA SATUAN'!$D$6,MATCH(RAB!C77,'HARGA SATUAN'!$C$7:$C$1509,0),0))</f>
        <v>HDW</v>
      </c>
      <c r="E77" s="293" t="str">
        <f ca="1">IF(B77="+","Unit",IF(ISERROR(OFFSET('HARGA SATUAN'!$E$6,MATCH(RAB!C77,'HARGA SATUAN'!$C$7:$C$1509,0),0)),"",OFFSET('HARGA SATUAN'!$E$6,MATCH(RAB!C77,'HARGA SATUAN'!$C$7:$C$1509,0),0)))</f>
        <v>Bh</v>
      </c>
      <c r="F77" s="406">
        <f>F74*1</f>
        <v>2</v>
      </c>
      <c r="G77" s="294">
        <f ca="1">IF(ISERROR(OFFSET('HARGA SATUAN'!$I$6,MATCH(RAB!C77,'HARGA SATUAN'!$C$7:$C$1509,0),0)),0,OFFSET('HARGA SATUAN'!$I$6,MATCH(RAB!C77,'HARGA SATUAN'!$C$7:$C$1509,0),0))</f>
        <v>2300</v>
      </c>
      <c r="H77" s="295">
        <f t="shared" ca="1" si="28"/>
        <v>0</v>
      </c>
      <c r="I77" s="295">
        <f t="shared" ca="1" si="29"/>
        <v>4600</v>
      </c>
      <c r="J77" s="295">
        <f t="shared" ca="1" si="30"/>
        <v>0</v>
      </c>
      <c r="K77" s="296">
        <f t="shared" ca="1" si="31"/>
        <v>4600</v>
      </c>
      <c r="L77" s="300"/>
      <c r="M77" s="300"/>
      <c r="N77" s="300"/>
      <c r="O77" s="297"/>
      <c r="P77" s="297"/>
      <c r="Q77" s="278"/>
      <c r="R77" s="270"/>
      <c r="S77" s="298"/>
      <c r="T77" s="275"/>
      <c r="U77" s="275"/>
      <c r="V77" s="275"/>
    </row>
    <row r="78" spans="1:22" s="301" customFormat="1" ht="17.100000000000001" customHeight="1">
      <c r="A78" s="270" t="e">
        <f>IF(AND(#REF!=0,C75=0,#REF!=0),"BLANKS",1)</f>
        <v>#REF!</v>
      </c>
      <c r="B78" s="526">
        <v>4</v>
      </c>
      <c r="C78" s="527" t="s">
        <v>613</v>
      </c>
      <c r="D78" s="292" t="str">
        <f ca="1">IF(ISERROR(OFFSET('HARGA SATUAN'!$D$6,MATCH(RAB!C78,'HARGA SATUAN'!$C$7:$C$1509,0),0)),"",OFFSET('HARGA SATUAN'!$D$6,MATCH(RAB!C78,'HARGA SATUAN'!$C$7:$C$1509,0),0))</f>
        <v>HDW</v>
      </c>
      <c r="E78" s="293" t="str">
        <f ca="1">IF(B78="+","Unit",IF(ISERROR(OFFSET('HARGA SATUAN'!$E$6,MATCH(RAB!C78,'HARGA SATUAN'!$C$7:$C$1509,0),0)),"",OFFSET('HARGA SATUAN'!$E$6,MATCH(RAB!C78,'HARGA SATUAN'!$C$7:$C$1509,0),0)))</f>
        <v>Bh</v>
      </c>
      <c r="F78" s="406">
        <f>F74*1</f>
        <v>2</v>
      </c>
      <c r="G78" s="294">
        <f ca="1">IF(ISERROR(OFFSET('HARGA SATUAN'!$I$6,MATCH(RAB!C78,'HARGA SATUAN'!$C$7:$C$1509,0),0)),0,OFFSET('HARGA SATUAN'!$I$6,MATCH(RAB!C78,'HARGA SATUAN'!$C$7:$C$1509,0),0))</f>
        <v>71000</v>
      </c>
      <c r="H78" s="295">
        <f t="shared" ca="1" si="28"/>
        <v>0</v>
      </c>
      <c r="I78" s="295">
        <f t="shared" ca="1" si="29"/>
        <v>142000</v>
      </c>
      <c r="J78" s="295">
        <f t="shared" ca="1" si="30"/>
        <v>0</v>
      </c>
      <c r="K78" s="296">
        <f t="shared" ca="1" si="31"/>
        <v>142000</v>
      </c>
      <c r="L78" s="300"/>
      <c r="M78" s="300"/>
      <c r="N78" s="300"/>
      <c r="O78" s="297"/>
      <c r="P78" s="297"/>
      <c r="Q78" s="278"/>
      <c r="R78" s="270"/>
      <c r="S78" s="298"/>
      <c r="T78" s="275"/>
      <c r="U78" s="275"/>
      <c r="V78" s="275"/>
    </row>
    <row r="79" spans="1:22" s="301" customFormat="1" ht="17.100000000000001" customHeight="1">
      <c r="A79" s="270" t="e">
        <f>IF(AND(#REF!=0,#REF!=0,#REF!=0),"BLANKS",1)</f>
        <v>#REF!</v>
      </c>
      <c r="B79" s="526">
        <v>5</v>
      </c>
      <c r="C79" s="527" t="s">
        <v>633</v>
      </c>
      <c r="D79" s="292" t="str">
        <f ca="1">IF(ISERROR(OFFSET('HARGA SATUAN'!$D$6,MATCH(RAB!C79,'HARGA SATUAN'!$C$7:$C$1509,0),0)),"",OFFSET('HARGA SATUAN'!$D$6,MATCH(RAB!C79,'HARGA SATUAN'!$C$7:$C$1509,0),0))</f>
        <v>JASA</v>
      </c>
      <c r="E79" s="293" t="str">
        <f ca="1">IF(B79="+","Unit",IF(ISERROR(OFFSET('HARGA SATUAN'!$E$6,MATCH(RAB!C79,'HARGA SATUAN'!$C$7:$C$1509,0),0)),"",OFFSET('HARGA SATUAN'!$E$6,MATCH(RAB!C79,'HARGA SATUAN'!$C$7:$C$1509,0),0)))</f>
        <v>Unit</v>
      </c>
      <c r="F79" s="406">
        <f>F74*1</f>
        <v>2</v>
      </c>
      <c r="G79" s="294">
        <f ca="1">IF(ISERROR(OFFSET('HARGA SATUAN'!$I$6,MATCH(RAB!C79,'HARGA SATUAN'!$C$7:$C$1509,0),0)),0,OFFSET('HARGA SATUAN'!$I$6,MATCH(RAB!C79,'HARGA SATUAN'!$C$7:$C$1509,0),0))</f>
        <v>29400</v>
      </c>
      <c r="H79" s="295">
        <f t="shared" ca="1" si="28"/>
        <v>0</v>
      </c>
      <c r="I79" s="295">
        <f t="shared" ca="1" si="29"/>
        <v>0</v>
      </c>
      <c r="J79" s="295">
        <f t="shared" ca="1" si="30"/>
        <v>58800</v>
      </c>
      <c r="K79" s="296">
        <f t="shared" ca="1" si="31"/>
        <v>58800</v>
      </c>
      <c r="L79" s="300"/>
      <c r="M79" s="300"/>
      <c r="N79" s="300"/>
      <c r="O79" s="297"/>
      <c r="P79" s="297"/>
      <c r="Q79" s="278"/>
      <c r="R79" s="270"/>
      <c r="S79" s="298"/>
      <c r="T79" s="275"/>
      <c r="U79" s="275"/>
      <c r="V79" s="275"/>
    </row>
    <row r="80" spans="1:22" s="301" customFormat="1" ht="17.100000000000001" customHeight="1">
      <c r="A80" s="270"/>
      <c r="B80" s="504"/>
      <c r="C80" s="505"/>
      <c r="D80" s="292" t="str">
        <f ca="1">IF(ISERROR(OFFSET('HARGA SATUAN'!$D$6,MATCH(RAB!C80,'HARGA SATUAN'!$C$7:$C$1509,0),0)),"",OFFSET('HARGA SATUAN'!$D$6,MATCH(RAB!C80,'HARGA SATUAN'!$C$7:$C$1509,0),0))</f>
        <v/>
      </c>
      <c r="E80" s="293" t="str">
        <f ca="1">IF(B80="+","Unit",IF(ISERROR(OFFSET('HARGA SATUAN'!$E$6,MATCH(RAB!C80,'HARGA SATUAN'!$C$7:$C$1509,0),0)),"",OFFSET('HARGA SATUAN'!$E$6,MATCH(RAB!C80,'HARGA SATUAN'!$C$7:$C$1509,0),0)))</f>
        <v/>
      </c>
      <c r="F80" s="406"/>
      <c r="G80" s="294">
        <f ca="1">IF(ISERROR(OFFSET('HARGA SATUAN'!$I$6,MATCH(RAB!C80,'HARGA SATUAN'!$C$7:$C$1509,0),0)),0,OFFSET('HARGA SATUAN'!$I$6,MATCH(RAB!C80,'HARGA SATUAN'!$C$7:$C$1509,0),0))</f>
        <v>0</v>
      </c>
      <c r="H80" s="295">
        <f t="shared" ca="1" si="28"/>
        <v>0</v>
      </c>
      <c r="I80" s="295">
        <f t="shared" ca="1" si="29"/>
        <v>0</v>
      </c>
      <c r="J80" s="295">
        <f t="shared" ca="1" si="30"/>
        <v>0</v>
      </c>
      <c r="K80" s="296">
        <f t="shared" ca="1" si="31"/>
        <v>0</v>
      </c>
      <c r="L80" s="300"/>
      <c r="M80" s="300"/>
      <c r="N80" s="300"/>
      <c r="O80" s="297"/>
      <c r="P80" s="297"/>
      <c r="Q80" s="278"/>
      <c r="R80" s="270"/>
      <c r="S80" s="298"/>
      <c r="T80" s="275"/>
      <c r="U80" s="275"/>
      <c r="V80" s="275"/>
    </row>
    <row r="81" spans="1:22" s="301" customFormat="1" ht="17.100000000000001" customHeight="1">
      <c r="A81" s="270" t="e">
        <f>IF(AND(#REF!=0,C136=0,#REF!=0),"BLANKS",1)</f>
        <v>#REF!</v>
      </c>
      <c r="B81" s="504" t="s">
        <v>1039</v>
      </c>
      <c r="C81" s="505" t="s">
        <v>1623</v>
      </c>
      <c r="D81" s="292" t="str">
        <f ca="1">IF(ISERROR(OFFSET('HARGA SATUAN'!$D$6,MATCH(RAB!C81,'HARGA SATUAN'!$C$7:$C$1509,0),0)),"",OFFSET('HARGA SATUAN'!$D$6,MATCH(RAB!C81,'HARGA SATUAN'!$C$7:$C$1509,0),0))</f>
        <v/>
      </c>
      <c r="E81" s="293" t="str">
        <f ca="1">IF(B81="+","Unit",IF(ISERROR(OFFSET('HARGA SATUAN'!$E$6,MATCH(RAB!C81,'HARGA SATUAN'!$C$7:$C$1509,0),0)),"",OFFSET('HARGA SATUAN'!$E$6,MATCH(RAB!C81,'HARGA SATUAN'!$C$7:$C$1509,0),0)))</f>
        <v>Unit</v>
      </c>
      <c r="F81" s="406">
        <v>2</v>
      </c>
      <c r="G81" s="294">
        <f ca="1">IF(ISERROR(OFFSET('HARGA SATUAN'!$I$6,MATCH(RAB!C81,'HARGA SATUAN'!$C$7:$C$1509,0),0)),0,OFFSET('HARGA SATUAN'!$I$6,MATCH(RAB!C81,'HARGA SATUAN'!$C$7:$C$1509,0),0))</f>
        <v>0</v>
      </c>
      <c r="H81" s="295">
        <f t="shared" ca="1" si="24"/>
        <v>0</v>
      </c>
      <c r="I81" s="295">
        <f t="shared" ca="1" si="25"/>
        <v>0</v>
      </c>
      <c r="J81" s="295">
        <f t="shared" ca="1" si="26"/>
        <v>0</v>
      </c>
      <c r="K81" s="296">
        <f t="shared" ca="1" si="27"/>
        <v>0</v>
      </c>
      <c r="L81" s="300"/>
      <c r="M81" s="300"/>
      <c r="N81" s="300"/>
      <c r="O81" s="297"/>
      <c r="P81" s="297"/>
      <c r="Q81" s="278"/>
      <c r="R81" s="270"/>
      <c r="S81" s="298"/>
      <c r="T81" s="275"/>
      <c r="U81" s="275"/>
      <c r="V81" s="275"/>
    </row>
    <row r="82" spans="1:22" s="301" customFormat="1" ht="17.100000000000001" customHeight="1">
      <c r="A82" s="270" t="e">
        <f>IF(AND(#REF!=0,#REF!=0,#REF!=0),"BLANKS",1)</f>
        <v>#REF!</v>
      </c>
      <c r="B82" s="504">
        <v>1</v>
      </c>
      <c r="C82" s="505" t="s">
        <v>599</v>
      </c>
      <c r="D82" s="292" t="str">
        <f ca="1">IF(ISERROR(OFFSET('HARGA SATUAN'!$D$6,MATCH(RAB!C82,'HARGA SATUAN'!$C$7:$C$1509,0),0)),"",OFFSET('HARGA SATUAN'!$D$6,MATCH(RAB!C82,'HARGA SATUAN'!$C$7:$C$1509,0),0))</f>
        <v>HDW</v>
      </c>
      <c r="E82" s="293" t="str">
        <f ca="1">IF(B82="+","Unit",IF(ISERROR(OFFSET('HARGA SATUAN'!$E$6,MATCH(RAB!C82,'HARGA SATUAN'!$C$7:$C$1509,0),0)),"",OFFSET('HARGA SATUAN'!$E$6,MATCH(RAB!C82,'HARGA SATUAN'!$C$7:$C$1509,0),0)))</f>
        <v>Bh</v>
      </c>
      <c r="F82" s="406">
        <f>F81*1</f>
        <v>2</v>
      </c>
      <c r="G82" s="294">
        <f ca="1">IF(ISERROR(OFFSET('HARGA SATUAN'!$I$6,MATCH(RAB!C82,'HARGA SATUAN'!$C$7:$C$1509,0),0)),0,OFFSET('HARGA SATUAN'!$I$6,MATCH(RAB!C82,'HARGA SATUAN'!$C$7:$C$1509,0),0))</f>
        <v>78500</v>
      </c>
      <c r="H82" s="295">
        <f t="shared" ca="1" si="20"/>
        <v>0</v>
      </c>
      <c r="I82" s="295">
        <f t="shared" ca="1" si="21"/>
        <v>157000</v>
      </c>
      <c r="J82" s="295">
        <f t="shared" ca="1" si="22"/>
        <v>0</v>
      </c>
      <c r="K82" s="296">
        <f t="shared" ca="1" si="23"/>
        <v>157000</v>
      </c>
      <c r="L82" s="300"/>
      <c r="M82" s="300"/>
      <c r="N82" s="300"/>
      <c r="O82" s="297"/>
      <c r="P82" s="297"/>
      <c r="Q82" s="278"/>
      <c r="R82" s="270"/>
      <c r="S82" s="298"/>
      <c r="T82" s="275"/>
      <c r="U82" s="275"/>
      <c r="V82" s="275"/>
    </row>
    <row r="83" spans="1:22" s="301" customFormat="1" ht="17.100000000000001" customHeight="1">
      <c r="A83" s="270"/>
      <c r="B83" s="504">
        <v>2</v>
      </c>
      <c r="C83" s="505" t="s">
        <v>232</v>
      </c>
      <c r="D83" s="292" t="str">
        <f ca="1">IF(ISERROR(OFFSET('HARGA SATUAN'!$D$6,MATCH(RAB!C83,'HARGA SATUAN'!$C$7:$C$1509,0),0)),"",OFFSET('HARGA SATUAN'!$D$6,MATCH(RAB!C83,'HARGA SATUAN'!$C$7:$C$1509,0),0))</f>
        <v>HDW</v>
      </c>
      <c r="E83" s="293" t="str">
        <f ca="1">IF(B83="+","Unit",IF(ISERROR(OFFSET('HARGA SATUAN'!$E$6,MATCH(RAB!C83,'HARGA SATUAN'!$C$7:$C$1509,0),0)),"",OFFSET('HARGA SATUAN'!$E$6,MATCH(RAB!C83,'HARGA SATUAN'!$C$7:$C$1509,0),0)))</f>
        <v>Bh</v>
      </c>
      <c r="F83" s="406">
        <f>F81*1</f>
        <v>2</v>
      </c>
      <c r="G83" s="294">
        <f ca="1">IF(ISERROR(OFFSET('HARGA SATUAN'!$I$6,MATCH(RAB!C83,'HARGA SATUAN'!$C$7:$C$1509,0),0)),0,OFFSET('HARGA SATUAN'!$I$6,MATCH(RAB!C83,'HARGA SATUAN'!$C$7:$C$1509,0),0))</f>
        <v>4212</v>
      </c>
      <c r="H83" s="295">
        <f t="shared" ca="1" si="20"/>
        <v>0</v>
      </c>
      <c r="I83" s="295">
        <f t="shared" ca="1" si="21"/>
        <v>8424</v>
      </c>
      <c r="J83" s="295">
        <f t="shared" ca="1" si="22"/>
        <v>0</v>
      </c>
      <c r="K83" s="296">
        <f t="shared" ca="1" si="23"/>
        <v>8424</v>
      </c>
      <c r="L83" s="300"/>
      <c r="M83" s="300"/>
      <c r="N83" s="300"/>
      <c r="O83" s="297"/>
      <c r="P83" s="297"/>
      <c r="Q83" s="278"/>
      <c r="R83" s="270"/>
      <c r="S83" s="298"/>
      <c r="T83" s="275"/>
      <c r="U83" s="275"/>
      <c r="V83" s="275"/>
    </row>
    <row r="84" spans="1:22" s="301" customFormat="1" ht="17.100000000000001" customHeight="1">
      <c r="A84" s="270" t="e">
        <f>IF(AND(#REF!=0,#REF!=0,#REF!=0),"BLANKS",1)</f>
        <v>#REF!</v>
      </c>
      <c r="B84" s="504">
        <v>3</v>
      </c>
      <c r="C84" s="505" t="s">
        <v>269</v>
      </c>
      <c r="D84" s="292" t="str">
        <f ca="1">IF(ISERROR(OFFSET('HARGA SATUAN'!$D$6,MATCH(RAB!C84,'HARGA SATUAN'!$C$7:$C$1509,0),0)),"",OFFSET('HARGA SATUAN'!$D$6,MATCH(RAB!C84,'HARGA SATUAN'!$C$7:$C$1509,0),0))</f>
        <v>HDW</v>
      </c>
      <c r="E84" s="293" t="str">
        <f ca="1">IF(B84="+","Unit",IF(ISERROR(OFFSET('HARGA SATUAN'!$E$6,MATCH(RAB!C84,'HARGA SATUAN'!$C$7:$C$1509,0),0)),"",OFFSET('HARGA SATUAN'!$E$6,MATCH(RAB!C84,'HARGA SATUAN'!$C$7:$C$1509,0),0)))</f>
        <v>Mtr</v>
      </c>
      <c r="F84" s="406">
        <f>F81*1</f>
        <v>2</v>
      </c>
      <c r="G84" s="294">
        <f ca="1">IF(ISERROR(OFFSET('HARGA SATUAN'!$I$6,MATCH(RAB!C84,'HARGA SATUAN'!$C$7:$C$1509,0),0)),0,OFFSET('HARGA SATUAN'!$I$6,MATCH(RAB!C84,'HARGA SATUAN'!$C$7:$C$1509,0),0))</f>
        <v>23310</v>
      </c>
      <c r="H84" s="295">
        <f t="shared" ref="H84:H101" ca="1" si="32">IF(OR(D84="MDU",D84="MDU-KD"),(IF($O$3="RAB NON MDU","PLN KD",G84*F84)),0)</f>
        <v>0</v>
      </c>
      <c r="I84" s="295">
        <f t="shared" ref="I84:I101" ca="1" si="33">IF(D84="HDW",G84*F84,0)</f>
        <v>46620</v>
      </c>
      <c r="J84" s="295">
        <f t="shared" ref="J84:J101" ca="1" si="34">IF(D84="JASA",G84*F84,0)</f>
        <v>0</v>
      </c>
      <c r="K84" s="296">
        <f t="shared" ref="K84:K101" ca="1" si="35">SUM(H84:J84)</f>
        <v>46620</v>
      </c>
      <c r="L84" s="300"/>
      <c r="M84" s="300"/>
      <c r="N84" s="300"/>
      <c r="O84" s="297"/>
      <c r="P84" s="297"/>
      <c r="Q84" s="278"/>
      <c r="R84" s="270"/>
      <c r="S84" s="298"/>
      <c r="T84" s="275"/>
      <c r="U84" s="275"/>
      <c r="V84" s="275"/>
    </row>
    <row r="85" spans="1:22" s="301" customFormat="1" ht="17.100000000000001" customHeight="1">
      <c r="A85" s="270" t="e">
        <f>IF(AND(#REF!=0,C82=0,#REF!=0),"BLANKS",1)</f>
        <v>#REF!</v>
      </c>
      <c r="B85" s="504">
        <v>4</v>
      </c>
      <c r="C85" s="505" t="s">
        <v>35</v>
      </c>
      <c r="D85" s="292" t="str">
        <f ca="1">IF(ISERROR(OFFSET('HARGA SATUAN'!$D$6,MATCH(RAB!C85,'HARGA SATUAN'!$C$7:$C$1509,0),0)),"",OFFSET('HARGA SATUAN'!$D$6,MATCH(RAB!C85,'HARGA SATUAN'!$C$7:$C$1509,0),0))</f>
        <v>HDW</v>
      </c>
      <c r="E85" s="293" t="str">
        <f ca="1">IF(B85="+","Unit",IF(ISERROR(OFFSET('HARGA SATUAN'!$E$6,MATCH(RAB!C85,'HARGA SATUAN'!$C$7:$C$1509,0),0)),"",OFFSET('HARGA SATUAN'!$E$6,MATCH(RAB!C85,'HARGA SATUAN'!$C$7:$C$1509,0),0)))</f>
        <v>Bh</v>
      </c>
      <c r="F85" s="406">
        <f>F81*1</f>
        <v>2</v>
      </c>
      <c r="G85" s="294">
        <f ca="1">IF(ISERROR(OFFSET('HARGA SATUAN'!$I$6,MATCH(RAB!C85,'HARGA SATUAN'!$C$7:$C$1509,0),0)),0,OFFSET('HARGA SATUAN'!$I$6,MATCH(RAB!C85,'HARGA SATUAN'!$C$7:$C$1509,0),0))</f>
        <v>2300</v>
      </c>
      <c r="H85" s="295">
        <f t="shared" ca="1" si="32"/>
        <v>0</v>
      </c>
      <c r="I85" s="295">
        <f t="shared" ca="1" si="33"/>
        <v>4600</v>
      </c>
      <c r="J85" s="295">
        <f t="shared" ca="1" si="34"/>
        <v>0</v>
      </c>
      <c r="K85" s="296">
        <f t="shared" ca="1" si="35"/>
        <v>4600</v>
      </c>
      <c r="L85" s="300"/>
      <c r="M85" s="300"/>
      <c r="N85" s="300"/>
      <c r="O85" s="297"/>
      <c r="P85" s="297"/>
      <c r="Q85" s="278"/>
      <c r="R85" s="270"/>
      <c r="S85" s="298"/>
      <c r="T85" s="275"/>
      <c r="U85" s="275"/>
      <c r="V85" s="275"/>
    </row>
    <row r="86" spans="1:22" s="301" customFormat="1" ht="17.100000000000001" customHeight="1">
      <c r="A86" s="270" t="e">
        <f>IF(AND(#REF!=0,#REF!=0,#REF!=0),"BLANKS",1)</f>
        <v>#REF!</v>
      </c>
      <c r="B86" s="504">
        <v>5</v>
      </c>
      <c r="C86" s="505" t="s">
        <v>634</v>
      </c>
      <c r="D86" s="292" t="str">
        <f ca="1">IF(ISERROR(OFFSET('HARGA SATUAN'!$D$6,MATCH(RAB!C86,'HARGA SATUAN'!$C$7:$C$1509,0),0)),"",OFFSET('HARGA SATUAN'!$D$6,MATCH(RAB!C86,'HARGA SATUAN'!$C$7:$C$1509,0),0))</f>
        <v>JASA</v>
      </c>
      <c r="E86" s="293" t="str">
        <f ca="1">IF(B86="+","Unit",IF(ISERROR(OFFSET('HARGA SATUAN'!$E$6,MATCH(RAB!C86,'HARGA SATUAN'!$C$7:$C$1509,0),0)),"",OFFSET('HARGA SATUAN'!$E$6,MATCH(RAB!C86,'HARGA SATUAN'!$C$7:$C$1509,0),0)))</f>
        <v>Unit</v>
      </c>
      <c r="F86" s="406">
        <f>F81*1</f>
        <v>2</v>
      </c>
      <c r="G86" s="294">
        <f ca="1">IF(ISERROR(OFFSET('HARGA SATUAN'!$I$6,MATCH(RAB!C86,'HARGA SATUAN'!$C$7:$C$1509,0),0)),0,OFFSET('HARGA SATUAN'!$I$6,MATCH(RAB!C86,'HARGA SATUAN'!$C$7:$C$1509,0),0))</f>
        <v>35700</v>
      </c>
      <c r="H86" s="295">
        <f t="shared" ca="1" si="32"/>
        <v>0</v>
      </c>
      <c r="I86" s="295">
        <f t="shared" ca="1" si="33"/>
        <v>0</v>
      </c>
      <c r="J86" s="295">
        <f t="shared" ca="1" si="34"/>
        <v>71400</v>
      </c>
      <c r="K86" s="296">
        <f t="shared" ca="1" si="35"/>
        <v>71400</v>
      </c>
      <c r="L86" s="300"/>
      <c r="M86" s="300"/>
      <c r="N86" s="300"/>
      <c r="O86" s="297"/>
      <c r="P86" s="297"/>
      <c r="Q86" s="278"/>
      <c r="R86" s="270"/>
      <c r="S86" s="298"/>
      <c r="T86" s="275"/>
      <c r="U86" s="275"/>
      <c r="V86" s="275"/>
    </row>
    <row r="87" spans="1:22" s="301" customFormat="1" ht="17.100000000000001" customHeight="1">
      <c r="A87" s="270"/>
      <c r="B87" s="504"/>
      <c r="C87" s="505"/>
      <c r="D87" s="292" t="str">
        <f ca="1">IF(ISERROR(OFFSET('HARGA SATUAN'!$D$6,MATCH(RAB!C87,'HARGA SATUAN'!$C$7:$C$1509,0),0)),"",OFFSET('HARGA SATUAN'!$D$6,MATCH(RAB!C87,'HARGA SATUAN'!$C$7:$C$1509,0),0))</f>
        <v/>
      </c>
      <c r="E87" s="293" t="str">
        <f ca="1">IF(B87="+","Unit",IF(ISERROR(OFFSET('HARGA SATUAN'!$E$6,MATCH(RAB!C87,'HARGA SATUAN'!$C$7:$C$1509,0),0)),"",OFFSET('HARGA SATUAN'!$E$6,MATCH(RAB!C87,'HARGA SATUAN'!$C$7:$C$1509,0),0)))</f>
        <v/>
      </c>
      <c r="F87" s="406"/>
      <c r="G87" s="294">
        <f ca="1">IF(ISERROR(OFFSET('HARGA SATUAN'!$I$6,MATCH(RAB!C87,'HARGA SATUAN'!$C$7:$C$1509,0),0)),0,OFFSET('HARGA SATUAN'!$I$6,MATCH(RAB!C87,'HARGA SATUAN'!$C$7:$C$1509,0),0))</f>
        <v>0</v>
      </c>
      <c r="H87" s="295">
        <f t="shared" ca="1" si="32"/>
        <v>0</v>
      </c>
      <c r="I87" s="295">
        <f t="shared" ca="1" si="33"/>
        <v>0</v>
      </c>
      <c r="J87" s="295">
        <f t="shared" ca="1" si="34"/>
        <v>0</v>
      </c>
      <c r="K87" s="296">
        <f t="shared" ca="1" si="35"/>
        <v>0</v>
      </c>
      <c r="L87" s="300"/>
      <c r="M87" s="300"/>
      <c r="N87" s="300"/>
      <c r="O87" s="297"/>
      <c r="P87" s="297"/>
      <c r="Q87" s="278"/>
      <c r="R87" s="270"/>
      <c r="S87" s="298"/>
      <c r="T87" s="275"/>
      <c r="U87" s="275"/>
      <c r="V87" s="275"/>
    </row>
    <row r="88" spans="1:22" s="301" customFormat="1" ht="17.100000000000001" customHeight="1">
      <c r="A88" s="270" t="e">
        <f>IF(AND(#REF!=0,#REF!=0,#REF!=0),"BLANKS",1)</f>
        <v>#REF!</v>
      </c>
      <c r="B88" s="305" t="s">
        <v>1039</v>
      </c>
      <c r="C88" s="497" t="s">
        <v>1624</v>
      </c>
      <c r="D88" s="292" t="str">
        <f ca="1">IF(ISERROR(OFFSET('HARGA SATUAN'!$D$6,MATCH(RAB!C88,'HARGA SATUAN'!$C$7:$C$1509,0),0)),"",OFFSET('HARGA SATUAN'!$D$6,MATCH(RAB!C88,'HARGA SATUAN'!$C$7:$C$1509,0),0))</f>
        <v/>
      </c>
      <c r="E88" s="293" t="str">
        <f ca="1">IF(B88="+","Unit",IF(ISERROR(OFFSET('HARGA SATUAN'!$E$6,MATCH(RAB!C88,'HARGA SATUAN'!$C$7:$C$1509,0),0)),"",OFFSET('HARGA SATUAN'!$E$6,MATCH(RAB!C88,'HARGA SATUAN'!$C$7:$C$1509,0),0)))</f>
        <v>Unit</v>
      </c>
      <c r="F88" s="406">
        <v>1</v>
      </c>
      <c r="G88" s="294">
        <f ca="1">IF(ISERROR(OFFSET('HARGA SATUAN'!$I$6,MATCH(RAB!C88,'HARGA SATUAN'!$C$7:$C$1509,0),0)),0,OFFSET('HARGA SATUAN'!$I$6,MATCH(RAB!C88,'HARGA SATUAN'!$C$7:$C$1509,0),0))</f>
        <v>0</v>
      </c>
      <c r="H88" s="295">
        <f t="shared" ca="1" si="32"/>
        <v>0</v>
      </c>
      <c r="I88" s="295">
        <f t="shared" ca="1" si="33"/>
        <v>0</v>
      </c>
      <c r="J88" s="295">
        <f t="shared" ca="1" si="34"/>
        <v>0</v>
      </c>
      <c r="K88" s="296">
        <f t="shared" ca="1" si="35"/>
        <v>0</v>
      </c>
      <c r="L88" s="300"/>
      <c r="M88" s="300"/>
      <c r="N88" s="300"/>
      <c r="O88" s="297"/>
      <c r="P88" s="297"/>
      <c r="Q88" s="278"/>
      <c r="R88" s="270"/>
      <c r="S88" s="298"/>
      <c r="T88" s="275"/>
      <c r="U88" s="275"/>
      <c r="V88" s="275"/>
    </row>
    <row r="89" spans="1:22" s="301" customFormat="1" ht="17.100000000000001" customHeight="1">
      <c r="A89" s="270" t="e">
        <f>IF(AND(#REF!=0,#REF!=0,#REF!=0),"BLANKS",1)</f>
        <v>#REF!</v>
      </c>
      <c r="B89" s="495">
        <v>1</v>
      </c>
      <c r="C89" s="496" t="s">
        <v>602</v>
      </c>
      <c r="D89" s="292" t="str">
        <f ca="1">IF(ISERROR(OFFSET('HARGA SATUAN'!$D$6,MATCH(RAB!C89,'HARGA SATUAN'!$C$7:$C$1509,0),0)),"",OFFSET('HARGA SATUAN'!$D$6,MATCH(RAB!C89,'HARGA SATUAN'!$C$7:$C$1509,0),0))</f>
        <v>HDW</v>
      </c>
      <c r="E89" s="293" t="str">
        <f ca="1">IF(B89="+","Unit",IF(ISERROR(OFFSET('HARGA SATUAN'!$E$6,MATCH(RAB!C89,'HARGA SATUAN'!$C$7:$C$1509,0),0)),"",OFFSET('HARGA SATUAN'!$E$6,MATCH(RAB!C89,'HARGA SATUAN'!$C$7:$C$1509,0),0)))</f>
        <v>Bh</v>
      </c>
      <c r="F89" s="406">
        <f>F88*1</f>
        <v>1</v>
      </c>
      <c r="G89" s="294">
        <f ca="1">IF(ISERROR(OFFSET('HARGA SATUAN'!$I$6,MATCH(RAB!C89,'HARGA SATUAN'!$C$7:$C$1509,0),0)),0,OFFSET('HARGA SATUAN'!$I$6,MATCH(RAB!C89,'HARGA SATUAN'!$C$7:$C$1509,0),0))</f>
        <v>3965</v>
      </c>
      <c r="H89" s="295">
        <f t="shared" ca="1" si="32"/>
        <v>0</v>
      </c>
      <c r="I89" s="295">
        <f t="shared" ca="1" si="33"/>
        <v>3965</v>
      </c>
      <c r="J89" s="295">
        <f t="shared" ca="1" si="34"/>
        <v>0</v>
      </c>
      <c r="K89" s="296">
        <f t="shared" ca="1" si="35"/>
        <v>3965</v>
      </c>
      <c r="L89" s="300"/>
      <c r="M89" s="300"/>
      <c r="N89" s="300"/>
      <c r="O89" s="297"/>
      <c r="P89" s="297"/>
      <c r="Q89" s="278"/>
      <c r="R89" s="270"/>
      <c r="S89" s="298"/>
      <c r="T89" s="275"/>
      <c r="U89" s="275"/>
      <c r="V89" s="275"/>
    </row>
    <row r="90" spans="1:22" s="301" customFormat="1" ht="17.100000000000001" customHeight="1">
      <c r="A90" s="270" t="e">
        <f>IF(AND(#REF!=0,#REF!=0,#REF!=0),"BLANKS",1)</f>
        <v>#REF!</v>
      </c>
      <c r="B90" s="305">
        <v>2</v>
      </c>
      <c r="C90" s="497" t="s">
        <v>477</v>
      </c>
      <c r="D90" s="292" t="str">
        <f ca="1">IF(ISERROR(OFFSET('HARGA SATUAN'!$D$6,MATCH(RAB!C90,'HARGA SATUAN'!$C$7:$C$1509,0),0)),"",OFFSET('HARGA SATUAN'!$D$6,MATCH(RAB!C90,'HARGA SATUAN'!$C$7:$C$1509,0),0))</f>
        <v>HDW</v>
      </c>
      <c r="E90" s="293" t="str">
        <f ca="1">IF(B90="+","Unit",IF(ISERROR(OFFSET('HARGA SATUAN'!$E$6,MATCH(RAB!C90,'HARGA SATUAN'!$C$7:$C$1509,0),0)),"",OFFSET('HARGA SATUAN'!$E$6,MATCH(RAB!C90,'HARGA SATUAN'!$C$7:$C$1509,0),0)))</f>
        <v>Bh</v>
      </c>
      <c r="F90" s="406">
        <f>F88*1</f>
        <v>1</v>
      </c>
      <c r="G90" s="294">
        <f ca="1">IF(ISERROR(OFFSET('HARGA SATUAN'!$I$6,MATCH(RAB!C90,'HARGA SATUAN'!$C$7:$C$1509,0),0)),0,OFFSET('HARGA SATUAN'!$I$6,MATCH(RAB!C90,'HARGA SATUAN'!$C$7:$C$1509,0),0))</f>
        <v>3711.24</v>
      </c>
      <c r="H90" s="295">
        <f t="shared" ca="1" si="32"/>
        <v>0</v>
      </c>
      <c r="I90" s="295">
        <f t="shared" ca="1" si="33"/>
        <v>3711.24</v>
      </c>
      <c r="J90" s="295">
        <f t="shared" ca="1" si="34"/>
        <v>0</v>
      </c>
      <c r="K90" s="296">
        <f t="shared" ca="1" si="35"/>
        <v>3711.24</v>
      </c>
      <c r="L90" s="300"/>
      <c r="M90" s="300"/>
      <c r="N90" s="300"/>
      <c r="O90" s="297"/>
      <c r="P90" s="297"/>
      <c r="Q90" s="278"/>
      <c r="R90" s="270"/>
      <c r="S90" s="298"/>
      <c r="T90" s="275"/>
      <c r="U90" s="275"/>
      <c r="V90" s="275"/>
    </row>
    <row r="91" spans="1:22" s="301" customFormat="1" ht="17.100000000000001" customHeight="1">
      <c r="A91" s="270" t="e">
        <f>IF(AND(#REF!=0,C65=0,#REF!=0),"BLANKS",1)</f>
        <v>#REF!</v>
      </c>
      <c r="B91" s="305">
        <v>3</v>
      </c>
      <c r="C91" s="497" t="s">
        <v>269</v>
      </c>
      <c r="D91" s="292" t="str">
        <f ca="1">IF(ISERROR(OFFSET('HARGA SATUAN'!$D$6,MATCH(RAB!C91,'HARGA SATUAN'!$C$7:$C$1509,0),0)),"",OFFSET('HARGA SATUAN'!$D$6,MATCH(RAB!C91,'HARGA SATUAN'!$C$7:$C$1509,0),0))</f>
        <v>HDW</v>
      </c>
      <c r="E91" s="293" t="str">
        <f ca="1">IF(B91="+","Unit",IF(ISERROR(OFFSET('HARGA SATUAN'!$E$6,MATCH(RAB!C91,'HARGA SATUAN'!$C$7:$C$1509,0),0)),"",OFFSET('HARGA SATUAN'!$E$6,MATCH(RAB!C91,'HARGA SATUAN'!$C$7:$C$1509,0),0)))</f>
        <v>Mtr</v>
      </c>
      <c r="F91" s="406">
        <f>F88*1</f>
        <v>1</v>
      </c>
      <c r="G91" s="294">
        <f ca="1">IF(ISERROR(OFFSET('HARGA SATUAN'!$I$6,MATCH(RAB!C91,'HARGA SATUAN'!$C$7:$C$1509,0),0)),0,OFFSET('HARGA SATUAN'!$I$6,MATCH(RAB!C91,'HARGA SATUAN'!$C$7:$C$1509,0),0))</f>
        <v>23310</v>
      </c>
      <c r="H91" s="295">
        <f t="shared" ca="1" si="32"/>
        <v>0</v>
      </c>
      <c r="I91" s="295">
        <f t="shared" ca="1" si="33"/>
        <v>23310</v>
      </c>
      <c r="J91" s="295">
        <f t="shared" ca="1" si="34"/>
        <v>0</v>
      </c>
      <c r="K91" s="296">
        <f t="shared" ca="1" si="35"/>
        <v>23310</v>
      </c>
      <c r="L91" s="300"/>
      <c r="M91" s="300"/>
      <c r="N91" s="300"/>
      <c r="O91" s="297"/>
      <c r="P91" s="297"/>
      <c r="Q91" s="278"/>
      <c r="R91" s="270"/>
      <c r="S91" s="298"/>
      <c r="T91" s="275"/>
      <c r="U91" s="275"/>
      <c r="V91" s="275"/>
    </row>
    <row r="92" spans="1:22" s="301" customFormat="1" ht="20.25" customHeight="1">
      <c r="A92" s="270" t="e">
        <f>IF(AND(#REF!=0,#REF!=0,#REF!=0),"BLANKS",1)</f>
        <v>#REF!</v>
      </c>
      <c r="B92" s="305">
        <v>4</v>
      </c>
      <c r="C92" s="497" t="s">
        <v>35</v>
      </c>
      <c r="D92" s="292" t="str">
        <f ca="1">IF(ISERROR(OFFSET('HARGA SATUAN'!$D$6,MATCH(RAB!C92,'HARGA SATUAN'!$C$7:$C$1509,0),0)),"",OFFSET('HARGA SATUAN'!$D$6,MATCH(RAB!C92,'HARGA SATUAN'!$C$7:$C$1509,0),0))</f>
        <v>HDW</v>
      </c>
      <c r="E92" s="293" t="str">
        <f ca="1">IF(B92="+","Unit",IF(ISERROR(OFFSET('HARGA SATUAN'!$E$6,MATCH(RAB!C92,'HARGA SATUAN'!$C$7:$C$1509,0),0)),"",OFFSET('HARGA SATUAN'!$E$6,MATCH(RAB!C92,'HARGA SATUAN'!$C$7:$C$1509,0),0)))</f>
        <v>Bh</v>
      </c>
      <c r="F92" s="406">
        <f>F88*1</f>
        <v>1</v>
      </c>
      <c r="G92" s="294">
        <f ca="1">IF(ISERROR(OFFSET('HARGA SATUAN'!$I$6,MATCH(RAB!C92,'HARGA SATUAN'!$C$7:$C$1509,0),0)),0,OFFSET('HARGA SATUAN'!$I$6,MATCH(RAB!C92,'HARGA SATUAN'!$C$7:$C$1509,0),0))</f>
        <v>2300</v>
      </c>
      <c r="H92" s="295">
        <f t="shared" ca="1" si="32"/>
        <v>0</v>
      </c>
      <c r="I92" s="295">
        <f t="shared" ca="1" si="33"/>
        <v>2300</v>
      </c>
      <c r="J92" s="295">
        <f t="shared" ca="1" si="34"/>
        <v>0</v>
      </c>
      <c r="K92" s="296">
        <f t="shared" ca="1" si="35"/>
        <v>2300</v>
      </c>
      <c r="L92" s="300"/>
      <c r="M92" s="300"/>
      <c r="N92" s="300"/>
      <c r="O92" s="297"/>
      <c r="P92" s="297"/>
      <c r="Q92" s="278"/>
      <c r="R92" s="270"/>
      <c r="S92" s="298"/>
      <c r="T92" s="275"/>
      <c r="U92" s="275"/>
      <c r="V92" s="275"/>
    </row>
    <row r="93" spans="1:22" s="301" customFormat="1" ht="17.100000000000001" customHeight="1">
      <c r="A93" s="270" t="e">
        <f>IF(AND(#REF!=0,#REF!=0,C48=0),"BLANKS",1)</f>
        <v>#REF!</v>
      </c>
      <c r="B93" s="305">
        <v>5</v>
      </c>
      <c r="C93" s="497" t="s">
        <v>636</v>
      </c>
      <c r="D93" s="292" t="str">
        <f ca="1">IF(ISERROR(OFFSET('HARGA SATUAN'!$D$6,MATCH(RAB!C93,'HARGA SATUAN'!$C$7:$C$1509,0),0)),"",OFFSET('HARGA SATUAN'!$D$6,MATCH(RAB!C93,'HARGA SATUAN'!$C$7:$C$1509,0),0))</f>
        <v>JASA</v>
      </c>
      <c r="E93" s="293" t="str">
        <f ca="1">IF(B93="+","Unit",IF(ISERROR(OFFSET('HARGA SATUAN'!$E$6,MATCH(RAB!C93,'HARGA SATUAN'!$C$7:$C$1509,0),0)),"",OFFSET('HARGA SATUAN'!$E$6,MATCH(RAB!C93,'HARGA SATUAN'!$C$7:$C$1509,0),0)))</f>
        <v>Unit</v>
      </c>
      <c r="F93" s="406">
        <f>F88*1</f>
        <v>1</v>
      </c>
      <c r="G93" s="294">
        <f ca="1">IF(ISERROR(OFFSET('HARGA SATUAN'!$I$6,MATCH(RAB!C93,'HARGA SATUAN'!$C$7:$C$1509,0),0)),0,OFFSET('HARGA SATUAN'!$I$6,MATCH(RAB!C93,'HARGA SATUAN'!$C$7:$C$1509,0),0))</f>
        <v>22700</v>
      </c>
      <c r="H93" s="295">
        <f t="shared" ca="1" si="32"/>
        <v>0</v>
      </c>
      <c r="I93" s="295">
        <f t="shared" ca="1" si="33"/>
        <v>0</v>
      </c>
      <c r="J93" s="295">
        <f t="shared" ca="1" si="34"/>
        <v>22700</v>
      </c>
      <c r="K93" s="296">
        <f t="shared" ca="1" si="35"/>
        <v>22700</v>
      </c>
      <c r="L93" s="300"/>
      <c r="M93" s="300"/>
      <c r="N93" s="300"/>
      <c r="O93" s="297"/>
      <c r="P93" s="297"/>
      <c r="Q93" s="278"/>
      <c r="R93" s="270"/>
      <c r="S93" s="298"/>
      <c r="T93" s="275"/>
      <c r="U93" s="275"/>
      <c r="V93" s="275"/>
    </row>
    <row r="94" spans="1:22" s="301" customFormat="1" ht="17.100000000000001" customHeight="1">
      <c r="A94" s="270"/>
      <c r="B94" s="305"/>
      <c r="C94" s="497"/>
      <c r="D94" s="292" t="str">
        <f ca="1">IF(ISERROR(OFFSET('HARGA SATUAN'!$D$6,MATCH(RAB!C94,'HARGA SATUAN'!$C$7:$C$1509,0),0)),"",OFFSET('HARGA SATUAN'!$D$6,MATCH(RAB!C94,'HARGA SATUAN'!$C$7:$C$1509,0),0))</f>
        <v/>
      </c>
      <c r="E94" s="293" t="str">
        <f ca="1">IF(B94="+","Unit",IF(ISERROR(OFFSET('HARGA SATUAN'!$E$6,MATCH(RAB!C94,'HARGA SATUAN'!$C$7:$C$1509,0),0)),"",OFFSET('HARGA SATUAN'!$E$6,MATCH(RAB!C94,'HARGA SATUAN'!$C$7:$C$1509,0),0)))</f>
        <v/>
      </c>
      <c r="F94" s="406"/>
      <c r="G94" s="294">
        <f ca="1">IF(ISERROR(OFFSET('HARGA SATUAN'!$I$6,MATCH(RAB!C94,'HARGA SATUAN'!$C$7:$C$1509,0),0)),0,OFFSET('HARGA SATUAN'!$I$6,MATCH(RAB!C94,'HARGA SATUAN'!$C$7:$C$1509,0),0))</f>
        <v>0</v>
      </c>
      <c r="H94" s="295">
        <f t="shared" ca="1" si="32"/>
        <v>0</v>
      </c>
      <c r="I94" s="295">
        <f t="shared" ca="1" si="33"/>
        <v>0</v>
      </c>
      <c r="J94" s="295">
        <f t="shared" ca="1" si="34"/>
        <v>0</v>
      </c>
      <c r="K94" s="296">
        <f t="shared" ca="1" si="35"/>
        <v>0</v>
      </c>
      <c r="L94" s="300"/>
      <c r="M94" s="300"/>
      <c r="N94" s="300"/>
      <c r="O94" s="297"/>
      <c r="P94" s="297"/>
      <c r="Q94" s="278"/>
      <c r="R94" s="270"/>
      <c r="S94" s="298"/>
      <c r="T94" s="275"/>
      <c r="U94" s="275"/>
      <c r="V94" s="275"/>
    </row>
    <row r="95" spans="1:22" s="301" customFormat="1" ht="17.100000000000001" customHeight="1">
      <c r="A95" s="270" t="e">
        <f>IF(AND(C48=0,C49=0,#REF!=0),"BLANKS",1)</f>
        <v>#REF!</v>
      </c>
      <c r="B95" s="305" t="s">
        <v>1039</v>
      </c>
      <c r="C95" s="497" t="s">
        <v>1626</v>
      </c>
      <c r="D95" s="292" t="str">
        <f ca="1">IF(ISERROR(OFFSET('HARGA SATUAN'!$D$6,MATCH(RAB!C95,'HARGA SATUAN'!$C$7:$C$1509,0),0)),"",OFFSET('HARGA SATUAN'!$D$6,MATCH(RAB!C95,'HARGA SATUAN'!$C$7:$C$1509,0),0))</f>
        <v/>
      </c>
      <c r="E95" s="293" t="str">
        <f ca="1">IF(B95="+","Unit",IF(ISERROR(OFFSET('HARGA SATUAN'!$E$6,MATCH(RAB!C95,'HARGA SATUAN'!$C$7:$C$1509,0),0)),"",OFFSET('HARGA SATUAN'!$E$6,MATCH(RAB!C95,'HARGA SATUAN'!$C$7:$C$1509,0),0)))</f>
        <v>Unit</v>
      </c>
      <c r="F95" s="406">
        <f>F18</f>
        <v>4</v>
      </c>
      <c r="G95" s="294">
        <f ca="1">IF(ISERROR(OFFSET('HARGA SATUAN'!$I$6,MATCH(RAB!C95,'HARGA SATUAN'!$C$7:$C$1509,0),0)),0,OFFSET('HARGA SATUAN'!$I$6,MATCH(RAB!C95,'HARGA SATUAN'!$C$7:$C$1509,0),0))</f>
        <v>0</v>
      </c>
      <c r="H95" s="295">
        <f t="shared" ca="1" si="32"/>
        <v>0</v>
      </c>
      <c r="I95" s="295">
        <f t="shared" ca="1" si="33"/>
        <v>0</v>
      </c>
      <c r="J95" s="295">
        <f t="shared" ca="1" si="34"/>
        <v>0</v>
      </c>
      <c r="K95" s="296">
        <f t="shared" ca="1" si="35"/>
        <v>0</v>
      </c>
      <c r="L95" s="300"/>
      <c r="M95" s="300"/>
      <c r="N95" s="300"/>
      <c r="O95" s="297"/>
      <c r="P95" s="297"/>
      <c r="Q95" s="278"/>
      <c r="R95" s="270"/>
      <c r="S95" s="298"/>
      <c r="T95" s="275"/>
      <c r="U95" s="275"/>
      <c r="V95" s="275"/>
    </row>
    <row r="96" spans="1:22" s="301" customFormat="1" ht="17.100000000000001" customHeight="1">
      <c r="A96" s="270" t="e">
        <f>IF(AND(C49=0,C50=0,#REF!=0),"BLANKS",1)</f>
        <v>#REF!</v>
      </c>
      <c r="B96" s="305">
        <v>1</v>
      </c>
      <c r="C96" s="497" t="s">
        <v>30</v>
      </c>
      <c r="D96" s="292" t="str">
        <f ca="1">IF(ISERROR(OFFSET('HARGA SATUAN'!$D$6,MATCH(RAB!C96,'HARGA SATUAN'!$C$7:$C$1509,0),0)),"",OFFSET('HARGA SATUAN'!$D$6,MATCH(RAB!C96,'HARGA SATUAN'!$C$7:$C$1509,0),0))</f>
        <v>HDW</v>
      </c>
      <c r="E96" s="293" t="str">
        <f ca="1">IF(B96="+","Unit",IF(ISERROR(OFFSET('HARGA SATUAN'!$E$6,MATCH(RAB!C96,'HARGA SATUAN'!$C$7:$C$1509,0),0)),"",OFFSET('HARGA SATUAN'!$E$6,MATCH(RAB!C96,'HARGA SATUAN'!$C$7:$C$1509,0),0)))</f>
        <v>Bh</v>
      </c>
      <c r="F96" s="406">
        <f>F95*1</f>
        <v>4</v>
      </c>
      <c r="G96" s="294">
        <f ca="1">IF(ISERROR(OFFSET('HARGA SATUAN'!$I$6,MATCH(RAB!C96,'HARGA SATUAN'!$C$7:$C$1509,0),0)),0,OFFSET('HARGA SATUAN'!$I$6,MATCH(RAB!C96,'HARGA SATUAN'!$C$7:$C$1509,0),0))</f>
        <v>47459</v>
      </c>
      <c r="H96" s="295">
        <f t="shared" ca="1" si="32"/>
        <v>0</v>
      </c>
      <c r="I96" s="295">
        <f t="shared" ca="1" si="33"/>
        <v>189836</v>
      </c>
      <c r="J96" s="295">
        <f t="shared" ca="1" si="34"/>
        <v>0</v>
      </c>
      <c r="K96" s="296">
        <f t="shared" ca="1" si="35"/>
        <v>189836</v>
      </c>
      <c r="L96" s="300"/>
      <c r="M96" s="300"/>
      <c r="N96" s="300"/>
      <c r="O96" s="297"/>
      <c r="P96" s="297"/>
      <c r="Q96" s="278"/>
      <c r="R96" s="270"/>
      <c r="S96" s="298"/>
      <c r="T96" s="275"/>
      <c r="U96" s="275"/>
      <c r="V96" s="275"/>
    </row>
    <row r="97" spans="1:22" s="301" customFormat="1" ht="17.100000000000001" customHeight="1">
      <c r="A97" s="270" t="e">
        <f>IF(AND(C50=0,C51=0,#REF!=0),"BLANKS",1)</f>
        <v>#REF!</v>
      </c>
      <c r="B97" s="305">
        <v>2</v>
      </c>
      <c r="C97" s="497" t="s">
        <v>32</v>
      </c>
      <c r="D97" s="292" t="str">
        <f ca="1">IF(ISERROR(OFFSET('HARGA SATUAN'!$D$6,MATCH(RAB!C97,'HARGA SATUAN'!$C$7:$C$1509,0),0)),"",OFFSET('HARGA SATUAN'!$D$6,MATCH(RAB!C97,'HARGA SATUAN'!$C$7:$C$1509,0),0))</f>
        <v>HDW</v>
      </c>
      <c r="E97" s="293" t="str">
        <f ca="1">IF(B97="+","Unit",IF(ISERROR(OFFSET('HARGA SATUAN'!$E$6,MATCH(RAB!C97,'HARGA SATUAN'!$C$7:$C$1509,0),0)),"",OFFSET('HARGA SATUAN'!$E$6,MATCH(RAB!C97,'HARGA SATUAN'!$C$7:$C$1509,0),0)))</f>
        <v>Mtr</v>
      </c>
      <c r="F97" s="406">
        <f>F95*0.8</f>
        <v>3.2</v>
      </c>
      <c r="G97" s="294">
        <f ca="1">IF(ISERROR(OFFSET('HARGA SATUAN'!$I$6,MATCH(RAB!C97,'HARGA SATUAN'!$C$7:$C$1509,0),0)),0,OFFSET('HARGA SATUAN'!$I$6,MATCH(RAB!C97,'HARGA SATUAN'!$C$7:$C$1509,0),0))</f>
        <v>30000</v>
      </c>
      <c r="H97" s="295">
        <f t="shared" ca="1" si="32"/>
        <v>0</v>
      </c>
      <c r="I97" s="295">
        <f t="shared" ca="1" si="33"/>
        <v>96000</v>
      </c>
      <c r="J97" s="295">
        <f t="shared" ca="1" si="34"/>
        <v>0</v>
      </c>
      <c r="K97" s="296">
        <f t="shared" ca="1" si="35"/>
        <v>96000</v>
      </c>
      <c r="L97" s="300"/>
      <c r="M97" s="300"/>
      <c r="N97" s="300"/>
      <c r="O97" s="297"/>
      <c r="P97" s="297"/>
      <c r="Q97" s="278"/>
      <c r="R97" s="270"/>
      <c r="S97" s="298"/>
      <c r="T97" s="275"/>
      <c r="U97" s="275"/>
      <c r="V97" s="275"/>
    </row>
    <row r="98" spans="1:22" s="301" customFormat="1" ht="17.100000000000001" customHeight="1">
      <c r="A98" s="270" t="e">
        <f>IF(AND(C51=0,C72=0,#REF!=0),"BLANKS",1)</f>
        <v>#REF!</v>
      </c>
      <c r="B98" s="305">
        <v>3</v>
      </c>
      <c r="C98" s="497" t="s">
        <v>33</v>
      </c>
      <c r="D98" s="292" t="str">
        <f ca="1">IF(ISERROR(OFFSET('HARGA SATUAN'!$D$6,MATCH(RAB!C98,'HARGA SATUAN'!$C$7:$C$1509,0),0)),"",OFFSET('HARGA SATUAN'!$D$6,MATCH(RAB!C98,'HARGA SATUAN'!$C$7:$C$1509,0),0))</f>
        <v>HDW</v>
      </c>
      <c r="E98" s="293" t="str">
        <f ca="1">IF(B98="+","Unit",IF(ISERROR(OFFSET('HARGA SATUAN'!$E$6,MATCH(RAB!C98,'HARGA SATUAN'!$C$7:$C$1509,0),0)),"",OFFSET('HARGA SATUAN'!$E$6,MATCH(RAB!C98,'HARGA SATUAN'!$C$7:$C$1509,0),0)))</f>
        <v>Bh</v>
      </c>
      <c r="F98" s="406">
        <f>F95*1</f>
        <v>4</v>
      </c>
      <c r="G98" s="294">
        <f ca="1">IF(ISERROR(OFFSET('HARGA SATUAN'!$I$6,MATCH(RAB!C98,'HARGA SATUAN'!$C$7:$C$1509,0),0)),0,OFFSET('HARGA SATUAN'!$I$6,MATCH(RAB!C98,'HARGA SATUAN'!$C$7:$C$1509,0),0))</f>
        <v>9500</v>
      </c>
      <c r="H98" s="295">
        <f t="shared" ca="1" si="32"/>
        <v>0</v>
      </c>
      <c r="I98" s="295">
        <f t="shared" ca="1" si="33"/>
        <v>38000</v>
      </c>
      <c r="J98" s="295">
        <f t="shared" ca="1" si="34"/>
        <v>0</v>
      </c>
      <c r="K98" s="296">
        <f t="shared" ca="1" si="35"/>
        <v>38000</v>
      </c>
      <c r="L98" s="300"/>
      <c r="M98" s="300"/>
      <c r="N98" s="300"/>
      <c r="O98" s="297"/>
      <c r="P98" s="297"/>
      <c r="Q98" s="278"/>
      <c r="R98" s="270"/>
      <c r="S98" s="298"/>
      <c r="T98" s="275"/>
      <c r="U98" s="275"/>
      <c r="V98" s="275"/>
    </row>
    <row r="99" spans="1:22" s="301" customFormat="1" ht="17.100000000000001" customHeight="1">
      <c r="A99" s="270">
        <f t="shared" ref="A99" si="36">IF(AND(C52=0,C53=0,C54=0),"BLANKS",1)</f>
        <v>1</v>
      </c>
      <c r="B99" s="305">
        <v>4</v>
      </c>
      <c r="C99" s="497" t="s">
        <v>741</v>
      </c>
      <c r="D99" s="292" t="str">
        <f ca="1">IF(ISERROR(OFFSET('HARGA SATUAN'!$D$6,MATCH(RAB!C99,'HARGA SATUAN'!$C$7:$C$1509,0),0)),"",OFFSET('HARGA SATUAN'!$D$6,MATCH(RAB!C99,'HARGA SATUAN'!$C$7:$C$1509,0),0))</f>
        <v>JASA</v>
      </c>
      <c r="E99" s="293" t="str">
        <f ca="1">IF(B99="+","Unit",IF(ISERROR(OFFSET('HARGA SATUAN'!$E$6,MATCH(RAB!C99,'HARGA SATUAN'!$C$7:$C$1509,0),0)),"",OFFSET('HARGA SATUAN'!$E$6,MATCH(RAB!C99,'HARGA SATUAN'!$C$7:$C$1509,0),0)))</f>
        <v>Unit</v>
      </c>
      <c r="F99" s="406">
        <f>F95*1</f>
        <v>4</v>
      </c>
      <c r="G99" s="294">
        <f ca="1">IF(ISERROR(OFFSET('HARGA SATUAN'!$I$6,MATCH(RAB!C99,'HARGA SATUAN'!$C$7:$C$1509,0),0)),0,OFFSET('HARGA SATUAN'!$I$6,MATCH(RAB!C99,'HARGA SATUAN'!$C$7:$C$1509,0),0))</f>
        <v>16200</v>
      </c>
      <c r="H99" s="295">
        <f t="shared" ca="1" si="32"/>
        <v>0</v>
      </c>
      <c r="I99" s="295">
        <f t="shared" ca="1" si="33"/>
        <v>0</v>
      </c>
      <c r="J99" s="295">
        <f t="shared" ca="1" si="34"/>
        <v>64800</v>
      </c>
      <c r="K99" s="296">
        <f t="shared" ca="1" si="35"/>
        <v>64800</v>
      </c>
      <c r="L99" s="300"/>
      <c r="M99" s="300"/>
      <c r="N99" s="300"/>
      <c r="O99" s="297"/>
      <c r="P99" s="297"/>
      <c r="Q99" s="278"/>
      <c r="R99" s="270"/>
      <c r="S99" s="298"/>
      <c r="T99" s="275"/>
      <c r="U99" s="275"/>
      <c r="V99" s="275"/>
    </row>
    <row r="100" spans="1:22" s="301" customFormat="1" ht="17.100000000000001" customHeight="1">
      <c r="A100" s="270"/>
      <c r="B100" s="305"/>
      <c r="C100" s="497"/>
      <c r="D100" s="292" t="str">
        <f ca="1">IF(ISERROR(OFFSET('HARGA SATUAN'!$D$6,MATCH(RAB!C100,'HARGA SATUAN'!$C$7:$C$1509,0),0)),"",OFFSET('HARGA SATUAN'!$D$6,MATCH(RAB!C100,'HARGA SATUAN'!$C$7:$C$1509,0),0))</f>
        <v/>
      </c>
      <c r="E100" s="293" t="str">
        <f ca="1">IF(B100="+","Unit",IF(ISERROR(OFFSET('HARGA SATUAN'!$E$6,MATCH(RAB!C100,'HARGA SATUAN'!$C$7:$C$1509,0),0)),"",OFFSET('HARGA SATUAN'!$E$6,MATCH(RAB!C100,'HARGA SATUAN'!$C$7:$C$1509,0),0)))</f>
        <v/>
      </c>
      <c r="F100" s="406"/>
      <c r="G100" s="294">
        <f ca="1">IF(ISERROR(OFFSET('HARGA SATUAN'!$I$6,MATCH(RAB!C100,'HARGA SATUAN'!$C$7:$C$1509,0),0)),0,OFFSET('HARGA SATUAN'!$I$6,MATCH(RAB!C100,'HARGA SATUAN'!$C$7:$C$1509,0),0))</f>
        <v>0</v>
      </c>
      <c r="H100" s="295">
        <f t="shared" ca="1" si="32"/>
        <v>0</v>
      </c>
      <c r="I100" s="295">
        <f t="shared" ca="1" si="33"/>
        <v>0</v>
      </c>
      <c r="J100" s="295">
        <f t="shared" ca="1" si="34"/>
        <v>0</v>
      </c>
      <c r="K100" s="296">
        <f t="shared" ca="1" si="35"/>
        <v>0</v>
      </c>
      <c r="L100" s="300"/>
      <c r="M100" s="300"/>
      <c r="N100" s="300"/>
      <c r="O100" s="297"/>
      <c r="P100" s="297"/>
      <c r="Q100" s="278"/>
      <c r="R100" s="270"/>
      <c r="S100" s="298"/>
      <c r="T100" s="275"/>
      <c r="U100" s="275"/>
      <c r="V100" s="275"/>
    </row>
    <row r="101" spans="1:22" s="301" customFormat="1" ht="36" customHeight="1">
      <c r="A101" s="270" t="e">
        <f>IF(AND(C54=0,C55=0,#REF!=0),"BLANKS",1)</f>
        <v>#REF!</v>
      </c>
      <c r="B101" s="495" t="s">
        <v>1039</v>
      </c>
      <c r="C101" s="496" t="s">
        <v>1625</v>
      </c>
      <c r="D101" s="292" t="str">
        <f ca="1">IF(ISERROR(OFFSET('HARGA SATUAN'!$D$6,MATCH(RAB!C101,'HARGA SATUAN'!$C$7:$C$1509,0),0)),"",OFFSET('HARGA SATUAN'!$D$6,MATCH(RAB!C101,'HARGA SATUAN'!$C$7:$C$1509,0),0))</f>
        <v/>
      </c>
      <c r="E101" s="293" t="str">
        <f ca="1">IF(B101="+","Unit",IF(ISERROR(OFFSET('HARGA SATUAN'!$E$6,MATCH(RAB!C101,'HARGA SATUAN'!$C$7:$C$1509,0),0)),"",OFFSET('HARGA SATUAN'!$E$6,MATCH(RAB!C101,'HARGA SATUAN'!$C$7:$C$1509,0),0)))</f>
        <v>Unit</v>
      </c>
      <c r="F101" s="406">
        <v>2</v>
      </c>
      <c r="G101" s="294">
        <f ca="1">IF(ISERROR(OFFSET('HARGA SATUAN'!$I$6,MATCH(RAB!C101,'HARGA SATUAN'!$C$7:$C$1509,0),0)),0,OFFSET('HARGA SATUAN'!$I$6,MATCH(RAB!C101,'HARGA SATUAN'!$C$7:$C$1509,0),0))</f>
        <v>0</v>
      </c>
      <c r="H101" s="295">
        <f t="shared" ca="1" si="32"/>
        <v>0</v>
      </c>
      <c r="I101" s="295">
        <f t="shared" ca="1" si="33"/>
        <v>0</v>
      </c>
      <c r="J101" s="295">
        <f t="shared" ca="1" si="34"/>
        <v>0</v>
      </c>
      <c r="K101" s="296">
        <f t="shared" ca="1" si="35"/>
        <v>0</v>
      </c>
      <c r="L101" s="300"/>
      <c r="M101" s="300"/>
      <c r="N101" s="300"/>
      <c r="O101" s="297"/>
      <c r="P101" s="297"/>
      <c r="Q101" s="278"/>
      <c r="R101" s="270"/>
      <c r="S101" s="298"/>
      <c r="T101" s="275"/>
      <c r="U101" s="275"/>
      <c r="V101" s="275"/>
    </row>
    <row r="102" spans="1:22" s="301" customFormat="1" ht="17.100000000000001" customHeight="1">
      <c r="A102" s="270" t="e">
        <f>IF(AND(C55=0,C56=0,#REF!=0),"BLANKS",1)</f>
        <v>#REF!</v>
      </c>
      <c r="B102" s="305">
        <v>1</v>
      </c>
      <c r="C102" s="497" t="s">
        <v>30</v>
      </c>
      <c r="D102" s="292" t="str">
        <f ca="1">IF(ISERROR(OFFSET('HARGA SATUAN'!$D$6,MATCH(RAB!C102,'HARGA SATUAN'!$C$7:$C$1509,0),0)),"",OFFSET('HARGA SATUAN'!$D$6,MATCH(RAB!C102,'HARGA SATUAN'!$C$7:$C$1509,0),0))</f>
        <v>HDW</v>
      </c>
      <c r="E102" s="293" t="str">
        <f ca="1">IF(B102="+","Unit",IF(ISERROR(OFFSET('HARGA SATUAN'!$E$6,MATCH(RAB!C102,'HARGA SATUAN'!$C$7:$C$1509,0),0)),"",OFFSET('HARGA SATUAN'!$E$6,MATCH(RAB!C102,'HARGA SATUAN'!$C$7:$C$1509,0),0)))</f>
        <v>Bh</v>
      </c>
      <c r="F102" s="406">
        <f>F101*1</f>
        <v>2</v>
      </c>
      <c r="G102" s="294">
        <f ca="1">IF(ISERROR(OFFSET('HARGA SATUAN'!$I$6,MATCH(RAB!C102,'HARGA SATUAN'!$C$7:$C$1509,0),0)),0,OFFSET('HARGA SATUAN'!$I$6,MATCH(RAB!C102,'HARGA SATUAN'!$C$7:$C$1509,0),0))</f>
        <v>47459</v>
      </c>
      <c r="H102" s="295">
        <f t="shared" ref="H102" ca="1" si="37">IF(OR(D102="MDU",D102="MDU-KD"),(IF($O$3="RAB NON MDU","PLN KD",G102*F102)),0)</f>
        <v>0</v>
      </c>
      <c r="I102" s="295">
        <f t="shared" ref="I102" ca="1" si="38">IF(D102="HDW",G102*F102,0)</f>
        <v>94918</v>
      </c>
      <c r="J102" s="295">
        <f t="shared" ref="J102" ca="1" si="39">IF(D102="JASA",G102*F102,0)</f>
        <v>0</v>
      </c>
      <c r="K102" s="296">
        <f t="shared" ref="K102" ca="1" si="40">SUM(H102:J102)</f>
        <v>94918</v>
      </c>
      <c r="L102" s="300"/>
      <c r="M102" s="300"/>
      <c r="N102" s="300"/>
      <c r="O102" s="297"/>
      <c r="P102" s="297"/>
      <c r="Q102" s="278"/>
      <c r="R102" s="270"/>
      <c r="S102" s="298"/>
      <c r="T102" s="275"/>
      <c r="U102" s="275"/>
      <c r="V102" s="275"/>
    </row>
    <row r="103" spans="1:22" s="301" customFormat="1" ht="17.100000000000001" customHeight="1">
      <c r="A103" s="270" t="e">
        <f>IF(AND(C56=0,C57=0,#REF!=0),"BLANKS",1)</f>
        <v>#REF!</v>
      </c>
      <c r="B103" s="305">
        <v>2</v>
      </c>
      <c r="C103" s="497" t="s">
        <v>32</v>
      </c>
      <c r="D103" s="292" t="str">
        <f ca="1">IF(ISERROR(OFFSET('HARGA SATUAN'!$D$6,MATCH(RAB!C103,'HARGA SATUAN'!$C$7:$C$1509,0),0)),"",OFFSET('HARGA SATUAN'!$D$6,MATCH(RAB!C103,'HARGA SATUAN'!$C$7:$C$1509,0),0))</f>
        <v>HDW</v>
      </c>
      <c r="E103" s="293" t="str">
        <f ca="1">IF(B103="+","Unit",IF(ISERROR(OFFSET('HARGA SATUAN'!$E$6,MATCH(RAB!C103,'HARGA SATUAN'!$C$7:$C$1509,0),0)),"",OFFSET('HARGA SATUAN'!$E$6,MATCH(RAB!C103,'HARGA SATUAN'!$C$7:$C$1509,0),0)))</f>
        <v>Mtr</v>
      </c>
      <c r="F103" s="406">
        <f>F101*1</f>
        <v>2</v>
      </c>
      <c r="G103" s="294">
        <f ca="1">IF(ISERROR(OFFSET('HARGA SATUAN'!$I$6,MATCH(RAB!C103,'HARGA SATUAN'!$C$7:$C$1509,0),0)),0,OFFSET('HARGA SATUAN'!$I$6,MATCH(RAB!C103,'HARGA SATUAN'!$C$7:$C$1509,0),0))</f>
        <v>30000</v>
      </c>
      <c r="H103" s="295">
        <f t="shared" ca="1" si="4"/>
        <v>0</v>
      </c>
      <c r="I103" s="295">
        <f t="shared" ca="1" si="5"/>
        <v>60000</v>
      </c>
      <c r="J103" s="295">
        <f t="shared" ca="1" si="6"/>
        <v>0</v>
      </c>
      <c r="K103" s="296">
        <f t="shared" ca="1" si="7"/>
        <v>60000</v>
      </c>
      <c r="L103" s="300"/>
      <c r="M103" s="300"/>
      <c r="N103" s="300"/>
      <c r="O103" s="297"/>
      <c r="P103" s="297"/>
      <c r="Q103" s="278"/>
      <c r="R103" s="270"/>
      <c r="S103" s="298"/>
      <c r="T103" s="275"/>
      <c r="U103" s="275"/>
      <c r="V103" s="275"/>
    </row>
    <row r="104" spans="1:22" s="301" customFormat="1" ht="17.100000000000001" customHeight="1">
      <c r="A104" s="270" t="e">
        <f>IF(AND(C57=0,#REF!=0,#REF!=0),"BLANKS",1)</f>
        <v>#REF!</v>
      </c>
      <c r="B104" s="305">
        <v>3</v>
      </c>
      <c r="C104" s="497" t="s">
        <v>33</v>
      </c>
      <c r="D104" s="292" t="str">
        <f ca="1">IF(ISERROR(OFFSET('HARGA SATUAN'!$D$6,MATCH(RAB!C104,'HARGA SATUAN'!$C$7:$C$1509,0),0)),"",OFFSET('HARGA SATUAN'!$D$6,MATCH(RAB!C104,'HARGA SATUAN'!$C$7:$C$1509,0),0))</f>
        <v>HDW</v>
      </c>
      <c r="E104" s="293" t="str">
        <f ca="1">IF(B104="+","Unit",IF(ISERROR(OFFSET('HARGA SATUAN'!$E$6,MATCH(RAB!C104,'HARGA SATUAN'!$C$7:$C$1509,0),0)),"",OFFSET('HARGA SATUAN'!$E$6,MATCH(RAB!C104,'HARGA SATUAN'!$C$7:$C$1509,0),0)))</f>
        <v>Bh</v>
      </c>
      <c r="F104" s="406">
        <f>F101*1</f>
        <v>2</v>
      </c>
      <c r="G104" s="294">
        <f ca="1">IF(ISERROR(OFFSET('HARGA SATUAN'!$I$6,MATCH(RAB!C104,'HARGA SATUAN'!$C$7:$C$1509,0),0)),0,OFFSET('HARGA SATUAN'!$I$6,MATCH(RAB!C104,'HARGA SATUAN'!$C$7:$C$1509,0),0))</f>
        <v>9500</v>
      </c>
      <c r="H104" s="295">
        <f t="shared" ref="H104:H135" ca="1" si="41">IF(OR(D104="MDU",D104="MDU-KD"),(IF($O$3="RAB NON MDU","PLN KD",G104*F104)),0)</f>
        <v>0</v>
      </c>
      <c r="I104" s="295">
        <f t="shared" ref="I104:I135" ca="1" si="42">IF(D104="HDW",G104*F104,0)</f>
        <v>19000</v>
      </c>
      <c r="J104" s="295">
        <f t="shared" ref="J104:J135" ca="1" si="43">IF(D104="JASA",G104*F104,0)</f>
        <v>0</v>
      </c>
      <c r="K104" s="296">
        <f t="shared" ref="K104:K135" ca="1" si="44">SUM(H104:J104)</f>
        <v>19000</v>
      </c>
      <c r="L104" s="300"/>
      <c r="M104" s="300"/>
      <c r="N104" s="300"/>
      <c r="O104" s="297"/>
      <c r="P104" s="297"/>
      <c r="Q104" s="278"/>
      <c r="R104" s="270"/>
      <c r="S104" s="298"/>
      <c r="T104" s="275"/>
      <c r="U104" s="275"/>
      <c r="V104" s="275"/>
    </row>
    <row r="105" spans="1:22" s="301" customFormat="1" ht="32.25" customHeight="1">
      <c r="A105" s="270">
        <f>IF(AND(C58=0,C59=0,C60=0),"BLANKS",1)</f>
        <v>1</v>
      </c>
      <c r="B105" s="305">
        <v>4</v>
      </c>
      <c r="C105" s="497" t="s">
        <v>742</v>
      </c>
      <c r="D105" s="292" t="str">
        <f ca="1">IF(ISERROR(OFFSET('HARGA SATUAN'!$D$6,MATCH(RAB!C105,'HARGA SATUAN'!$C$7:$C$1509,0),0)),"",OFFSET('HARGA SATUAN'!$D$6,MATCH(RAB!C105,'HARGA SATUAN'!$C$7:$C$1509,0),0))</f>
        <v>JASA</v>
      </c>
      <c r="E105" s="293" t="str">
        <f ca="1">IF(B105="+","Unit",IF(ISERROR(OFFSET('HARGA SATUAN'!$E$6,MATCH(RAB!C105,'HARGA SATUAN'!$C$7:$C$1509,0),0)),"",OFFSET('HARGA SATUAN'!$E$6,MATCH(RAB!C105,'HARGA SATUAN'!$C$7:$C$1509,0),0)))</f>
        <v>Unit</v>
      </c>
      <c r="F105" s="406">
        <f>F101*1</f>
        <v>2</v>
      </c>
      <c r="G105" s="294">
        <f ca="1">IF(ISERROR(OFFSET('HARGA SATUAN'!$I$6,MATCH(RAB!C105,'HARGA SATUAN'!$C$7:$C$1509,0),0)),0,OFFSET('HARGA SATUAN'!$I$6,MATCH(RAB!C105,'HARGA SATUAN'!$C$7:$C$1509,0),0))</f>
        <v>21200</v>
      </c>
      <c r="H105" s="295">
        <f t="shared" ca="1" si="41"/>
        <v>0</v>
      </c>
      <c r="I105" s="295">
        <f t="shared" ca="1" si="42"/>
        <v>0</v>
      </c>
      <c r="J105" s="295">
        <f t="shared" ca="1" si="43"/>
        <v>42400</v>
      </c>
      <c r="K105" s="296">
        <f t="shared" ca="1" si="44"/>
        <v>42400</v>
      </c>
      <c r="L105" s="300"/>
      <c r="M105" s="300"/>
      <c r="N105" s="300"/>
      <c r="O105" s="297"/>
      <c r="P105" s="297"/>
      <c r="Q105" s="278"/>
      <c r="R105" s="270"/>
      <c r="S105" s="298"/>
      <c r="T105" s="275"/>
      <c r="U105" s="275"/>
      <c r="V105" s="275"/>
    </row>
    <row r="106" spans="1:22" s="301" customFormat="1" ht="17.100000000000001" customHeight="1">
      <c r="A106" s="270">
        <f t="shared" ref="A106" si="45">IF(AND(C59=0,C60=0,C61=0),"BLANKS",1)</f>
        <v>1</v>
      </c>
      <c r="B106" s="305"/>
      <c r="C106" s="497"/>
      <c r="D106" s="292" t="str">
        <f ca="1">IF(ISERROR(OFFSET('HARGA SATUAN'!$D$6,MATCH(RAB!C106,'HARGA SATUAN'!$C$7:$C$1509,0),0)),"",OFFSET('HARGA SATUAN'!$D$6,MATCH(RAB!C106,'HARGA SATUAN'!$C$7:$C$1509,0),0))</f>
        <v/>
      </c>
      <c r="E106" s="293" t="str">
        <f ca="1">IF(B106="+","Unit",IF(ISERROR(OFFSET('HARGA SATUAN'!$E$6,MATCH(RAB!C106,'HARGA SATUAN'!$C$7:$C$1509,0),0)),"",OFFSET('HARGA SATUAN'!$E$6,MATCH(RAB!C106,'HARGA SATUAN'!$C$7:$C$1509,0),0)))</f>
        <v/>
      </c>
      <c r="F106" s="508"/>
      <c r="G106" s="294">
        <f ca="1">IF(ISERROR(OFFSET('HARGA SATUAN'!$I$6,MATCH(RAB!C106,'HARGA SATUAN'!$C$7:$C$1509,0),0)),0,OFFSET('HARGA SATUAN'!$I$6,MATCH(RAB!C106,'HARGA SATUAN'!$C$7:$C$1509,0),0))</f>
        <v>0</v>
      </c>
      <c r="H106" s="295">
        <f t="shared" ca="1" si="41"/>
        <v>0</v>
      </c>
      <c r="I106" s="295">
        <f t="shared" ca="1" si="42"/>
        <v>0</v>
      </c>
      <c r="J106" s="295">
        <f t="shared" ca="1" si="43"/>
        <v>0</v>
      </c>
      <c r="K106" s="296">
        <f t="shared" ca="1" si="44"/>
        <v>0</v>
      </c>
      <c r="L106" s="300"/>
      <c r="M106" s="300"/>
      <c r="N106" s="300"/>
      <c r="O106" s="297"/>
      <c r="P106" s="297"/>
      <c r="Q106" s="278"/>
      <c r="R106" s="270"/>
      <c r="S106" s="298"/>
      <c r="T106" s="275"/>
      <c r="U106" s="275"/>
      <c r="V106" s="275"/>
    </row>
    <row r="107" spans="1:22" s="301" customFormat="1" ht="17.100000000000001" customHeight="1">
      <c r="A107" s="270"/>
      <c r="B107" s="495" t="s">
        <v>1039</v>
      </c>
      <c r="C107" s="496" t="s">
        <v>1648</v>
      </c>
      <c r="D107" s="292" t="str">
        <f ca="1">IF(ISERROR(OFFSET('HARGA SATUAN'!$D$6,MATCH(RAB!C107,'HARGA SATUAN'!$C$7:$C$1509,0),0)),"",OFFSET('HARGA SATUAN'!$D$6,MATCH(RAB!C107,'HARGA SATUAN'!$C$7:$C$1509,0),0))</f>
        <v/>
      </c>
      <c r="E107" s="293" t="str">
        <f ca="1">IF(B107="+","Unit",IF(ISERROR(OFFSET('HARGA SATUAN'!$E$6,MATCH(RAB!C107,'HARGA SATUAN'!$C$7:$C$1509,0),0)),"",OFFSET('HARGA SATUAN'!$E$6,MATCH(RAB!C107,'HARGA SATUAN'!$C$7:$C$1509,0),0)))</f>
        <v>Unit</v>
      </c>
      <c r="F107" s="406">
        <v>1</v>
      </c>
      <c r="G107" s="294">
        <f ca="1">IF(ISERROR(OFFSET('HARGA SATUAN'!$I$6,MATCH(RAB!C107,'HARGA SATUAN'!$C$7:$C$1509,0),0)),0,OFFSET('HARGA SATUAN'!$I$6,MATCH(RAB!C107,'HARGA SATUAN'!$C$7:$C$1509,0),0))</f>
        <v>0</v>
      </c>
      <c r="H107" s="295">
        <f t="shared" ref="H107:H128" ca="1" si="46">IF(OR(D107="MDU",D107="MDU-KD"),(IF($O$3="RAB NON MDU","PLN KD",G107*F107)),0)</f>
        <v>0</v>
      </c>
      <c r="I107" s="295">
        <f t="shared" ref="I107:I128" ca="1" si="47">IF(D107="HDW",G107*F107,0)</f>
        <v>0</v>
      </c>
      <c r="J107" s="295">
        <f t="shared" ref="J107:J128" ca="1" si="48">IF(D107="JASA",G107*F107,0)</f>
        <v>0</v>
      </c>
      <c r="K107" s="296">
        <f t="shared" ref="K107:K128" ca="1" si="49">SUM(H107:J107)</f>
        <v>0</v>
      </c>
      <c r="L107" s="300"/>
      <c r="M107" s="300"/>
      <c r="N107" s="300"/>
      <c r="O107" s="297"/>
      <c r="P107" s="297"/>
      <c r="Q107" s="278"/>
      <c r="R107" s="270"/>
      <c r="S107" s="298"/>
      <c r="T107" s="275"/>
      <c r="U107" s="275"/>
      <c r="V107" s="275"/>
    </row>
    <row r="108" spans="1:22" s="301" customFormat="1" ht="17.100000000000001" customHeight="1">
      <c r="A108" s="270" t="e">
        <f>IF(AND(C61=0,C62=0,#REF!=0),"BLANKS",1)</f>
        <v>#REF!</v>
      </c>
      <c r="B108" s="305">
        <v>1</v>
      </c>
      <c r="C108" s="497" t="s">
        <v>28</v>
      </c>
      <c r="D108" s="292" t="str">
        <f ca="1">IF(ISERROR(OFFSET('HARGA SATUAN'!$D$6,MATCH(RAB!C108,'HARGA SATUAN'!$C$7:$C$1509,0),0)),"",OFFSET('HARGA SATUAN'!$D$6,MATCH(RAB!C108,'HARGA SATUAN'!$C$7:$C$1509,0),0))</f>
        <v>HDW</v>
      </c>
      <c r="E108" s="293" t="str">
        <f ca="1">IF(B108="+","Unit",IF(ISERROR(OFFSET('HARGA SATUAN'!$E$6,MATCH(RAB!C108,'HARGA SATUAN'!$C$7:$C$1509,0),0)),"",OFFSET('HARGA SATUAN'!$E$6,MATCH(RAB!C108,'HARGA SATUAN'!$C$7:$C$1509,0),0)))</f>
        <v>Bh</v>
      </c>
      <c r="F108" s="406">
        <f>F107*1</f>
        <v>1</v>
      </c>
      <c r="G108" s="294">
        <f ca="1">IF(ISERROR(OFFSET('HARGA SATUAN'!$I$6,MATCH(RAB!C108,'HARGA SATUAN'!$C$7:$C$1509,0),0)),0,OFFSET('HARGA SATUAN'!$I$6,MATCH(RAB!C108,'HARGA SATUAN'!$C$7:$C$1509,0),0))</f>
        <v>26500</v>
      </c>
      <c r="H108" s="295">
        <f t="shared" ca="1" si="46"/>
        <v>0</v>
      </c>
      <c r="I108" s="295">
        <f t="shared" ca="1" si="47"/>
        <v>26500</v>
      </c>
      <c r="J108" s="295">
        <f t="shared" ca="1" si="48"/>
        <v>0</v>
      </c>
      <c r="K108" s="296">
        <f t="shared" ca="1" si="49"/>
        <v>26500</v>
      </c>
      <c r="L108" s="300"/>
      <c r="M108" s="300"/>
      <c r="N108" s="300"/>
      <c r="O108" s="297"/>
      <c r="P108" s="297"/>
      <c r="Q108" s="278"/>
      <c r="R108" s="270"/>
      <c r="S108" s="298"/>
      <c r="T108" s="275"/>
      <c r="U108" s="275"/>
      <c r="V108" s="275"/>
    </row>
    <row r="109" spans="1:22" s="301" customFormat="1" ht="17.100000000000001" customHeight="1">
      <c r="A109" s="270" t="e">
        <f>IF(AND(C62=0,C63=0,#REF!=0),"BLANKS",1)</f>
        <v>#REF!</v>
      </c>
      <c r="B109" s="305">
        <v>2</v>
      </c>
      <c r="C109" s="497" t="s">
        <v>206</v>
      </c>
      <c r="D109" s="292" t="str">
        <f ca="1">IF(ISERROR(OFFSET('HARGA SATUAN'!$D$6,MATCH(RAB!C109,'HARGA SATUAN'!$C$7:$C$1509,0),0)),"",OFFSET('HARGA SATUAN'!$D$6,MATCH(RAB!C109,'HARGA SATUAN'!$C$7:$C$1509,0),0))</f>
        <v>HDW</v>
      </c>
      <c r="E109" s="293" t="str">
        <f ca="1">IF(B109="+","Unit",IF(ISERROR(OFFSET('HARGA SATUAN'!$E$6,MATCH(RAB!C109,'HARGA SATUAN'!$C$7:$C$1509,0),0)),"",OFFSET('HARGA SATUAN'!$E$6,MATCH(RAB!C109,'HARGA SATUAN'!$C$7:$C$1509,0),0)))</f>
        <v>Bh</v>
      </c>
      <c r="F109" s="406">
        <f>F107*1</f>
        <v>1</v>
      </c>
      <c r="G109" s="294">
        <f ca="1">IF(ISERROR(OFFSET('HARGA SATUAN'!$I$6,MATCH(RAB!C109,'HARGA SATUAN'!$C$7:$C$1509,0),0)),0,OFFSET('HARGA SATUAN'!$I$6,MATCH(RAB!C109,'HARGA SATUAN'!$C$7:$C$1509,0),0))</f>
        <v>12500</v>
      </c>
      <c r="H109" s="295">
        <f t="shared" ca="1" si="46"/>
        <v>0</v>
      </c>
      <c r="I109" s="295">
        <f t="shared" ca="1" si="47"/>
        <v>12500</v>
      </c>
      <c r="J109" s="295">
        <f t="shared" ca="1" si="48"/>
        <v>0</v>
      </c>
      <c r="K109" s="296">
        <f t="shared" ca="1" si="49"/>
        <v>12500</v>
      </c>
      <c r="L109" s="300"/>
      <c r="M109" s="300"/>
      <c r="N109" s="300"/>
      <c r="O109" s="297"/>
      <c r="P109" s="297"/>
      <c r="Q109" s="278"/>
      <c r="R109" s="270"/>
      <c r="S109" s="298"/>
      <c r="T109" s="275"/>
      <c r="U109" s="275"/>
      <c r="V109" s="275"/>
    </row>
    <row r="110" spans="1:22" s="301" customFormat="1" ht="17.100000000000001" customHeight="1">
      <c r="A110" s="270" t="e">
        <f>IF(AND(C70=0,#REF!=0,#REF!=0),"BLANKS",1)</f>
        <v>#REF!</v>
      </c>
      <c r="B110" s="305">
        <v>3</v>
      </c>
      <c r="C110" s="497" t="s">
        <v>208</v>
      </c>
      <c r="D110" s="292" t="str">
        <f ca="1">IF(ISERROR(OFFSET('HARGA SATUAN'!$D$6,MATCH(RAB!C110,'HARGA SATUAN'!$C$7:$C$1509,0),0)),"",OFFSET('HARGA SATUAN'!$D$6,MATCH(RAB!C110,'HARGA SATUAN'!$C$7:$C$1509,0),0))</f>
        <v>HDW</v>
      </c>
      <c r="E110" s="293" t="str">
        <f ca="1">IF(B110="+","Unit",IF(ISERROR(OFFSET('HARGA SATUAN'!$E$6,MATCH(RAB!C110,'HARGA SATUAN'!$C$7:$C$1509,0),0)),"",OFFSET('HARGA SATUAN'!$E$6,MATCH(RAB!C110,'HARGA SATUAN'!$C$7:$C$1509,0),0)))</f>
        <v>Mtr</v>
      </c>
      <c r="F110" s="406">
        <f>F107*12</f>
        <v>12</v>
      </c>
      <c r="G110" s="294">
        <f ca="1">IF(ISERROR(OFFSET('HARGA SATUAN'!$I$6,MATCH(RAB!C110,'HARGA SATUAN'!$C$7:$C$1509,0),0)),0,OFFSET('HARGA SATUAN'!$I$6,MATCH(RAB!C110,'HARGA SATUAN'!$C$7:$C$1509,0),0))</f>
        <v>24300</v>
      </c>
      <c r="H110" s="295">
        <f t="shared" ca="1" si="46"/>
        <v>0</v>
      </c>
      <c r="I110" s="295">
        <f t="shared" ca="1" si="47"/>
        <v>291600</v>
      </c>
      <c r="J110" s="295">
        <f t="shared" ca="1" si="48"/>
        <v>0</v>
      </c>
      <c r="K110" s="296">
        <f t="shared" ca="1" si="49"/>
        <v>291600</v>
      </c>
      <c r="L110" s="300"/>
      <c r="M110" s="300"/>
      <c r="N110" s="300"/>
      <c r="O110" s="297"/>
      <c r="P110" s="297"/>
      <c r="Q110" s="278"/>
      <c r="R110" s="270"/>
      <c r="S110" s="298"/>
      <c r="T110" s="275"/>
      <c r="U110" s="275"/>
      <c r="V110" s="275"/>
    </row>
    <row r="111" spans="1:22" s="301" customFormat="1" ht="21" customHeight="1">
      <c r="A111" s="270">
        <f>IF(AND(C71=0,C72=0,C73=0),"BLANKS",1)</f>
        <v>1</v>
      </c>
      <c r="B111" s="305">
        <v>4</v>
      </c>
      <c r="C111" s="497" t="s">
        <v>290</v>
      </c>
      <c r="D111" s="292" t="str">
        <f ca="1">IF(ISERROR(OFFSET('HARGA SATUAN'!$D$6,MATCH(RAB!C111,'HARGA SATUAN'!$C$7:$C$1509,0),0)),"",OFFSET('HARGA SATUAN'!$D$6,MATCH(RAB!C111,'HARGA SATUAN'!$C$7:$C$1509,0),0))</f>
        <v>HDW</v>
      </c>
      <c r="E111" s="293" t="str">
        <f ca="1">IF(B111="+","Unit",IF(ISERROR(OFFSET('HARGA SATUAN'!$E$6,MATCH(RAB!C111,'HARGA SATUAN'!$C$7:$C$1509,0),0)),"",OFFSET('HARGA SATUAN'!$E$6,MATCH(RAB!C111,'HARGA SATUAN'!$C$7:$C$1509,0),0)))</f>
        <v>Bh</v>
      </c>
      <c r="F111" s="406">
        <f>F107*2</f>
        <v>2</v>
      </c>
      <c r="G111" s="294">
        <f ca="1">IF(ISERROR(OFFSET('HARGA SATUAN'!$I$6,MATCH(RAB!C111,'HARGA SATUAN'!$C$7:$C$1509,0),0)),0,OFFSET('HARGA SATUAN'!$I$6,MATCH(RAB!C111,'HARGA SATUAN'!$C$7:$C$1509,0),0))</f>
        <v>40000</v>
      </c>
      <c r="H111" s="295">
        <f t="shared" ca="1" si="46"/>
        <v>0</v>
      </c>
      <c r="I111" s="295">
        <f t="shared" ca="1" si="47"/>
        <v>80000</v>
      </c>
      <c r="J111" s="295">
        <f t="shared" ca="1" si="48"/>
        <v>0</v>
      </c>
      <c r="K111" s="296">
        <f t="shared" ca="1" si="49"/>
        <v>80000</v>
      </c>
      <c r="L111" s="300"/>
      <c r="M111" s="300"/>
      <c r="N111" s="300"/>
      <c r="O111" s="297"/>
      <c r="P111" s="297"/>
      <c r="Q111" s="278"/>
      <c r="R111" s="270"/>
      <c r="S111" s="298"/>
      <c r="T111" s="275"/>
      <c r="U111" s="275"/>
      <c r="V111" s="275"/>
    </row>
    <row r="112" spans="1:22" s="301" customFormat="1" ht="17.100000000000001" customHeight="1">
      <c r="A112" s="270" t="e">
        <f>IF(AND(C72=0,C73=0,#REF!=0),"BLANKS",1)</f>
        <v>#REF!</v>
      </c>
      <c r="B112" s="495">
        <v>5</v>
      </c>
      <c r="C112" s="496" t="s">
        <v>26</v>
      </c>
      <c r="D112" s="292" t="str">
        <f ca="1">IF(ISERROR(OFFSET('HARGA SATUAN'!$D$6,MATCH(RAB!C112,'HARGA SATUAN'!$C$7:$C$1509,0),0)),"",OFFSET('HARGA SATUAN'!$D$6,MATCH(RAB!C112,'HARGA SATUAN'!$C$7:$C$1509,0),0))</f>
        <v>HDW</v>
      </c>
      <c r="E112" s="293" t="str">
        <f ca="1">IF(B112="+","Unit",IF(ISERROR(OFFSET('HARGA SATUAN'!$E$6,MATCH(RAB!C112,'HARGA SATUAN'!$C$7:$C$1509,0),0)),"",OFFSET('HARGA SATUAN'!$E$6,MATCH(RAB!C112,'HARGA SATUAN'!$C$7:$C$1509,0),0)))</f>
        <v>Bh</v>
      </c>
      <c r="F112" s="406">
        <f>F107*1</f>
        <v>1</v>
      </c>
      <c r="G112" s="294">
        <f ca="1">IF(ISERROR(OFFSET('HARGA SATUAN'!$I$6,MATCH(RAB!C112,'HARGA SATUAN'!$C$7:$C$1509,0),0)),0,OFFSET('HARGA SATUAN'!$I$6,MATCH(RAB!C112,'HARGA SATUAN'!$C$7:$C$1509,0),0))</f>
        <v>2500</v>
      </c>
      <c r="H112" s="295">
        <f t="shared" ca="1" si="46"/>
        <v>0</v>
      </c>
      <c r="I112" s="295">
        <f t="shared" ca="1" si="47"/>
        <v>2500</v>
      </c>
      <c r="J112" s="295">
        <f t="shared" ca="1" si="48"/>
        <v>0</v>
      </c>
      <c r="K112" s="296">
        <f t="shared" ca="1" si="49"/>
        <v>2500</v>
      </c>
      <c r="L112" s="300"/>
      <c r="M112" s="300"/>
      <c r="N112" s="300"/>
      <c r="O112" s="297"/>
      <c r="P112" s="297"/>
      <c r="Q112" s="278"/>
      <c r="R112" s="270"/>
      <c r="S112" s="298"/>
      <c r="T112" s="275"/>
      <c r="U112" s="275"/>
      <c r="V112" s="275"/>
    </row>
    <row r="113" spans="1:22" s="301" customFormat="1" ht="17.100000000000001" customHeight="1">
      <c r="A113" s="270"/>
      <c r="B113" s="305">
        <v>6</v>
      </c>
      <c r="C113" s="497" t="s">
        <v>763</v>
      </c>
      <c r="D113" s="292" t="str">
        <f ca="1">IF(ISERROR(OFFSET('HARGA SATUAN'!$D$6,MATCH(RAB!C113,'HARGA SATUAN'!$C$7:$C$1509,0),0)),"",OFFSET('HARGA SATUAN'!$D$6,MATCH(RAB!C113,'HARGA SATUAN'!$C$7:$C$1509,0),0))</f>
        <v>JASA</v>
      </c>
      <c r="E113" s="293" t="str">
        <f ca="1">IF(B113="+","Unit",IF(ISERROR(OFFSET('HARGA SATUAN'!$E$6,MATCH(RAB!C113,'HARGA SATUAN'!$C$7:$C$1509,0),0)),"",OFFSET('HARGA SATUAN'!$E$6,MATCH(RAB!C113,'HARGA SATUAN'!$C$7:$C$1509,0),0)))</f>
        <v>Unit</v>
      </c>
      <c r="F113" s="406">
        <f>F107*1</f>
        <v>1</v>
      </c>
      <c r="G113" s="294">
        <f ca="1">IF(ISERROR(OFFSET('HARGA SATUAN'!$I$6,MATCH(RAB!C113,'HARGA SATUAN'!$C$7:$C$1509,0),0)),0,OFFSET('HARGA SATUAN'!$I$6,MATCH(RAB!C113,'HARGA SATUAN'!$C$7:$C$1509,0),0))</f>
        <v>43500</v>
      </c>
      <c r="H113" s="295">
        <f t="shared" ca="1" si="46"/>
        <v>0</v>
      </c>
      <c r="I113" s="295">
        <f t="shared" ca="1" si="47"/>
        <v>0</v>
      </c>
      <c r="J113" s="295">
        <f t="shared" ca="1" si="48"/>
        <v>43500</v>
      </c>
      <c r="K113" s="296">
        <f t="shared" ca="1" si="49"/>
        <v>43500</v>
      </c>
      <c r="L113" s="300"/>
      <c r="M113" s="300"/>
      <c r="N113" s="300"/>
      <c r="O113" s="297"/>
      <c r="P113" s="297"/>
      <c r="Q113" s="278"/>
      <c r="R113" s="270"/>
      <c r="S113" s="298"/>
      <c r="T113" s="275"/>
      <c r="U113" s="275"/>
      <c r="V113" s="275"/>
    </row>
    <row r="114" spans="1:22" s="301" customFormat="1" ht="17.100000000000001" customHeight="1">
      <c r="A114" s="270" t="e">
        <f>IF(AND(#REF!=0,#REF!=0,#REF!=0),"BLANKS",1)</f>
        <v>#REF!</v>
      </c>
      <c r="B114" s="495"/>
      <c r="C114" s="496"/>
      <c r="D114" s="292" t="str">
        <f ca="1">IF(ISERROR(OFFSET('HARGA SATUAN'!$D$6,MATCH(RAB!C114,'HARGA SATUAN'!$C$7:$C$1509,0),0)),"",OFFSET('HARGA SATUAN'!$D$6,MATCH(RAB!C114,'HARGA SATUAN'!$C$7:$C$1509,0),0))</f>
        <v/>
      </c>
      <c r="E114" s="293" t="str">
        <f ca="1">IF(B114="+","Unit",IF(ISERROR(OFFSET('HARGA SATUAN'!$E$6,MATCH(RAB!C114,'HARGA SATUAN'!$C$7:$C$1509,0),0)),"",OFFSET('HARGA SATUAN'!$E$6,MATCH(RAB!C114,'HARGA SATUAN'!$C$7:$C$1509,0),0)))</f>
        <v/>
      </c>
      <c r="F114" s="406"/>
      <c r="G114" s="294">
        <f ca="1">IF(ISERROR(OFFSET('HARGA SATUAN'!$I$6,MATCH(RAB!C114,'HARGA SATUAN'!$C$7:$C$1509,0),0)),0,OFFSET('HARGA SATUAN'!$I$6,MATCH(RAB!C114,'HARGA SATUAN'!$C$7:$C$1509,0),0))</f>
        <v>0</v>
      </c>
      <c r="H114" s="295">
        <f t="shared" ref="H114:H127" ca="1" si="50">IF(OR(D114="MDU",D114="MDU-KD"),(IF($O$3="RAB NON MDU","PLN KD",G114*F114)),0)</f>
        <v>0</v>
      </c>
      <c r="I114" s="295">
        <f t="shared" ref="I114:I127" ca="1" si="51">IF(D114="HDW",G114*F114,0)</f>
        <v>0</v>
      </c>
      <c r="J114" s="295">
        <f t="shared" ref="J114:J127" ca="1" si="52">IF(D114="JASA",G114*F114,0)</f>
        <v>0</v>
      </c>
      <c r="K114" s="296">
        <f t="shared" ref="K114:K127" ca="1" si="53">SUM(H114:J114)</f>
        <v>0</v>
      </c>
      <c r="L114" s="300"/>
      <c r="M114" s="300"/>
      <c r="N114" s="300"/>
      <c r="O114" s="297"/>
      <c r="P114" s="297"/>
      <c r="Q114" s="278"/>
      <c r="R114" s="270"/>
      <c r="S114" s="298"/>
      <c r="T114" s="275"/>
      <c r="U114" s="275"/>
      <c r="V114" s="275"/>
    </row>
    <row r="115" spans="1:22" s="301" customFormat="1" ht="17.100000000000001" customHeight="1">
      <c r="A115" s="270" t="e">
        <f>IF(AND(#REF!=0,#REF!=0,#REF!=0),"BLANKS",1)</f>
        <v>#REF!</v>
      </c>
      <c r="B115" s="517" t="s">
        <v>1039</v>
      </c>
      <c r="C115" s="518" t="s">
        <v>1653</v>
      </c>
      <c r="D115" s="292" t="str">
        <f ca="1">IF(ISERROR(OFFSET('HARGA SATUAN'!$D$6,MATCH(RAB!C115,'HARGA SATUAN'!$C$7:$C$1509,0),0)),"",OFFSET('HARGA SATUAN'!$D$6,MATCH(RAB!C115,'HARGA SATUAN'!$C$7:$C$1509,0),0))</f>
        <v/>
      </c>
      <c r="E115" s="293" t="str">
        <f ca="1">IF(B115="+","Unit",IF(ISERROR(OFFSET('HARGA SATUAN'!$E$6,MATCH(RAB!C115,'HARGA SATUAN'!$C$7:$C$1509,0),0)),"",OFFSET('HARGA SATUAN'!$E$6,MATCH(RAB!C115,'HARGA SATUAN'!$C$7:$C$1509,0),0)))</f>
        <v>Unit</v>
      </c>
      <c r="F115" s="406">
        <v>1</v>
      </c>
      <c r="G115" s="294">
        <f ca="1">IF(ISERROR(OFFSET('HARGA SATUAN'!$I$6,MATCH(RAB!C115,'HARGA SATUAN'!$C$7:$C$1509,0),0)),0,OFFSET('HARGA SATUAN'!$I$6,MATCH(RAB!C115,'HARGA SATUAN'!$C$7:$C$1509,0),0))</f>
        <v>0</v>
      </c>
      <c r="H115" s="295">
        <f t="shared" ca="1" si="50"/>
        <v>0</v>
      </c>
      <c r="I115" s="295">
        <f t="shared" ca="1" si="51"/>
        <v>0</v>
      </c>
      <c r="J115" s="295">
        <f t="shared" ca="1" si="52"/>
        <v>0</v>
      </c>
      <c r="K115" s="296">
        <f t="shared" ca="1" si="53"/>
        <v>0</v>
      </c>
      <c r="L115" s="300"/>
      <c r="M115" s="300"/>
      <c r="N115" s="300"/>
      <c r="O115" s="297"/>
      <c r="P115" s="297"/>
      <c r="Q115" s="278"/>
      <c r="R115" s="270"/>
      <c r="S115" s="298"/>
      <c r="T115" s="275"/>
      <c r="U115" s="275"/>
      <c r="V115" s="275"/>
    </row>
    <row r="116" spans="1:22" s="301" customFormat="1" ht="17.100000000000001" customHeight="1">
      <c r="A116" s="270" t="e">
        <f>IF(AND(#REF!=0,C81=0,#REF!=0),"BLANKS",1)</f>
        <v>#REF!</v>
      </c>
      <c r="B116" s="517">
        <v>1</v>
      </c>
      <c r="C116" s="518" t="s">
        <v>28</v>
      </c>
      <c r="D116" s="292" t="str">
        <f ca="1">IF(ISERROR(OFFSET('HARGA SATUAN'!$D$6,MATCH(RAB!C116,'HARGA SATUAN'!$C$7:$C$1509,0),0)),"",OFFSET('HARGA SATUAN'!$D$6,MATCH(RAB!C116,'HARGA SATUAN'!$C$7:$C$1509,0),0))</f>
        <v>HDW</v>
      </c>
      <c r="E116" s="293" t="str">
        <f ca="1">IF(B116="+","Unit",IF(ISERROR(OFFSET('HARGA SATUAN'!$E$6,MATCH(RAB!C116,'HARGA SATUAN'!$C$7:$C$1509,0),0)),"",OFFSET('HARGA SATUAN'!$E$6,MATCH(RAB!C116,'HARGA SATUAN'!$C$7:$C$1509,0),0)))</f>
        <v>Bh</v>
      </c>
      <c r="F116" s="406">
        <f>F115*1</f>
        <v>1</v>
      </c>
      <c r="G116" s="294">
        <f ca="1">IF(ISERROR(OFFSET('HARGA SATUAN'!$I$6,MATCH(RAB!C116,'HARGA SATUAN'!$C$7:$C$1509,0),0)),0,OFFSET('HARGA SATUAN'!$I$6,MATCH(RAB!C116,'HARGA SATUAN'!$C$7:$C$1509,0),0))</f>
        <v>26500</v>
      </c>
      <c r="H116" s="295">
        <f t="shared" ca="1" si="50"/>
        <v>0</v>
      </c>
      <c r="I116" s="295">
        <f t="shared" ca="1" si="51"/>
        <v>26500</v>
      </c>
      <c r="J116" s="295">
        <f t="shared" ca="1" si="52"/>
        <v>0</v>
      </c>
      <c r="K116" s="296">
        <f t="shared" ca="1" si="53"/>
        <v>26500</v>
      </c>
      <c r="L116" s="300"/>
      <c r="M116" s="300"/>
      <c r="N116" s="300"/>
      <c r="O116" s="297"/>
      <c r="P116" s="297"/>
      <c r="Q116" s="278"/>
      <c r="R116" s="270"/>
      <c r="S116" s="298"/>
      <c r="T116" s="275"/>
      <c r="U116" s="275"/>
      <c r="V116" s="275"/>
    </row>
    <row r="117" spans="1:22" s="301" customFormat="1" ht="17.100000000000001" customHeight="1">
      <c r="A117" s="270" t="e">
        <f>IF(AND(C81=0,#REF!=0,#REF!=0),"BLANKS",1)</f>
        <v>#REF!</v>
      </c>
      <c r="B117" s="517">
        <v>2</v>
      </c>
      <c r="C117" s="518" t="s">
        <v>206</v>
      </c>
      <c r="D117" s="292" t="str">
        <f ca="1">IF(ISERROR(OFFSET('HARGA SATUAN'!$D$6,MATCH(RAB!C117,'HARGA SATUAN'!$C$7:$C$1509,0),0)),"",OFFSET('HARGA SATUAN'!$D$6,MATCH(RAB!C117,'HARGA SATUAN'!$C$7:$C$1509,0),0))</f>
        <v>HDW</v>
      </c>
      <c r="E117" s="293" t="str">
        <f ca="1">IF(B117="+","Unit",IF(ISERROR(OFFSET('HARGA SATUAN'!$E$6,MATCH(RAB!C117,'HARGA SATUAN'!$C$7:$C$1509,0),0)),"",OFFSET('HARGA SATUAN'!$E$6,MATCH(RAB!C117,'HARGA SATUAN'!$C$7:$C$1509,0),0)))</f>
        <v>Bh</v>
      </c>
      <c r="F117" s="406">
        <f>F115*1</f>
        <v>1</v>
      </c>
      <c r="G117" s="294">
        <f ca="1">IF(ISERROR(OFFSET('HARGA SATUAN'!$I$6,MATCH(RAB!C117,'HARGA SATUAN'!$C$7:$C$1509,0),0)),0,OFFSET('HARGA SATUAN'!$I$6,MATCH(RAB!C117,'HARGA SATUAN'!$C$7:$C$1509,0),0))</f>
        <v>12500</v>
      </c>
      <c r="H117" s="295">
        <f t="shared" ca="1" si="50"/>
        <v>0</v>
      </c>
      <c r="I117" s="295">
        <f t="shared" ca="1" si="51"/>
        <v>12500</v>
      </c>
      <c r="J117" s="295">
        <f t="shared" ca="1" si="52"/>
        <v>0</v>
      </c>
      <c r="K117" s="296">
        <f t="shared" ca="1" si="53"/>
        <v>12500</v>
      </c>
      <c r="L117" s="300"/>
      <c r="M117" s="300"/>
      <c r="N117" s="300"/>
      <c r="O117" s="297"/>
      <c r="P117" s="297"/>
      <c r="Q117" s="278"/>
      <c r="R117" s="270"/>
      <c r="S117" s="298"/>
      <c r="T117" s="275"/>
      <c r="U117" s="275"/>
      <c r="V117" s="275"/>
    </row>
    <row r="118" spans="1:22" s="301" customFormat="1" ht="17.100000000000001" customHeight="1">
      <c r="A118" s="270" t="e">
        <f>IF(AND(C82=0,C83=0,#REF!=0),"BLANKS",1)</f>
        <v>#REF!</v>
      </c>
      <c r="B118" s="517">
        <v>3</v>
      </c>
      <c r="C118" s="518" t="s">
        <v>209</v>
      </c>
      <c r="D118" s="292" t="str">
        <f ca="1">IF(ISERROR(OFFSET('HARGA SATUAN'!$D$6,MATCH(RAB!C118,'HARGA SATUAN'!$C$7:$C$1509,0),0)),"",OFFSET('HARGA SATUAN'!$D$6,MATCH(RAB!C118,'HARGA SATUAN'!$C$7:$C$1509,0),0))</f>
        <v>HDW</v>
      </c>
      <c r="E118" s="293" t="str">
        <f ca="1">IF(B118="+","Unit",IF(ISERROR(OFFSET('HARGA SATUAN'!$E$6,MATCH(RAB!C118,'HARGA SATUAN'!$C$7:$C$1509,0),0)),"",OFFSET('HARGA SATUAN'!$E$6,MATCH(RAB!C118,'HARGA SATUAN'!$C$7:$C$1509,0),0)))</f>
        <v>Mtr</v>
      </c>
      <c r="F118" s="406">
        <f>F115*12</f>
        <v>12</v>
      </c>
      <c r="G118" s="294">
        <f ca="1">IF(ISERROR(OFFSET('HARGA SATUAN'!$I$6,MATCH(RAB!C118,'HARGA SATUAN'!$C$7:$C$1509,0),0)),0,OFFSET('HARGA SATUAN'!$I$6,MATCH(RAB!C118,'HARGA SATUAN'!$C$7:$C$1509,0),0))</f>
        <v>39204</v>
      </c>
      <c r="H118" s="295">
        <f t="shared" ca="1" si="50"/>
        <v>0</v>
      </c>
      <c r="I118" s="295">
        <f t="shared" ca="1" si="51"/>
        <v>470448</v>
      </c>
      <c r="J118" s="295">
        <f t="shared" ca="1" si="52"/>
        <v>0</v>
      </c>
      <c r="K118" s="296">
        <f t="shared" ca="1" si="53"/>
        <v>470448</v>
      </c>
      <c r="L118" s="300"/>
      <c r="M118" s="300"/>
      <c r="N118" s="300"/>
      <c r="O118" s="297"/>
      <c r="P118" s="297"/>
      <c r="Q118" s="278"/>
      <c r="R118" s="270"/>
      <c r="S118" s="298"/>
      <c r="T118" s="275"/>
      <c r="U118" s="275"/>
      <c r="V118" s="275"/>
    </row>
    <row r="119" spans="1:22" s="301" customFormat="1" ht="17.100000000000001" customHeight="1">
      <c r="A119" s="270" t="e">
        <f>IF(AND(C83=0,C143=0,#REF!=0),"BLANKS",1)</f>
        <v>#REF!</v>
      </c>
      <c r="B119" s="517">
        <v>4</v>
      </c>
      <c r="C119" s="518" t="s">
        <v>290</v>
      </c>
      <c r="D119" s="292" t="str">
        <f ca="1">IF(ISERROR(OFFSET('HARGA SATUAN'!$D$6,MATCH(RAB!C119,'HARGA SATUAN'!$C$7:$C$1509,0),0)),"",OFFSET('HARGA SATUAN'!$D$6,MATCH(RAB!C119,'HARGA SATUAN'!$C$7:$C$1509,0),0))</f>
        <v>HDW</v>
      </c>
      <c r="E119" s="293" t="str">
        <f ca="1">IF(B119="+","Unit",IF(ISERROR(OFFSET('HARGA SATUAN'!$E$6,MATCH(RAB!C119,'HARGA SATUAN'!$C$7:$C$1509,0),0)),"",OFFSET('HARGA SATUAN'!$E$6,MATCH(RAB!C119,'HARGA SATUAN'!$C$7:$C$1509,0),0)))</f>
        <v>Bh</v>
      </c>
      <c r="F119" s="406">
        <f>F115*2</f>
        <v>2</v>
      </c>
      <c r="G119" s="294">
        <f ca="1">IF(ISERROR(OFFSET('HARGA SATUAN'!$I$6,MATCH(RAB!C119,'HARGA SATUAN'!$C$7:$C$1509,0),0)),0,OFFSET('HARGA SATUAN'!$I$6,MATCH(RAB!C119,'HARGA SATUAN'!$C$7:$C$1509,0),0))</f>
        <v>40000</v>
      </c>
      <c r="H119" s="295">
        <f t="shared" ca="1" si="50"/>
        <v>0</v>
      </c>
      <c r="I119" s="295">
        <f t="shared" ca="1" si="51"/>
        <v>80000</v>
      </c>
      <c r="J119" s="295">
        <f t="shared" ca="1" si="52"/>
        <v>0</v>
      </c>
      <c r="K119" s="296">
        <f t="shared" ca="1" si="53"/>
        <v>80000</v>
      </c>
      <c r="L119" s="300"/>
      <c r="M119" s="300"/>
      <c r="N119" s="300"/>
      <c r="O119" s="297"/>
      <c r="P119" s="297"/>
      <c r="Q119" s="278"/>
      <c r="R119" s="270"/>
      <c r="S119" s="298"/>
      <c r="T119" s="275"/>
      <c r="U119" s="275"/>
      <c r="V119" s="275"/>
    </row>
    <row r="120" spans="1:22" s="301" customFormat="1" ht="32.25" customHeight="1">
      <c r="A120" s="270">
        <f>IF(AND(C84=0,C85=0,C86=0),"BLANKS",1)</f>
        <v>1</v>
      </c>
      <c r="B120" s="517">
        <v>5</v>
      </c>
      <c r="C120" s="518" t="s">
        <v>26</v>
      </c>
      <c r="D120" s="292" t="str">
        <f ca="1">IF(ISERROR(OFFSET('HARGA SATUAN'!$D$6,MATCH(RAB!C120,'HARGA SATUAN'!$C$7:$C$1509,0),0)),"",OFFSET('HARGA SATUAN'!$D$6,MATCH(RAB!C120,'HARGA SATUAN'!$C$7:$C$1509,0),0))</f>
        <v>HDW</v>
      </c>
      <c r="E120" s="293" t="str">
        <f ca="1">IF(B120="+","Unit",IF(ISERROR(OFFSET('HARGA SATUAN'!$E$6,MATCH(RAB!C120,'HARGA SATUAN'!$C$7:$C$1509,0),0)),"",OFFSET('HARGA SATUAN'!$E$6,MATCH(RAB!C120,'HARGA SATUAN'!$C$7:$C$1509,0),0)))</f>
        <v>Bh</v>
      </c>
      <c r="F120" s="406">
        <f>F115*1</f>
        <v>1</v>
      </c>
      <c r="G120" s="294">
        <f ca="1">IF(ISERROR(OFFSET('HARGA SATUAN'!$I$6,MATCH(RAB!C120,'HARGA SATUAN'!$C$7:$C$1509,0),0)),0,OFFSET('HARGA SATUAN'!$I$6,MATCH(RAB!C120,'HARGA SATUAN'!$C$7:$C$1509,0),0))</f>
        <v>2500</v>
      </c>
      <c r="H120" s="295">
        <f t="shared" ca="1" si="50"/>
        <v>0</v>
      </c>
      <c r="I120" s="295">
        <f t="shared" ca="1" si="51"/>
        <v>2500</v>
      </c>
      <c r="J120" s="295">
        <f t="shared" ca="1" si="52"/>
        <v>0</v>
      </c>
      <c r="K120" s="296">
        <f t="shared" ca="1" si="53"/>
        <v>2500</v>
      </c>
      <c r="L120" s="300"/>
      <c r="M120" s="300"/>
      <c r="N120" s="300"/>
      <c r="O120" s="297"/>
      <c r="P120" s="297"/>
      <c r="Q120" s="278"/>
      <c r="R120" s="270"/>
      <c r="S120" s="298"/>
      <c r="T120" s="275"/>
      <c r="U120" s="275"/>
      <c r="V120" s="275"/>
    </row>
    <row r="121" spans="1:22" s="301" customFormat="1" ht="17.100000000000001" customHeight="1">
      <c r="A121" s="270">
        <f>IF(AND(C85=0,C86=0,C87=0),"BLANKS",1)</f>
        <v>1</v>
      </c>
      <c r="B121" s="517">
        <v>6</v>
      </c>
      <c r="C121" s="518" t="s">
        <v>764</v>
      </c>
      <c r="D121" s="292" t="str">
        <f ca="1">IF(ISERROR(OFFSET('HARGA SATUAN'!$D$6,MATCH(RAB!C121,'HARGA SATUAN'!$C$7:$C$1509,0),0)),"",OFFSET('HARGA SATUAN'!$D$6,MATCH(RAB!C121,'HARGA SATUAN'!$C$7:$C$1509,0),0))</f>
        <v>JASA</v>
      </c>
      <c r="E121" s="293" t="str">
        <f ca="1">IF(B121="+","Unit",IF(ISERROR(OFFSET('HARGA SATUAN'!$E$6,MATCH(RAB!C121,'HARGA SATUAN'!$C$7:$C$1509,0),0)),"",OFFSET('HARGA SATUAN'!$E$6,MATCH(RAB!C121,'HARGA SATUAN'!$C$7:$C$1509,0),0)))</f>
        <v>Unit</v>
      </c>
      <c r="F121" s="406">
        <f>F115*1</f>
        <v>1</v>
      </c>
      <c r="G121" s="294">
        <f ca="1">IF(ISERROR(OFFSET('HARGA SATUAN'!$I$6,MATCH(RAB!C121,'HARGA SATUAN'!$C$7:$C$1509,0),0)),0,OFFSET('HARGA SATUAN'!$I$6,MATCH(RAB!C121,'HARGA SATUAN'!$C$7:$C$1509,0),0))</f>
        <v>36600</v>
      </c>
      <c r="H121" s="295">
        <f t="shared" ca="1" si="50"/>
        <v>0</v>
      </c>
      <c r="I121" s="295">
        <f t="shared" ca="1" si="51"/>
        <v>0</v>
      </c>
      <c r="J121" s="295">
        <f t="shared" ca="1" si="52"/>
        <v>36600</v>
      </c>
      <c r="K121" s="296">
        <f t="shared" ca="1" si="53"/>
        <v>36600</v>
      </c>
      <c r="L121" s="300"/>
      <c r="M121" s="300"/>
      <c r="N121" s="300"/>
      <c r="O121" s="297"/>
      <c r="P121" s="297"/>
      <c r="Q121" s="278"/>
      <c r="R121" s="270"/>
      <c r="S121" s="298"/>
      <c r="T121" s="275"/>
      <c r="U121" s="275"/>
      <c r="V121" s="275"/>
    </row>
    <row r="122" spans="1:22" s="301" customFormat="1" ht="17.100000000000001" customHeight="1">
      <c r="A122" s="270"/>
      <c r="B122" s="305"/>
      <c r="C122" s="497"/>
      <c r="D122" s="292" t="str">
        <f ca="1">IF(ISERROR(OFFSET('HARGA SATUAN'!$D$6,MATCH(RAB!C122,'HARGA SATUAN'!$C$7:$C$1509,0),0)),"",OFFSET('HARGA SATUAN'!$D$6,MATCH(RAB!C122,'HARGA SATUAN'!$C$7:$C$1509,0),0))</f>
        <v/>
      </c>
      <c r="E122" s="293" t="str">
        <f ca="1">IF(B122="+","Unit",IF(ISERROR(OFFSET('HARGA SATUAN'!$E$6,MATCH(RAB!C122,'HARGA SATUAN'!$C$7:$C$1509,0),0)),"",OFFSET('HARGA SATUAN'!$E$6,MATCH(RAB!C122,'HARGA SATUAN'!$C$7:$C$1509,0),0)))</f>
        <v/>
      </c>
      <c r="F122" s="406"/>
      <c r="G122" s="294">
        <f ca="1">IF(ISERROR(OFFSET('HARGA SATUAN'!$I$6,MATCH(RAB!C122,'HARGA SATUAN'!$C$7:$C$1509,0),0)),0,OFFSET('HARGA SATUAN'!$I$6,MATCH(RAB!C122,'HARGA SATUAN'!$C$7:$C$1509,0),0))</f>
        <v>0</v>
      </c>
      <c r="H122" s="295">
        <f t="shared" ca="1" si="50"/>
        <v>0</v>
      </c>
      <c r="I122" s="295">
        <f t="shared" ca="1" si="51"/>
        <v>0</v>
      </c>
      <c r="J122" s="295">
        <f t="shared" ca="1" si="52"/>
        <v>0</v>
      </c>
      <c r="K122" s="296">
        <f t="shared" ca="1" si="53"/>
        <v>0</v>
      </c>
      <c r="L122" s="300"/>
      <c r="M122" s="300"/>
      <c r="N122" s="300"/>
      <c r="O122" s="297"/>
      <c r="P122" s="297"/>
      <c r="Q122" s="278"/>
      <c r="R122" s="270"/>
      <c r="S122" s="298"/>
      <c r="T122" s="275"/>
      <c r="U122" s="275"/>
      <c r="V122" s="275"/>
    </row>
    <row r="123" spans="1:22" s="301" customFormat="1" ht="17.100000000000001" customHeight="1">
      <c r="A123" s="270" t="e">
        <f>IF(AND(C87=0,#REF!=0,#REF!=0),"BLANKS",1)</f>
        <v>#REF!</v>
      </c>
      <c r="B123" s="517" t="s">
        <v>1039</v>
      </c>
      <c r="C123" s="518" t="s">
        <v>1655</v>
      </c>
      <c r="D123" s="292" t="str">
        <f ca="1">IF(ISERROR(OFFSET('HARGA SATUAN'!$D$6,MATCH(RAB!C123,'HARGA SATUAN'!$C$7:$C$1509,0),0)),"",OFFSET('HARGA SATUAN'!$D$6,MATCH(RAB!C123,'HARGA SATUAN'!$C$7:$C$1509,0),0))</f>
        <v/>
      </c>
      <c r="E123" s="293" t="str">
        <f ca="1">IF(B123="+","Unit",IF(ISERROR(OFFSET('HARGA SATUAN'!$E$6,MATCH(RAB!C123,'HARGA SATUAN'!$C$7:$C$1509,0),0)),"",OFFSET('HARGA SATUAN'!$E$6,MATCH(RAB!C123,'HARGA SATUAN'!$C$7:$C$1509,0),0)))</f>
        <v>Unit</v>
      </c>
      <c r="F123" s="406">
        <v>1</v>
      </c>
      <c r="G123" s="294">
        <f ca="1">IF(ISERROR(OFFSET('HARGA SATUAN'!$I$6,MATCH(RAB!C123,'HARGA SATUAN'!$C$7:$C$1509,0),0)),0,OFFSET('HARGA SATUAN'!$I$6,MATCH(RAB!C123,'HARGA SATUAN'!$C$7:$C$1509,0),0))</f>
        <v>0</v>
      </c>
      <c r="H123" s="295">
        <f t="shared" ca="1" si="50"/>
        <v>0</v>
      </c>
      <c r="I123" s="295">
        <f t="shared" ca="1" si="51"/>
        <v>0</v>
      </c>
      <c r="J123" s="295">
        <f t="shared" ca="1" si="52"/>
        <v>0</v>
      </c>
      <c r="K123" s="296">
        <f t="shared" ca="1" si="53"/>
        <v>0</v>
      </c>
      <c r="L123" s="300"/>
      <c r="M123" s="300"/>
      <c r="N123" s="300"/>
      <c r="O123" s="297"/>
      <c r="P123" s="297"/>
      <c r="Q123" s="278"/>
      <c r="R123" s="270"/>
      <c r="S123" s="298"/>
      <c r="T123" s="275"/>
      <c r="U123" s="275"/>
      <c r="V123" s="275"/>
    </row>
    <row r="124" spans="1:22" s="301" customFormat="1" ht="17.100000000000001" customHeight="1">
      <c r="A124" s="270" t="e">
        <f>IF(AND(#REF!=0,#REF!=0,#REF!=0),"BLANKS",1)</f>
        <v>#REF!</v>
      </c>
      <c r="B124" s="521">
        <v>1</v>
      </c>
      <c r="C124" s="522" t="s">
        <v>601</v>
      </c>
      <c r="D124" s="292" t="str">
        <f ca="1">IF(ISERROR(OFFSET('HARGA SATUAN'!$D$6,MATCH(RAB!C124,'HARGA SATUAN'!$C$7:$C$1509,0),0)),"",OFFSET('HARGA SATUAN'!$D$6,MATCH(RAB!C124,'HARGA SATUAN'!$C$7:$C$1509,0),0))</f>
        <v>HDW</v>
      </c>
      <c r="E124" s="293" t="str">
        <f ca="1">IF(B124="+","Unit",IF(ISERROR(OFFSET('HARGA SATUAN'!$E$6,MATCH(RAB!C124,'HARGA SATUAN'!$C$7:$C$1509,0),0)),"",OFFSET('HARGA SATUAN'!$E$6,MATCH(RAB!C124,'HARGA SATUAN'!$C$7:$C$1509,0),0)))</f>
        <v>Bh</v>
      </c>
      <c r="F124" s="406">
        <f>F123*1</f>
        <v>1</v>
      </c>
      <c r="G124" s="294">
        <f ca="1">IF(ISERROR(OFFSET('HARGA SATUAN'!$I$6,MATCH(RAB!C124,'HARGA SATUAN'!$C$7:$C$1509,0),0)),0,OFFSET('HARGA SATUAN'!$I$6,MATCH(RAB!C124,'HARGA SATUAN'!$C$7:$C$1509,0),0))</f>
        <v>120900</v>
      </c>
      <c r="H124" s="295">
        <f t="shared" ca="1" si="50"/>
        <v>0</v>
      </c>
      <c r="I124" s="295">
        <f t="shared" ca="1" si="51"/>
        <v>120900</v>
      </c>
      <c r="J124" s="295">
        <f t="shared" ca="1" si="52"/>
        <v>0</v>
      </c>
      <c r="K124" s="296">
        <f t="shared" ca="1" si="53"/>
        <v>120900</v>
      </c>
      <c r="L124" s="300"/>
      <c r="M124" s="300"/>
      <c r="N124" s="300"/>
      <c r="O124" s="297"/>
      <c r="P124" s="297"/>
      <c r="Q124" s="278"/>
      <c r="R124" s="270"/>
      <c r="S124" s="298"/>
      <c r="T124" s="275"/>
      <c r="U124" s="275"/>
      <c r="V124" s="275"/>
    </row>
    <row r="125" spans="1:22" s="301" customFormat="1" ht="17.100000000000001" customHeight="1">
      <c r="A125" s="270" t="e">
        <f>IF(AND(#REF!=0,#REF!=0,#REF!=0),"BLANKS",1)</f>
        <v>#REF!</v>
      </c>
      <c r="B125" s="523">
        <v>2</v>
      </c>
      <c r="C125" s="524" t="s">
        <v>264</v>
      </c>
      <c r="D125" s="292" t="str">
        <f ca="1">IF(ISERROR(OFFSET('HARGA SATUAN'!$D$6,MATCH(RAB!C125,'HARGA SATUAN'!$C$7:$C$1509,0),0)),"",OFFSET('HARGA SATUAN'!$D$6,MATCH(RAB!C125,'HARGA SATUAN'!$C$7:$C$1509,0),0))</f>
        <v>HDW</v>
      </c>
      <c r="E125" s="293" t="str">
        <f ca="1">IF(B125="+","Unit",IF(ISERROR(OFFSET('HARGA SATUAN'!$E$6,MATCH(RAB!C125,'HARGA SATUAN'!$C$7:$C$1509,0),0)),"",OFFSET('HARGA SATUAN'!$E$6,MATCH(RAB!C125,'HARGA SATUAN'!$C$7:$C$1509,0),0)))</f>
        <v>Bh</v>
      </c>
      <c r="F125" s="406">
        <f>F123*1</f>
        <v>1</v>
      </c>
      <c r="G125" s="294">
        <f ca="1">IF(ISERROR(OFFSET('HARGA SATUAN'!$I$6,MATCH(RAB!C125,'HARGA SATUAN'!$C$7:$C$1509,0),0)),0,OFFSET('HARGA SATUAN'!$I$6,MATCH(RAB!C125,'HARGA SATUAN'!$C$7:$C$1509,0),0))</f>
        <v>135800</v>
      </c>
      <c r="H125" s="295">
        <f t="shared" ca="1" si="50"/>
        <v>0</v>
      </c>
      <c r="I125" s="295">
        <f t="shared" ca="1" si="51"/>
        <v>135800</v>
      </c>
      <c r="J125" s="295">
        <f t="shared" ca="1" si="52"/>
        <v>0</v>
      </c>
      <c r="K125" s="296">
        <f t="shared" ca="1" si="53"/>
        <v>135800</v>
      </c>
      <c r="L125" s="300"/>
      <c r="M125" s="300"/>
      <c r="N125" s="300"/>
      <c r="O125" s="297"/>
      <c r="P125" s="297"/>
      <c r="Q125" s="278"/>
      <c r="R125" s="270"/>
      <c r="S125" s="298"/>
      <c r="T125" s="275"/>
      <c r="U125" s="275"/>
      <c r="V125" s="275"/>
    </row>
    <row r="126" spans="1:22" s="301" customFormat="1" ht="17.100000000000001" customHeight="1">
      <c r="A126" s="270" t="e">
        <f>IF(AND(#REF!=0,#REF!=0,#REF!=0),"BLANKS",1)</f>
        <v>#REF!</v>
      </c>
      <c r="B126" s="523">
        <v>3</v>
      </c>
      <c r="C126" s="519" t="s">
        <v>217</v>
      </c>
      <c r="D126" s="292" t="str">
        <f ca="1">IF(ISERROR(OFFSET('HARGA SATUAN'!$D$6,MATCH(RAB!C126,'HARGA SATUAN'!$C$7:$C$1509,0),0)),"",OFFSET('HARGA SATUAN'!$D$6,MATCH(RAB!C126,'HARGA SATUAN'!$C$7:$C$1509,0),0))</f>
        <v>HDW</v>
      </c>
      <c r="E126" s="293" t="str">
        <f ca="1">IF(B126="+","Unit",IF(ISERROR(OFFSET('HARGA SATUAN'!$E$6,MATCH(RAB!C126,'HARGA SATUAN'!$C$7:$C$1509,0),0)),"",OFFSET('HARGA SATUAN'!$E$6,MATCH(RAB!C126,'HARGA SATUAN'!$C$7:$C$1509,0),0)))</f>
        <v>Bh</v>
      </c>
      <c r="F126" s="520">
        <f>F123*1</f>
        <v>1</v>
      </c>
      <c r="G126" s="294">
        <f ca="1">IF(ISERROR(OFFSET('HARGA SATUAN'!$I$6,MATCH(RAB!C126,'HARGA SATUAN'!$C$7:$C$1509,0),0)),0,OFFSET('HARGA SATUAN'!$I$6,MATCH(RAB!C126,'HARGA SATUAN'!$C$7:$C$1509,0),0))</f>
        <v>4500</v>
      </c>
      <c r="H126" s="295">
        <f t="shared" ca="1" si="50"/>
        <v>0</v>
      </c>
      <c r="I126" s="295">
        <f t="shared" ca="1" si="51"/>
        <v>4500</v>
      </c>
      <c r="J126" s="295">
        <f t="shared" ca="1" si="52"/>
        <v>0</v>
      </c>
      <c r="K126" s="296">
        <f t="shared" ca="1" si="53"/>
        <v>4500</v>
      </c>
      <c r="L126" s="300"/>
      <c r="M126" s="300"/>
      <c r="N126" s="300"/>
      <c r="O126" s="297"/>
      <c r="P126" s="297"/>
      <c r="Q126" s="278"/>
      <c r="R126" s="270"/>
      <c r="S126" s="298"/>
      <c r="T126" s="275"/>
      <c r="U126" s="275"/>
      <c r="V126" s="275"/>
    </row>
    <row r="127" spans="1:22" s="301" customFormat="1" ht="33" customHeight="1">
      <c r="A127" s="270" t="e">
        <f>IF(AND(#REF!=0,#REF!=0,#REF!=0),"BLANKS",1)</f>
        <v>#REF!</v>
      </c>
      <c r="B127" s="517">
        <v>4</v>
      </c>
      <c r="C127" s="518" t="s">
        <v>772</v>
      </c>
      <c r="D127" s="292" t="str">
        <f ca="1">IF(ISERROR(OFFSET('HARGA SATUAN'!$D$6,MATCH(RAB!C127,'HARGA SATUAN'!$C$7:$C$1509,0),0)),"",OFFSET('HARGA SATUAN'!$D$6,MATCH(RAB!C127,'HARGA SATUAN'!$C$7:$C$1509,0),0))</f>
        <v>JASA</v>
      </c>
      <c r="E127" s="293" t="str">
        <f ca="1">IF(B127="+","Unit",IF(ISERROR(OFFSET('HARGA SATUAN'!$E$6,MATCH(RAB!C127,'HARGA SATUAN'!$C$7:$C$1509,0),0)),"",OFFSET('HARGA SATUAN'!$E$6,MATCH(RAB!C127,'HARGA SATUAN'!$C$7:$C$1509,0),0)))</f>
        <v>Unit</v>
      </c>
      <c r="F127" s="406">
        <f>F123*1</f>
        <v>1</v>
      </c>
      <c r="G127" s="294">
        <f ca="1">IF(ISERROR(OFFSET('HARGA SATUAN'!$I$6,MATCH(RAB!C127,'HARGA SATUAN'!$C$7:$C$1509,0),0)),0,OFFSET('HARGA SATUAN'!$I$6,MATCH(RAB!C127,'HARGA SATUAN'!$C$7:$C$1509,0),0))</f>
        <v>55500</v>
      </c>
      <c r="H127" s="295">
        <f t="shared" ca="1" si="50"/>
        <v>0</v>
      </c>
      <c r="I127" s="295">
        <f t="shared" ca="1" si="51"/>
        <v>0</v>
      </c>
      <c r="J127" s="295">
        <f t="shared" ca="1" si="52"/>
        <v>55500</v>
      </c>
      <c r="K127" s="296">
        <f t="shared" ca="1" si="53"/>
        <v>55500</v>
      </c>
      <c r="L127" s="300"/>
      <c r="M127" s="300"/>
      <c r="N127" s="300"/>
      <c r="O127" s="297"/>
      <c r="P127" s="297"/>
      <c r="Q127" s="278"/>
      <c r="R127" s="270"/>
      <c r="S127" s="298"/>
      <c r="T127" s="275"/>
      <c r="U127" s="275"/>
      <c r="V127" s="275"/>
    </row>
    <row r="128" spans="1:22" s="301" customFormat="1" ht="17.100000000000001" customHeight="1">
      <c r="A128" s="270" t="e">
        <f>IF(AND(#REF!=0,#REF!=0,#REF!=0),"BLANKS",1)</f>
        <v>#REF!</v>
      </c>
      <c r="B128" s="305"/>
      <c r="C128" s="497"/>
      <c r="D128" s="292" t="str">
        <f ca="1">IF(ISERROR(OFFSET('HARGA SATUAN'!$D$6,MATCH(RAB!C128,'HARGA SATUAN'!$C$7:$C$1509,0),0)),"",OFFSET('HARGA SATUAN'!$D$6,MATCH(RAB!C128,'HARGA SATUAN'!$C$7:$C$1509,0),0))</f>
        <v/>
      </c>
      <c r="E128" s="293" t="str">
        <f ca="1">IF(B128="+","Unit",IF(ISERROR(OFFSET('HARGA SATUAN'!$E$6,MATCH(RAB!C128,'HARGA SATUAN'!$C$7:$C$1509,0),0)),"",OFFSET('HARGA SATUAN'!$E$6,MATCH(RAB!C128,'HARGA SATUAN'!$C$7:$C$1509,0),0)))</f>
        <v/>
      </c>
      <c r="F128" s="406"/>
      <c r="G128" s="294">
        <f ca="1">IF(ISERROR(OFFSET('HARGA SATUAN'!$I$6,MATCH(RAB!C128,'HARGA SATUAN'!$C$7:$C$1509,0),0)),0,OFFSET('HARGA SATUAN'!$I$6,MATCH(RAB!C128,'HARGA SATUAN'!$C$7:$C$1509,0),0))</f>
        <v>0</v>
      </c>
      <c r="H128" s="295">
        <f t="shared" ca="1" si="46"/>
        <v>0</v>
      </c>
      <c r="I128" s="295">
        <f t="shared" ca="1" si="47"/>
        <v>0</v>
      </c>
      <c r="J128" s="295">
        <f t="shared" ca="1" si="48"/>
        <v>0</v>
      </c>
      <c r="K128" s="296">
        <f t="shared" ca="1" si="49"/>
        <v>0</v>
      </c>
      <c r="L128" s="300"/>
      <c r="M128" s="300"/>
      <c r="N128" s="300"/>
      <c r="O128" s="297"/>
      <c r="P128" s="297"/>
      <c r="Q128" s="278"/>
      <c r="R128" s="270"/>
      <c r="S128" s="298"/>
      <c r="T128" s="275"/>
      <c r="U128" s="275"/>
      <c r="V128" s="275"/>
    </row>
    <row r="129" spans="1:22" s="301" customFormat="1" ht="17.100000000000001" customHeight="1">
      <c r="A129" s="270"/>
      <c r="B129" s="495" t="s">
        <v>1039</v>
      </c>
      <c r="C129" s="496" t="s">
        <v>1649</v>
      </c>
      <c r="D129" s="292" t="str">
        <f ca="1">IF(ISERROR(OFFSET('HARGA SATUAN'!$D$6,MATCH(RAB!C129,'HARGA SATUAN'!$C$7:$C$1509,0),0)),"",OFFSET('HARGA SATUAN'!$D$6,MATCH(RAB!C129,'HARGA SATUAN'!$C$7:$C$1509,0),0))</f>
        <v/>
      </c>
      <c r="E129" s="293" t="str">
        <f ca="1">IF(B129="+","Unit",IF(ISERROR(OFFSET('HARGA SATUAN'!$E$6,MATCH(RAB!C129,'HARGA SATUAN'!$C$7:$C$1509,0),0)),"",OFFSET('HARGA SATUAN'!$E$6,MATCH(RAB!C129,'HARGA SATUAN'!$C$7:$C$1509,0),0)))</f>
        <v>Unit</v>
      </c>
      <c r="F129" s="516">
        <v>3</v>
      </c>
      <c r="G129" s="294">
        <f ca="1">IF(ISERROR(OFFSET('HARGA SATUAN'!$I$6,MATCH(RAB!C129,'HARGA SATUAN'!$C$7:$C$1509,0),0)),0,OFFSET('HARGA SATUAN'!$I$6,MATCH(RAB!C129,'HARGA SATUAN'!$C$7:$C$1509,0),0))</f>
        <v>0</v>
      </c>
      <c r="H129" s="295">
        <f t="shared" ca="1" si="41"/>
        <v>0</v>
      </c>
      <c r="I129" s="295">
        <f t="shared" ca="1" si="42"/>
        <v>0</v>
      </c>
      <c r="J129" s="295">
        <f t="shared" ca="1" si="43"/>
        <v>0</v>
      </c>
      <c r="K129" s="296">
        <f t="shared" ca="1" si="44"/>
        <v>0</v>
      </c>
      <c r="L129" s="300"/>
      <c r="M129" s="300"/>
      <c r="N129" s="300"/>
      <c r="O129" s="297"/>
      <c r="P129" s="297"/>
      <c r="Q129" s="278"/>
      <c r="R129" s="270"/>
      <c r="S129" s="298"/>
      <c r="T129" s="275"/>
      <c r="U129" s="275"/>
      <c r="V129" s="275"/>
    </row>
    <row r="130" spans="1:22" s="301" customFormat="1" ht="17.100000000000001" customHeight="1">
      <c r="A130" s="270"/>
      <c r="B130" s="305">
        <v>1</v>
      </c>
      <c r="C130" s="497" t="s">
        <v>265</v>
      </c>
      <c r="D130" s="292" t="str">
        <f ca="1">IF(ISERROR(OFFSET('HARGA SATUAN'!$D$6,MATCH(RAB!C130,'HARGA SATUAN'!$C$7:$C$1509,0),0)),"",OFFSET('HARGA SATUAN'!$D$6,MATCH(RAB!C130,'HARGA SATUAN'!$C$7:$C$1509,0),0))</f>
        <v>HDW</v>
      </c>
      <c r="E130" s="293" t="str">
        <f ca="1">IF(B130="+","Unit",IF(ISERROR(OFFSET('HARGA SATUAN'!$E$6,MATCH(RAB!C130,'HARGA SATUAN'!$C$7:$C$1509,0),0)),"",OFFSET('HARGA SATUAN'!$E$6,MATCH(RAB!C130,'HARGA SATUAN'!$C$7:$C$1509,0),0)))</f>
        <v>Bh</v>
      </c>
      <c r="F130" s="516">
        <f>F129*1</f>
        <v>3</v>
      </c>
      <c r="G130" s="294">
        <f ca="1">IF(ISERROR(OFFSET('HARGA SATUAN'!$I$6,MATCH(RAB!C130,'HARGA SATUAN'!$C$7:$C$1509,0),0)),0,OFFSET('HARGA SATUAN'!$I$6,MATCH(RAB!C130,'HARGA SATUAN'!$C$7:$C$1509,0),0))</f>
        <v>104200</v>
      </c>
      <c r="H130" s="295">
        <f t="shared" ca="1" si="41"/>
        <v>0</v>
      </c>
      <c r="I130" s="295">
        <f t="shared" ca="1" si="42"/>
        <v>312600</v>
      </c>
      <c r="J130" s="295">
        <f t="shared" ca="1" si="43"/>
        <v>0</v>
      </c>
      <c r="K130" s="296">
        <f t="shared" ca="1" si="44"/>
        <v>312600</v>
      </c>
      <c r="L130" s="300"/>
      <c r="M130" s="300"/>
      <c r="N130" s="300"/>
      <c r="O130" s="297"/>
      <c r="P130" s="297"/>
      <c r="Q130" s="278"/>
      <c r="R130" s="270"/>
      <c r="S130" s="298"/>
      <c r="T130" s="275"/>
      <c r="U130" s="275"/>
      <c r="V130" s="275"/>
    </row>
    <row r="131" spans="1:22" s="301" customFormat="1" ht="17.100000000000001" customHeight="1">
      <c r="A131" s="270" t="e">
        <f>IF(AND(C95=0,#REF!=0,#REF!=0),"BLANKS",1)</f>
        <v>#REF!</v>
      </c>
      <c r="B131" s="305">
        <v>2</v>
      </c>
      <c r="C131" s="497" t="s">
        <v>600</v>
      </c>
      <c r="D131" s="292" t="str">
        <f ca="1">IF(ISERROR(OFFSET('HARGA SATUAN'!$D$6,MATCH(RAB!C131,'HARGA SATUAN'!$C$7:$C$1509,0),0)),"",OFFSET('HARGA SATUAN'!$D$6,MATCH(RAB!C131,'HARGA SATUAN'!$C$7:$C$1509,0),0))</f>
        <v>HDW</v>
      </c>
      <c r="E131" s="293" t="str">
        <f ca="1">IF(B131="+","Unit",IF(ISERROR(OFFSET('HARGA SATUAN'!$E$6,MATCH(RAB!C131,'HARGA SATUAN'!$C$7:$C$1509,0),0)),"",OFFSET('HARGA SATUAN'!$E$6,MATCH(RAB!C131,'HARGA SATUAN'!$C$7:$C$1509,0),0)))</f>
        <v>Bh</v>
      </c>
      <c r="F131" s="516">
        <f>F129*1</f>
        <v>3</v>
      </c>
      <c r="G131" s="294">
        <f ca="1">IF(ISERROR(OFFSET('HARGA SATUAN'!$I$6,MATCH(RAB!C131,'HARGA SATUAN'!$C$7:$C$1509,0),0)),0,OFFSET('HARGA SATUAN'!$I$6,MATCH(RAB!C131,'HARGA SATUAN'!$C$7:$C$1509,0),0))</f>
        <v>120000</v>
      </c>
      <c r="H131" s="295">
        <f t="shared" ca="1" si="41"/>
        <v>0</v>
      </c>
      <c r="I131" s="295">
        <f t="shared" ca="1" si="42"/>
        <v>360000</v>
      </c>
      <c r="J131" s="295">
        <f t="shared" ca="1" si="43"/>
        <v>0</v>
      </c>
      <c r="K131" s="296">
        <f t="shared" ca="1" si="44"/>
        <v>360000</v>
      </c>
      <c r="L131" s="300"/>
      <c r="M131" s="300"/>
      <c r="N131" s="300"/>
      <c r="O131" s="297"/>
      <c r="P131" s="297"/>
      <c r="Q131" s="278"/>
      <c r="R131" s="270"/>
      <c r="S131" s="298"/>
      <c r="T131" s="275"/>
      <c r="U131" s="275"/>
      <c r="V131" s="275"/>
    </row>
    <row r="132" spans="1:22" s="301" customFormat="1" ht="17.100000000000001" customHeight="1">
      <c r="A132" s="270" t="e">
        <f>IF(AND(#REF!=0,#REF!=0,#REF!=0),"BLANKS",1)</f>
        <v>#REF!</v>
      </c>
      <c r="B132" s="305">
        <v>4</v>
      </c>
      <c r="C132" s="497" t="s">
        <v>217</v>
      </c>
      <c r="D132" s="292" t="str">
        <f ca="1">IF(ISERROR(OFFSET('HARGA SATUAN'!$D$6,MATCH(RAB!C132,'HARGA SATUAN'!$C$7:$C$1509,0),0)),"",OFFSET('HARGA SATUAN'!$D$6,MATCH(RAB!C132,'HARGA SATUAN'!$C$7:$C$1509,0),0))</f>
        <v>HDW</v>
      </c>
      <c r="E132" s="293" t="str">
        <f ca="1">IF(B132="+","Unit",IF(ISERROR(OFFSET('HARGA SATUAN'!$E$6,MATCH(RAB!C132,'HARGA SATUAN'!$C$7:$C$1509,0),0)),"",OFFSET('HARGA SATUAN'!$E$6,MATCH(RAB!C132,'HARGA SATUAN'!$C$7:$C$1509,0),0)))</f>
        <v>Bh</v>
      </c>
      <c r="F132" s="406">
        <f>F129*1</f>
        <v>3</v>
      </c>
      <c r="G132" s="294">
        <f ca="1">IF(ISERROR(OFFSET('HARGA SATUAN'!$I$6,MATCH(RAB!C132,'HARGA SATUAN'!$C$7:$C$1509,0),0)),0,OFFSET('HARGA SATUAN'!$I$6,MATCH(RAB!C132,'HARGA SATUAN'!$C$7:$C$1509,0),0))</f>
        <v>4500</v>
      </c>
      <c r="H132" s="295">
        <f t="shared" ref="H132:H133" ca="1" si="54">IF(OR(D132="MDU",D132="MDU-KD"),(IF($O$3="RAB NON MDU","PLN KD",G132*F132)),0)</f>
        <v>0</v>
      </c>
      <c r="I132" s="295">
        <f t="shared" ref="I132:I133" ca="1" si="55">IF(D132="HDW",G132*F132,0)</f>
        <v>13500</v>
      </c>
      <c r="J132" s="295">
        <f t="shared" ref="J132:J133" ca="1" si="56">IF(D132="JASA",G132*F132,0)</f>
        <v>0</v>
      </c>
      <c r="K132" s="296">
        <f t="shared" ref="K132:K133" ca="1" si="57">SUM(H132:J132)</f>
        <v>13500</v>
      </c>
      <c r="L132" s="300"/>
      <c r="M132" s="300"/>
      <c r="N132" s="300"/>
      <c r="O132" s="297"/>
      <c r="P132" s="297"/>
      <c r="Q132" s="278"/>
      <c r="R132" s="270"/>
      <c r="S132" s="298"/>
      <c r="T132" s="275"/>
      <c r="U132" s="275"/>
      <c r="V132" s="275"/>
    </row>
    <row r="133" spans="1:22" s="301" customFormat="1" ht="17.100000000000001" customHeight="1">
      <c r="A133" s="270" t="e">
        <f>IF(AND(#REF!=0,#REF!=0,#REF!=0),"BLANKS",1)</f>
        <v>#REF!</v>
      </c>
      <c r="B133" s="305">
        <v>3</v>
      </c>
      <c r="C133" s="497" t="s">
        <v>771</v>
      </c>
      <c r="D133" s="292" t="str">
        <f ca="1">IF(ISERROR(OFFSET('HARGA SATUAN'!$D$6,MATCH(RAB!C133,'HARGA SATUAN'!$C$7:$C$1509,0),0)),"",OFFSET('HARGA SATUAN'!$D$6,MATCH(RAB!C133,'HARGA SATUAN'!$C$7:$C$1509,0),0))</f>
        <v>JASA</v>
      </c>
      <c r="E133" s="293" t="str">
        <f ca="1">IF(B133="+","Unit",IF(ISERROR(OFFSET('HARGA SATUAN'!$E$6,MATCH(RAB!C133,'HARGA SATUAN'!$C$7:$C$1509,0),0)),"",OFFSET('HARGA SATUAN'!$E$6,MATCH(RAB!C133,'HARGA SATUAN'!$C$7:$C$1509,0),0)))</f>
        <v>Unit</v>
      </c>
      <c r="F133" s="516">
        <f>F129*1</f>
        <v>3</v>
      </c>
      <c r="G133" s="294">
        <f ca="1">IF(ISERROR(OFFSET('HARGA SATUAN'!$I$6,MATCH(RAB!C133,'HARGA SATUAN'!$C$7:$C$1509,0),0)),0,OFFSET('HARGA SATUAN'!$I$6,MATCH(RAB!C133,'HARGA SATUAN'!$C$7:$C$1509,0),0))</f>
        <v>55500</v>
      </c>
      <c r="H133" s="295">
        <f t="shared" ca="1" si="54"/>
        <v>0</v>
      </c>
      <c r="I133" s="295">
        <f t="shared" ca="1" si="55"/>
        <v>0</v>
      </c>
      <c r="J133" s="295">
        <f t="shared" ca="1" si="56"/>
        <v>166500</v>
      </c>
      <c r="K133" s="296">
        <f t="shared" ca="1" si="57"/>
        <v>166500</v>
      </c>
      <c r="L133" s="300"/>
      <c r="M133" s="300"/>
      <c r="N133" s="300"/>
      <c r="O133" s="297"/>
      <c r="P133" s="297"/>
      <c r="Q133" s="278"/>
      <c r="R133" s="270"/>
      <c r="S133" s="298"/>
      <c r="T133" s="275"/>
      <c r="U133" s="275"/>
      <c r="V133" s="275"/>
    </row>
    <row r="134" spans="1:22" s="301" customFormat="1" ht="17.100000000000001" customHeight="1">
      <c r="A134" s="270" t="e">
        <f>IF(AND(#REF!=0,#REF!=0,#REF!=0),"BLANKS",1)</f>
        <v>#REF!</v>
      </c>
      <c r="B134" s="305"/>
      <c r="C134" s="497"/>
      <c r="D134" s="292" t="str">
        <f ca="1">IF(ISERROR(OFFSET('HARGA SATUAN'!$D$6,MATCH(RAB!C134,'HARGA SATUAN'!$C$7:$C$1509,0),0)),"",OFFSET('HARGA SATUAN'!$D$6,MATCH(RAB!C134,'HARGA SATUAN'!$C$7:$C$1509,0),0))</f>
        <v/>
      </c>
      <c r="E134" s="293" t="str">
        <f ca="1">IF(B134="+","Unit",IF(ISERROR(OFFSET('HARGA SATUAN'!$E$6,MATCH(RAB!C134,'HARGA SATUAN'!$C$7:$C$1509,0),0)),"",OFFSET('HARGA SATUAN'!$E$6,MATCH(RAB!C134,'HARGA SATUAN'!$C$7:$C$1509,0),0)))</f>
        <v/>
      </c>
      <c r="F134" s="406"/>
      <c r="G134" s="294">
        <f ca="1">IF(ISERROR(OFFSET('HARGA SATUAN'!$I$6,MATCH(RAB!C134,'HARGA SATUAN'!$C$7:$C$1509,0),0)),0,OFFSET('HARGA SATUAN'!$I$6,MATCH(RAB!C134,'HARGA SATUAN'!$C$7:$C$1509,0),0))</f>
        <v>0</v>
      </c>
      <c r="H134" s="295">
        <f t="shared" ref="H134" ca="1" si="58">IF(OR(D134="MDU",D134="MDU-KD"),(IF($O$3="RAB NON MDU","PLN KD",G134*F134)),0)</f>
        <v>0</v>
      </c>
      <c r="I134" s="295">
        <f t="shared" ref="I134" ca="1" si="59">IF(D134="HDW",G134*F134,0)</f>
        <v>0</v>
      </c>
      <c r="J134" s="295">
        <f t="shared" ref="J134" ca="1" si="60">IF(D134="JASA",G134*F134,0)</f>
        <v>0</v>
      </c>
      <c r="K134" s="296">
        <f t="shared" ref="K134" ca="1" si="61">SUM(H134:J134)</f>
        <v>0</v>
      </c>
      <c r="L134" s="300"/>
      <c r="M134" s="300"/>
      <c r="N134" s="300"/>
      <c r="O134" s="297"/>
      <c r="P134" s="297"/>
      <c r="Q134" s="278"/>
      <c r="R134" s="270"/>
      <c r="S134" s="298"/>
      <c r="T134" s="275"/>
      <c r="U134" s="275"/>
      <c r="V134" s="275"/>
    </row>
    <row r="135" spans="1:22" s="301" customFormat="1" ht="33" customHeight="1">
      <c r="A135" s="270" t="e">
        <f>IF(AND(#REF!=0,#REF!=0,#REF!=0),"BLANKS",1)</f>
        <v>#REF!</v>
      </c>
      <c r="B135" s="303" t="s">
        <v>1634</v>
      </c>
      <c r="C135" s="304" t="s">
        <v>1635</v>
      </c>
      <c r="D135" s="292" t="str">
        <f ca="1">IF(ISERROR(OFFSET('HARGA SATUAN'!$D$6,MATCH(RAB!C135,'HARGA SATUAN'!$C$7:$C$1509,0),0)),"",OFFSET('HARGA SATUAN'!$D$6,MATCH(RAB!C135,'HARGA SATUAN'!$C$7:$C$1509,0),0))</f>
        <v/>
      </c>
      <c r="E135" s="293" t="str">
        <f ca="1">IF(B135="+","Unit",IF(ISERROR(OFFSET('HARGA SATUAN'!$E$6,MATCH(RAB!C135,'HARGA SATUAN'!$C$7:$C$1509,0),0)),"",OFFSET('HARGA SATUAN'!$E$6,MATCH(RAB!C135,'HARGA SATUAN'!$C$7:$C$1509,0),0)))</f>
        <v/>
      </c>
      <c r="F135" s="509"/>
      <c r="G135" s="294">
        <f ca="1">IF(ISERROR(OFFSET('HARGA SATUAN'!$I$6,MATCH(RAB!C135,'HARGA SATUAN'!$C$7:$C$1509,0),0)),0,OFFSET('HARGA SATUAN'!$I$6,MATCH(RAB!C135,'HARGA SATUAN'!$C$7:$C$1509,0),0))</f>
        <v>0</v>
      </c>
      <c r="H135" s="295">
        <f t="shared" ca="1" si="41"/>
        <v>0</v>
      </c>
      <c r="I135" s="295">
        <f t="shared" ca="1" si="42"/>
        <v>0</v>
      </c>
      <c r="J135" s="295">
        <f t="shared" ca="1" si="43"/>
        <v>0</v>
      </c>
      <c r="K135" s="296">
        <f t="shared" ca="1" si="44"/>
        <v>0</v>
      </c>
      <c r="L135" s="300"/>
      <c r="M135" s="300"/>
      <c r="N135" s="300"/>
      <c r="O135" s="297"/>
      <c r="P135" s="297"/>
      <c r="Q135" s="278"/>
      <c r="R135" s="270"/>
      <c r="S135" s="298"/>
      <c r="T135" s="275"/>
      <c r="U135" s="275"/>
      <c r="V135" s="275"/>
    </row>
    <row r="136" spans="1:22" s="301" customFormat="1" ht="17.100000000000001" customHeight="1">
      <c r="A136" s="270" t="e">
        <f>IF(AND(#REF!=0,#REF!=0,#REF!=0),"BLANKS",1)</f>
        <v>#REF!</v>
      </c>
      <c r="B136" s="305">
        <v>1</v>
      </c>
      <c r="C136" s="497" t="s">
        <v>1406</v>
      </c>
      <c r="D136" s="292" t="str">
        <f ca="1">IF(ISERROR(OFFSET('HARGA SATUAN'!$D$6,MATCH(RAB!C136,'HARGA SATUAN'!$C$7:$C$1509,0),0)),"",OFFSET('HARGA SATUAN'!$D$6,MATCH(RAB!C136,'HARGA SATUAN'!$C$7:$C$1509,0),0))</f>
        <v>MDU-KD</v>
      </c>
      <c r="E136" s="293" t="str">
        <f ca="1">IF(B136="+","Unit",IF(ISERROR(OFFSET('HARGA SATUAN'!$E$6,MATCH(RAB!C136,'HARGA SATUAN'!$C$7:$C$1509,0),0)),"",OFFSET('HARGA SATUAN'!$E$6,MATCH(RAB!C136,'HARGA SATUAN'!$C$7:$C$1509,0),0)))</f>
        <v>Mtr</v>
      </c>
      <c r="F136" s="406">
        <f>GAMBAR!$Y$37</f>
        <v>120</v>
      </c>
      <c r="G136" s="294">
        <f ca="1">IF(ISERROR(OFFSET('HARGA SATUAN'!$I$6,MATCH(RAB!C136,'HARGA SATUAN'!$C$7:$C$1509,0),0)),0,OFFSET('HARGA SATUAN'!$I$6,MATCH(RAB!C136,'HARGA SATUAN'!$C$7:$C$1509,0),0))</f>
        <v>53300</v>
      </c>
      <c r="H136" s="295">
        <f t="shared" ref="H136:H137" ca="1" si="62">IF(OR(D136="MDU",D136="MDU-KD"),(IF($O$3="RAB NON MDU","PLN KD",G136*F136)),0)</f>
        <v>6396000</v>
      </c>
      <c r="I136" s="295">
        <f t="shared" ref="I136:I137" ca="1" si="63">IF(D136="HDW",G136*F136,0)</f>
        <v>0</v>
      </c>
      <c r="J136" s="295">
        <f t="shared" ref="J136:J137" ca="1" si="64">IF(D136="JASA",G136*F136,0)</f>
        <v>0</v>
      </c>
      <c r="K136" s="296">
        <f t="shared" ref="K136:K137" ca="1" si="65">SUM(H136:J136)</f>
        <v>6396000</v>
      </c>
      <c r="L136" s="300"/>
      <c r="M136" s="300"/>
      <c r="N136" s="300"/>
      <c r="O136" s="297"/>
      <c r="P136" s="297"/>
      <c r="Q136" s="278"/>
      <c r="R136" s="270"/>
      <c r="S136" s="298"/>
      <c r="T136" s="275"/>
      <c r="U136" s="275"/>
      <c r="V136" s="275"/>
    </row>
    <row r="137" spans="1:22" s="301" customFormat="1" ht="17.100000000000001" customHeight="1">
      <c r="A137" s="270" t="e">
        <f>IF(AND(C94=0,#REF!=0,#REF!=0),"BLANKS",1)</f>
        <v>#REF!</v>
      </c>
      <c r="B137" s="305">
        <v>2</v>
      </c>
      <c r="C137" s="497" t="s">
        <v>350</v>
      </c>
      <c r="D137" s="292" t="str">
        <f ca="1">IF(ISERROR(OFFSET('HARGA SATUAN'!$D$6,MATCH(RAB!C137,'HARGA SATUAN'!$C$7:$C$1509,0),0)),"",OFFSET('HARGA SATUAN'!$D$6,MATCH(RAB!C137,'HARGA SATUAN'!$C$7:$C$1509,0),0))</f>
        <v>JASA</v>
      </c>
      <c r="E137" s="293" t="str">
        <f ca="1">IF(B137="+","Unit",IF(ISERROR(OFFSET('HARGA SATUAN'!$E$6,MATCH(RAB!C137,'HARGA SATUAN'!$C$7:$C$1509,0),0)),"",OFFSET('HARGA SATUAN'!$E$6,MATCH(RAB!C137,'HARGA SATUAN'!$C$7:$C$1509,0),0)))</f>
        <v>Per 50 m</v>
      </c>
      <c r="F137" s="406">
        <f>F136/50</f>
        <v>2.4</v>
      </c>
      <c r="G137" s="294">
        <f ca="1">IF(ISERROR(OFFSET('HARGA SATUAN'!$I$6,MATCH(RAB!C137,'HARGA SATUAN'!$C$7:$C$1509,0),0)),0,OFFSET('HARGA SATUAN'!$I$6,MATCH(RAB!C137,'HARGA SATUAN'!$C$7:$C$1509,0),0))</f>
        <v>179000</v>
      </c>
      <c r="H137" s="295">
        <f t="shared" ca="1" si="62"/>
        <v>0</v>
      </c>
      <c r="I137" s="295">
        <f t="shared" ca="1" si="63"/>
        <v>0</v>
      </c>
      <c r="J137" s="295">
        <f t="shared" ca="1" si="64"/>
        <v>429600</v>
      </c>
      <c r="K137" s="296">
        <f t="shared" ca="1" si="65"/>
        <v>429600</v>
      </c>
      <c r="L137" s="300"/>
      <c r="M137" s="300"/>
      <c r="N137" s="300"/>
      <c r="O137" s="297"/>
      <c r="P137" s="297"/>
      <c r="Q137" s="278"/>
      <c r="R137" s="270"/>
      <c r="S137" s="298"/>
      <c r="T137" s="275"/>
      <c r="U137" s="275"/>
      <c r="V137" s="275"/>
    </row>
    <row r="138" spans="1:22" s="301" customFormat="1" ht="17.100000000000001" customHeight="1">
      <c r="A138" s="270" t="e">
        <f>IF(AND(#REF!=0,#REF!=0,#REF!=0),"BLANKS",1)</f>
        <v>#REF!</v>
      </c>
      <c r="B138" s="305">
        <v>3</v>
      </c>
      <c r="C138" s="497" t="s">
        <v>67</v>
      </c>
      <c r="D138" s="292" t="str">
        <f ca="1">IF(ISERROR(OFFSET('HARGA SATUAN'!$D$6,MATCH(RAB!C138,'HARGA SATUAN'!$C$7:$C$1509,0),0)),"",OFFSET('HARGA SATUAN'!$D$6,MATCH(RAB!C138,'HARGA SATUAN'!$C$7:$C$1509,0),0))</f>
        <v>MDU-KD</v>
      </c>
      <c r="E138" s="293" t="str">
        <f ca="1">IF(B138="+","Unit",IF(ISERROR(OFFSET('HARGA SATUAN'!$E$6,MATCH(RAB!C138,'HARGA SATUAN'!$C$7:$C$1509,0),0)),"",OFFSET('HARGA SATUAN'!$E$6,MATCH(RAB!C138,'HARGA SATUAN'!$C$7:$C$1509,0),0)))</f>
        <v>Mtr</v>
      </c>
      <c r="F138" s="406">
        <v>80</v>
      </c>
      <c r="G138" s="294">
        <f ca="1">IF(ISERROR(OFFSET('HARGA SATUAN'!$I$6,MATCH(RAB!C138,'HARGA SATUAN'!$C$7:$C$1509,0),0)),0,OFFSET('HARGA SATUAN'!$I$6,MATCH(RAB!C138,'HARGA SATUAN'!$C$7:$C$1509,0),0))</f>
        <v>14200</v>
      </c>
      <c r="H138" s="295">
        <f t="shared" ref="H138" ca="1" si="66">IF(OR(D138="MDU",D138="MDU-KD"),(IF($O$3="RAB NON MDU","PLN KD",G138*F138)),0)</f>
        <v>1136000</v>
      </c>
      <c r="I138" s="295">
        <f t="shared" ref="I138" ca="1" si="67">IF(D138="HDW",G138*F138,0)</f>
        <v>0</v>
      </c>
      <c r="J138" s="295">
        <f t="shared" ref="J138" ca="1" si="68">IF(D138="JASA",G138*F138,0)</f>
        <v>0</v>
      </c>
      <c r="K138" s="296">
        <f t="shared" ref="K138" ca="1" si="69">SUM(H138:J138)</f>
        <v>1136000</v>
      </c>
      <c r="L138" s="300"/>
      <c r="M138" s="300"/>
      <c r="N138" s="300"/>
      <c r="O138" s="297"/>
      <c r="P138" s="297"/>
      <c r="Q138" s="278"/>
      <c r="R138" s="270"/>
      <c r="S138" s="298"/>
      <c r="T138" s="275"/>
      <c r="U138" s="275"/>
      <c r="V138" s="275"/>
    </row>
    <row r="139" spans="1:22" s="301" customFormat="1" ht="17.100000000000001" customHeight="1">
      <c r="A139" s="270" t="e">
        <f>IF(AND(#REF!=0,#REF!=0,#REF!=0),"BLANKS",1)</f>
        <v>#REF!</v>
      </c>
      <c r="B139" s="305">
        <v>4</v>
      </c>
      <c r="C139" s="497" t="s">
        <v>1227</v>
      </c>
      <c r="D139" s="292" t="str">
        <f ca="1">IF(ISERROR(OFFSET('HARGA SATUAN'!$D$6,MATCH(RAB!C139,'HARGA SATUAN'!$C$7:$C$1509,0),0)),"",OFFSET('HARGA SATUAN'!$D$6,MATCH(RAB!C139,'HARGA SATUAN'!$C$7:$C$1509,0),0))</f>
        <v>JASA</v>
      </c>
      <c r="E139" s="293" t="str">
        <f ca="1">IF(B139="+","Unit",IF(ISERROR(OFFSET('HARGA SATUAN'!$E$6,MATCH(RAB!C139,'HARGA SATUAN'!$C$7:$C$1509,0),0)),"",OFFSET('HARGA SATUAN'!$E$6,MATCH(RAB!C139,'HARGA SATUAN'!$C$7:$C$1509,0),0)))</f>
        <v>Per Kms</v>
      </c>
      <c r="F139" s="406">
        <f>F138/50</f>
        <v>1.6</v>
      </c>
      <c r="G139" s="294">
        <f ca="1">IF(ISERROR(OFFSET('HARGA SATUAN'!$I$6,MATCH(RAB!C139,'HARGA SATUAN'!$C$7:$C$1509,0),0)),0,OFFSET('HARGA SATUAN'!$I$6,MATCH(RAB!C139,'HARGA SATUAN'!$C$7:$C$1509,0),0))</f>
        <v>2304000</v>
      </c>
      <c r="H139" s="295">
        <f t="shared" ref="H139:H145" ca="1" si="70">IF(OR(D139="MDU",D139="MDU-KD"),(IF($O$3="RAB NON MDU","PLN KD",G139*F139)),0)</f>
        <v>0</v>
      </c>
      <c r="I139" s="295">
        <f t="shared" ref="I139:I145" ca="1" si="71">IF(D139="HDW",G139*F139,0)</f>
        <v>0</v>
      </c>
      <c r="J139" s="295">
        <f t="shared" ref="J139:J145" ca="1" si="72">IF(D139="JASA",G139*F139,0)</f>
        <v>3686400</v>
      </c>
      <c r="K139" s="296">
        <f t="shared" ref="K139:K145" ca="1" si="73">SUM(H139:J139)</f>
        <v>3686400</v>
      </c>
      <c r="L139" s="300"/>
      <c r="M139" s="300"/>
      <c r="N139" s="300"/>
      <c r="O139" s="297"/>
      <c r="P139" s="297"/>
      <c r="Q139" s="278"/>
      <c r="R139" s="270"/>
      <c r="S139" s="298"/>
      <c r="T139" s="275"/>
      <c r="U139" s="275"/>
      <c r="V139" s="275"/>
    </row>
    <row r="140" spans="1:22" s="301" customFormat="1" ht="17.100000000000001" customHeight="1">
      <c r="A140" s="270" t="e">
        <f>IF(AND(#REF!=0,#REF!=0,#REF!=0),"BLANKS",1)</f>
        <v>#REF!</v>
      </c>
      <c r="B140" s="305">
        <v>5</v>
      </c>
      <c r="C140" s="197" t="s">
        <v>1103</v>
      </c>
      <c r="D140" s="292" t="str">
        <f ca="1">IF(ISERROR(OFFSET('HARGA SATUAN'!$D$6,MATCH(RAB!C140,'HARGA SATUAN'!$C$7:$C$1509,0),0)),"",OFFSET('HARGA SATUAN'!$D$6,MATCH(RAB!C140,'HARGA SATUAN'!$C$7:$C$1509,0),0))</f>
        <v>JASA</v>
      </c>
      <c r="E140" s="293" t="str">
        <f ca="1">IF(B140="+","Unit",IF(ISERROR(OFFSET('HARGA SATUAN'!$E$6,MATCH(RAB!C140,'HARGA SATUAN'!$C$7:$C$1509,0),0)),"",OFFSET('HARGA SATUAN'!$E$6,MATCH(RAB!C140,'HARGA SATUAN'!$C$7:$C$1509,0),0)))</f>
        <v>Bh</v>
      </c>
      <c r="F140" s="406">
        <v>4</v>
      </c>
      <c r="G140" s="294">
        <f ca="1">IF(ISERROR(OFFSET('HARGA SATUAN'!$I$6,MATCH(RAB!C140,'HARGA SATUAN'!$C$7:$C$1509,0),0)),0,OFFSET('HARGA SATUAN'!$I$6,MATCH(RAB!C140,'HARGA SATUAN'!$C$7:$C$1509,0),0))</f>
        <v>13770</v>
      </c>
      <c r="H140" s="295">
        <f t="shared" ca="1" si="70"/>
        <v>0</v>
      </c>
      <c r="I140" s="295">
        <f t="shared" ca="1" si="71"/>
        <v>0</v>
      </c>
      <c r="J140" s="295">
        <f t="shared" ca="1" si="72"/>
        <v>55080</v>
      </c>
      <c r="K140" s="296">
        <f t="shared" ca="1" si="73"/>
        <v>55080</v>
      </c>
      <c r="L140" s="300"/>
      <c r="M140" s="300"/>
      <c r="N140" s="300"/>
      <c r="O140" s="297"/>
      <c r="P140" s="297"/>
      <c r="Q140" s="278"/>
      <c r="R140" s="270"/>
      <c r="S140" s="298"/>
      <c r="T140" s="275"/>
      <c r="U140" s="275"/>
      <c r="V140" s="275"/>
    </row>
    <row r="141" spans="1:22" s="301" customFormat="1" ht="17.100000000000001" customHeight="1">
      <c r="A141" s="270" t="e">
        <f>IF(AND(#REF!=0,#REF!=0,#REF!=0),"BLANKS",1)</f>
        <v>#REF!</v>
      </c>
      <c r="B141" s="305"/>
      <c r="C141" s="497"/>
      <c r="D141" s="292" t="str">
        <f ca="1">IF(ISERROR(OFFSET('HARGA SATUAN'!$D$6,MATCH(RAB!C141,'HARGA SATUAN'!$C$7:$C$1509,0),0)),"",OFFSET('HARGA SATUAN'!$D$6,MATCH(RAB!C141,'HARGA SATUAN'!$C$7:$C$1509,0),0))</f>
        <v/>
      </c>
      <c r="E141" s="293" t="str">
        <f ca="1">IF(B141="+","Unit",IF(ISERROR(OFFSET('HARGA SATUAN'!$E$6,MATCH(RAB!C141,'HARGA SATUAN'!$C$7:$C$1509,0),0)),"",OFFSET('HARGA SATUAN'!$E$6,MATCH(RAB!C141,'HARGA SATUAN'!$C$7:$C$1509,0),0)))</f>
        <v/>
      </c>
      <c r="F141" s="406"/>
      <c r="G141" s="294">
        <f ca="1">IF(ISERROR(OFFSET('HARGA SATUAN'!$I$6,MATCH(RAB!C141,'HARGA SATUAN'!$C$7:$C$1509,0),0)),0,OFFSET('HARGA SATUAN'!$I$6,MATCH(RAB!C141,'HARGA SATUAN'!$C$7:$C$1509,0),0))</f>
        <v>0</v>
      </c>
      <c r="H141" s="295">
        <f t="shared" ca="1" si="70"/>
        <v>0</v>
      </c>
      <c r="I141" s="295">
        <f t="shared" ca="1" si="71"/>
        <v>0</v>
      </c>
      <c r="J141" s="295">
        <f t="shared" ca="1" si="72"/>
        <v>0</v>
      </c>
      <c r="K141" s="296">
        <f t="shared" ca="1" si="73"/>
        <v>0</v>
      </c>
      <c r="L141" s="300"/>
      <c r="M141" s="300"/>
      <c r="N141" s="300"/>
      <c r="O141" s="297"/>
      <c r="P141" s="297"/>
      <c r="Q141" s="278"/>
      <c r="R141" s="270"/>
      <c r="S141" s="298"/>
      <c r="T141" s="275"/>
      <c r="U141" s="275"/>
      <c r="V141" s="275"/>
    </row>
    <row r="142" spans="1:22" s="301" customFormat="1" ht="33" customHeight="1">
      <c r="A142" s="270" t="e">
        <f>IF(AND(#REF!=0,#REF!=0,#REF!=0),"BLANKS",1)</f>
        <v>#REF!</v>
      </c>
      <c r="B142" s="303" t="s">
        <v>1636</v>
      </c>
      <c r="C142" s="304" t="s">
        <v>1637</v>
      </c>
      <c r="D142" s="292" t="str">
        <f ca="1">IF(ISERROR(OFFSET('HARGA SATUAN'!$D$6,MATCH(RAB!C142,'HARGA SATUAN'!$C$7:$C$1509,0),0)),"",OFFSET('HARGA SATUAN'!$D$6,MATCH(RAB!C142,'HARGA SATUAN'!$C$7:$C$1509,0),0))</f>
        <v/>
      </c>
      <c r="E142" s="293" t="str">
        <f ca="1">IF(B142="+","Unit",IF(ISERROR(OFFSET('HARGA SATUAN'!$E$6,MATCH(RAB!C142,'HARGA SATUAN'!$C$7:$C$1509,0),0)),"",OFFSET('HARGA SATUAN'!$E$6,MATCH(RAB!C142,'HARGA SATUAN'!$C$7:$C$1509,0),0)))</f>
        <v/>
      </c>
      <c r="F142" s="302"/>
      <c r="G142" s="294">
        <f ca="1">IF(ISERROR(OFFSET('HARGA SATUAN'!$I$6,MATCH(RAB!C142,'HARGA SATUAN'!$C$7:$C$1509,0),0)),0,OFFSET('HARGA SATUAN'!$I$6,MATCH(RAB!C142,'HARGA SATUAN'!$C$7:$C$1509,0),0))</f>
        <v>0</v>
      </c>
      <c r="H142" s="295">
        <f t="shared" ca="1" si="70"/>
        <v>0</v>
      </c>
      <c r="I142" s="295">
        <f t="shared" ca="1" si="71"/>
        <v>0</v>
      </c>
      <c r="J142" s="295">
        <f t="shared" ca="1" si="72"/>
        <v>0</v>
      </c>
      <c r="K142" s="296">
        <f t="shared" ca="1" si="73"/>
        <v>0</v>
      </c>
      <c r="L142" s="300"/>
      <c r="M142" s="300"/>
      <c r="N142" s="300"/>
      <c r="O142" s="297"/>
      <c r="P142" s="297"/>
      <c r="Q142" s="278"/>
      <c r="R142" s="270"/>
      <c r="S142" s="298"/>
      <c r="T142" s="275"/>
      <c r="U142" s="275"/>
      <c r="V142" s="275"/>
    </row>
    <row r="143" spans="1:22" s="301" customFormat="1" ht="17.100000000000001" customHeight="1">
      <c r="A143" s="270" t="e">
        <f>IF(AND(#REF!=0,#REF!=0,#REF!=0),"BLANKS",1)</f>
        <v>#REF!</v>
      </c>
      <c r="B143" s="495" t="s">
        <v>1039</v>
      </c>
      <c r="C143" s="496" t="s">
        <v>1638</v>
      </c>
      <c r="D143" s="292" t="str">
        <f ca="1">IF(ISERROR(OFFSET('HARGA SATUAN'!$D$6,MATCH(RAB!C143,'HARGA SATUAN'!$C$7:$C$1509,0),0)),"",OFFSET('HARGA SATUAN'!$D$6,MATCH(RAB!C143,'HARGA SATUAN'!$C$7:$C$1509,0),0))</f>
        <v/>
      </c>
      <c r="E143" s="293" t="str">
        <f ca="1">IF(B143="+","Unit",IF(ISERROR(OFFSET('HARGA SATUAN'!$E$6,MATCH(RAB!C143,'HARGA SATUAN'!$C$7:$C$1509,0),0)),"",OFFSET('HARGA SATUAN'!$E$6,MATCH(RAB!C143,'HARGA SATUAN'!$C$7:$C$1509,0),0)))</f>
        <v>Unit</v>
      </c>
      <c r="F143" s="306">
        <f>76+1</f>
        <v>77</v>
      </c>
      <c r="G143" s="294">
        <f ca="1">IF(ISERROR(OFFSET('HARGA SATUAN'!$I$6,MATCH(RAB!C143,'HARGA SATUAN'!$C$7:$C$1509,0),0)),0,OFFSET('HARGA SATUAN'!$I$6,MATCH(RAB!C143,'HARGA SATUAN'!$C$7:$C$1509,0),0))</f>
        <v>0</v>
      </c>
      <c r="H143" s="295">
        <f t="shared" ca="1" si="70"/>
        <v>0</v>
      </c>
      <c r="I143" s="295">
        <f t="shared" ca="1" si="71"/>
        <v>0</v>
      </c>
      <c r="J143" s="295">
        <f t="shared" ca="1" si="72"/>
        <v>0</v>
      </c>
      <c r="K143" s="296">
        <f t="shared" ca="1" si="73"/>
        <v>0</v>
      </c>
      <c r="L143" s="300"/>
      <c r="M143" s="300"/>
      <c r="N143" s="300"/>
      <c r="O143" s="297"/>
      <c r="P143" s="297"/>
      <c r="Q143" s="278"/>
      <c r="R143" s="270"/>
      <c r="S143" s="298"/>
      <c r="T143" s="275"/>
      <c r="U143" s="275"/>
      <c r="V143" s="275"/>
    </row>
    <row r="144" spans="1:22" s="301" customFormat="1" ht="17.100000000000001" customHeight="1">
      <c r="A144" s="270" t="e">
        <f>IF(AND(C85=0,#REF!=0,#REF!=0),"BLANKS",1)</f>
        <v>#REF!</v>
      </c>
      <c r="B144" s="305">
        <v>1</v>
      </c>
      <c r="C144" s="497" t="s">
        <v>485</v>
      </c>
      <c r="D144" s="292" t="str">
        <f ca="1">IF(ISERROR(OFFSET('HARGA SATUAN'!$D$6,MATCH(RAB!C144,'HARGA SATUAN'!$C$7:$C$1509,0),0)),"",OFFSET('HARGA SATUAN'!$D$6,MATCH(RAB!C144,'HARGA SATUAN'!$C$7:$C$1509,0),0))</f>
        <v>MDU-KD</v>
      </c>
      <c r="E144" s="293" t="str">
        <f ca="1">IF(B144="+","Unit",IF(ISERROR(OFFSET('HARGA SATUAN'!$E$6,MATCH(RAB!C144,'HARGA SATUAN'!$C$7:$C$1509,0),0)),"",OFFSET('HARGA SATUAN'!$E$6,MATCH(RAB!C144,'HARGA SATUAN'!$C$7:$C$1509,0),0)))</f>
        <v>Bh</v>
      </c>
      <c r="F144" s="306">
        <f>F143*1</f>
        <v>77</v>
      </c>
      <c r="G144" s="294">
        <f ca="1">IF(ISERROR(OFFSET('HARGA SATUAN'!$I$6,MATCH(RAB!C144,'HARGA SATUAN'!$C$7:$C$1509,0),0)),0,OFFSET('HARGA SATUAN'!$I$6,MATCH(RAB!C144,'HARGA SATUAN'!$C$7:$C$1509,0),0))</f>
        <v>327600</v>
      </c>
      <c r="H144" s="295">
        <f t="shared" ca="1" si="70"/>
        <v>25225200</v>
      </c>
      <c r="I144" s="295">
        <f t="shared" ca="1" si="71"/>
        <v>0</v>
      </c>
      <c r="J144" s="295">
        <f t="shared" ca="1" si="72"/>
        <v>0</v>
      </c>
      <c r="K144" s="296">
        <f t="shared" ca="1" si="73"/>
        <v>25225200</v>
      </c>
      <c r="L144" s="300"/>
      <c r="M144" s="300"/>
      <c r="N144" s="300"/>
      <c r="O144" s="297"/>
      <c r="P144" s="297"/>
      <c r="Q144" s="278"/>
      <c r="R144" s="270"/>
      <c r="S144" s="298"/>
      <c r="T144" s="275"/>
      <c r="U144" s="275"/>
      <c r="V144" s="275"/>
    </row>
    <row r="145" spans="1:22" s="301" customFormat="1" ht="17.100000000000001" customHeight="1">
      <c r="A145" s="270" t="e">
        <f>IF(AND(#REF!=0,#REF!=0,#REF!=0),"BLANKS",1)</f>
        <v>#REF!</v>
      </c>
      <c r="B145" s="305">
        <v>2</v>
      </c>
      <c r="C145" s="497" t="s">
        <v>490</v>
      </c>
      <c r="D145" s="292" t="str">
        <f ca="1">IF(ISERROR(OFFSET('HARGA SATUAN'!$D$6,MATCH(RAB!C145,'HARGA SATUAN'!$C$7:$C$1509,0),0)),"",OFFSET('HARGA SATUAN'!$D$6,MATCH(RAB!C145,'HARGA SATUAN'!$C$7:$C$1509,0),0))</f>
        <v>MDU-KD</v>
      </c>
      <c r="E145" s="293" t="str">
        <f ca="1">IF(B145="+","Unit",IF(ISERROR(OFFSET('HARGA SATUAN'!$E$6,MATCH(RAB!C145,'HARGA SATUAN'!$C$7:$C$1509,0),0)),"",OFFSET('HARGA SATUAN'!$E$6,MATCH(RAB!C145,'HARGA SATUAN'!$C$7:$C$1509,0),0)))</f>
        <v>Bh</v>
      </c>
      <c r="F145" s="306">
        <f>F143*1</f>
        <v>77</v>
      </c>
      <c r="G145" s="294">
        <f ca="1">IF(ISERROR(OFFSET('HARGA SATUAN'!$I$6,MATCH(RAB!C145,'HARGA SATUAN'!$C$7:$C$1509,0),0)),0,OFFSET('HARGA SATUAN'!$I$6,MATCH(RAB!C145,'HARGA SATUAN'!$C$7:$C$1509,0),0))</f>
        <v>39000</v>
      </c>
      <c r="H145" s="295">
        <f t="shared" ca="1" si="70"/>
        <v>3003000</v>
      </c>
      <c r="I145" s="295">
        <f t="shared" ca="1" si="71"/>
        <v>0</v>
      </c>
      <c r="J145" s="295">
        <f t="shared" ca="1" si="72"/>
        <v>0</v>
      </c>
      <c r="K145" s="296">
        <f t="shared" ca="1" si="73"/>
        <v>3003000</v>
      </c>
      <c r="L145" s="300"/>
      <c r="M145" s="300"/>
      <c r="N145" s="300"/>
      <c r="O145" s="297"/>
      <c r="P145" s="297"/>
      <c r="Q145" s="278"/>
      <c r="R145" s="270"/>
      <c r="S145" s="298"/>
      <c r="T145" s="275"/>
      <c r="U145" s="275"/>
      <c r="V145" s="275"/>
    </row>
    <row r="146" spans="1:22" s="301" customFormat="1" ht="17.100000000000001" customHeight="1">
      <c r="A146" s="270" t="e">
        <f>IF(AND(#REF!=0,#REF!=0,#REF!=0),"BLANKS",1)</f>
        <v>#REF!</v>
      </c>
      <c r="B146" s="305">
        <v>3</v>
      </c>
      <c r="C146" s="497" t="s">
        <v>76</v>
      </c>
      <c r="D146" s="292" t="str">
        <f ca="1">IF(ISERROR(OFFSET('HARGA SATUAN'!$D$6,MATCH(RAB!C146,'HARGA SATUAN'!$C$7:$C$1509,0),0)),"",OFFSET('HARGA SATUAN'!$D$6,MATCH(RAB!C146,'HARGA SATUAN'!$C$7:$C$1509,0),0))</f>
        <v>MDU-KD</v>
      </c>
      <c r="E146" s="293" t="str">
        <f ca="1">IF(B146="+","Unit",IF(ISERROR(OFFSET('HARGA SATUAN'!$E$6,MATCH(RAB!C146,'HARGA SATUAN'!$C$7:$C$1509,0),0)),"",OFFSET('HARGA SATUAN'!$E$6,MATCH(RAB!C146,'HARGA SATUAN'!$C$7:$C$1509,0),0)))</f>
        <v>Mtr</v>
      </c>
      <c r="F146" s="306">
        <f>F143*15</f>
        <v>1155</v>
      </c>
      <c r="G146" s="294">
        <f ca="1">IF(ISERROR(OFFSET('HARGA SATUAN'!$I$6,MATCH(RAB!C146,'HARGA SATUAN'!$C$7:$C$1509,0),0)),0,OFFSET('HARGA SATUAN'!$I$6,MATCH(RAB!C146,'HARGA SATUAN'!$C$7:$C$1509,0),0))</f>
        <v>4300</v>
      </c>
      <c r="H146" s="295">
        <f t="shared" ref="H146:H147" ca="1" si="74">IF(OR(D146="MDU",D146="MDU-KD"),(IF($O$3="RAB NON MDU","PLN KD",G146*F146)),0)</f>
        <v>4966500</v>
      </c>
      <c r="I146" s="295">
        <f t="shared" ref="I146:I147" ca="1" si="75">IF(D146="HDW",G146*F146,0)</f>
        <v>0</v>
      </c>
      <c r="J146" s="295">
        <f t="shared" ref="J146:J147" ca="1" si="76">IF(D146="JASA",G146*F146,0)</f>
        <v>0</v>
      </c>
      <c r="K146" s="296">
        <f t="shared" ref="K146:K147" ca="1" si="77">SUM(H146:J146)</f>
        <v>4966500</v>
      </c>
      <c r="L146" s="300"/>
      <c r="M146" s="300"/>
      <c r="N146" s="300"/>
      <c r="O146" s="297"/>
      <c r="P146" s="297"/>
      <c r="Q146" s="278"/>
      <c r="R146" s="270"/>
      <c r="S146" s="298"/>
      <c r="T146" s="275"/>
      <c r="U146" s="275"/>
      <c r="V146" s="275"/>
    </row>
    <row r="147" spans="1:22" s="301" customFormat="1" ht="17.100000000000001" customHeight="1">
      <c r="A147" s="270" t="e">
        <f>IF(AND(#REF!=0,#REF!=0,#REF!=0),"BLANKS",1)</f>
        <v>#REF!</v>
      </c>
      <c r="B147" s="305">
        <v>4</v>
      </c>
      <c r="C147" s="497" t="s">
        <v>802</v>
      </c>
      <c r="D147" s="292" t="str">
        <f ca="1">IF(ISERROR(OFFSET('HARGA SATUAN'!$D$6,MATCH(RAB!C147,'HARGA SATUAN'!$C$7:$C$1509,0),0)),"",OFFSET('HARGA SATUAN'!$D$6,MATCH(RAB!C147,'HARGA SATUAN'!$C$7:$C$1509,0),0))</f>
        <v>JASA</v>
      </c>
      <c r="E147" s="293" t="str">
        <f ca="1">IF(B147="+","Unit",IF(ISERROR(OFFSET('HARGA SATUAN'!$E$6,MATCH(RAB!C147,'HARGA SATUAN'!$C$7:$C$1509,0),0)),"",OFFSET('HARGA SATUAN'!$E$6,MATCH(RAB!C147,'HARGA SATUAN'!$C$7:$C$1509,0),0)))</f>
        <v>Unit</v>
      </c>
      <c r="F147" s="306">
        <f>F143*1</f>
        <v>77</v>
      </c>
      <c r="G147" s="294">
        <f ca="1">IF(ISERROR(OFFSET('HARGA SATUAN'!$I$6,MATCH(RAB!C147,'HARGA SATUAN'!$C$7:$C$1509,0),0)),0,OFFSET('HARGA SATUAN'!$I$6,MATCH(RAB!C147,'HARGA SATUAN'!$C$7:$C$1509,0),0))</f>
        <v>54400</v>
      </c>
      <c r="H147" s="295">
        <f t="shared" ca="1" si="74"/>
        <v>0</v>
      </c>
      <c r="I147" s="295">
        <f t="shared" ca="1" si="75"/>
        <v>0</v>
      </c>
      <c r="J147" s="295">
        <f t="shared" ca="1" si="76"/>
        <v>4188800</v>
      </c>
      <c r="K147" s="296">
        <f t="shared" ca="1" si="77"/>
        <v>4188800</v>
      </c>
      <c r="L147" s="300"/>
      <c r="M147" s="300"/>
      <c r="N147" s="300"/>
      <c r="O147" s="297"/>
      <c r="P147" s="297"/>
      <c r="Q147" s="278"/>
      <c r="R147" s="270"/>
      <c r="S147" s="298"/>
      <c r="T147" s="275"/>
      <c r="U147" s="275"/>
      <c r="V147" s="275"/>
    </row>
    <row r="148" spans="1:22" s="301" customFormat="1" ht="19.5" customHeight="1">
      <c r="A148" s="270" t="e">
        <f>IF(AND(#REF!=0,#REF!=0,#REF!=0),"BLANKS",1)</f>
        <v>#REF!</v>
      </c>
      <c r="B148" s="305">
        <v>5</v>
      </c>
      <c r="C148" s="497" t="s">
        <v>1158</v>
      </c>
      <c r="D148" s="292" t="str">
        <f ca="1">IF(ISERROR(OFFSET('HARGA SATUAN'!$D$6,MATCH(RAB!C148,'HARGA SATUAN'!$C$7:$C$1509,0),0)),"",OFFSET('HARGA SATUAN'!$D$6,MATCH(RAB!C148,'HARGA SATUAN'!$C$7:$C$1509,0),0))</f>
        <v>HDW</v>
      </c>
      <c r="E148" s="293" t="str">
        <f ca="1">IF(B148="+","Unit",IF(ISERROR(OFFSET('HARGA SATUAN'!$E$6,MATCH(RAB!C148,'HARGA SATUAN'!$C$7:$C$1509,0),0)),"",OFFSET('HARGA SATUAN'!$E$6,MATCH(RAB!C148,'HARGA SATUAN'!$C$7:$C$1509,0),0)))</f>
        <v>Set</v>
      </c>
      <c r="F148" s="302">
        <f>1*F143</f>
        <v>77</v>
      </c>
      <c r="G148" s="294">
        <f ca="1">IF(ISERROR(OFFSET('HARGA SATUAN'!$I$6,MATCH(RAB!C148,'HARGA SATUAN'!$C$7:$C$1509,0),0)),0,OFFSET('HARGA SATUAN'!$I$6,MATCH(RAB!C148,'HARGA SATUAN'!$C$7:$C$1509,0),0))</f>
        <v>3888</v>
      </c>
      <c r="H148" s="295">
        <f t="shared" ref="H148" ca="1" si="78">IF(OR(D148="MDU",D148="MDU-KD"),(IF($O$3="RAB NON MDU","PLN KD",G148*F148)),0)</f>
        <v>0</v>
      </c>
      <c r="I148" s="295">
        <f t="shared" ref="I148" ca="1" si="79">IF(D148="HDW",G148*F148,0)</f>
        <v>299376</v>
      </c>
      <c r="J148" s="295">
        <f t="shared" ref="J148" ca="1" si="80">IF(D148="JASA",G148*F148,0)</f>
        <v>0</v>
      </c>
      <c r="K148" s="296">
        <f t="shared" ref="K148" ca="1" si="81">SUM(H148:J148)</f>
        <v>299376</v>
      </c>
      <c r="L148" s="300"/>
      <c r="M148" s="300"/>
      <c r="N148" s="300"/>
      <c r="O148" s="297"/>
      <c r="P148" s="297"/>
      <c r="Q148" s="278"/>
      <c r="R148" s="270"/>
      <c r="S148" s="298"/>
      <c r="T148" s="275"/>
      <c r="U148" s="275"/>
      <c r="V148" s="275"/>
    </row>
    <row r="149" spans="1:22" s="301" customFormat="1" ht="17.100000000000001" customHeight="1">
      <c r="A149" s="270" t="e">
        <f>IF(AND(C90=0,#REF!=0,#REF!=0),"BLANKS",1)</f>
        <v>#REF!</v>
      </c>
      <c r="B149" s="305">
        <v>6</v>
      </c>
      <c r="C149" s="497" t="s">
        <v>122</v>
      </c>
      <c r="D149" s="292" t="str">
        <f ca="1">IF(ISERROR(OFFSET('HARGA SATUAN'!$D$6,MATCH(RAB!C149,'HARGA SATUAN'!$C$7:$C$1509,0),0)),"",OFFSET('HARGA SATUAN'!$D$6,MATCH(RAB!C149,'HARGA SATUAN'!$C$7:$C$1509,0),0))</f>
        <v>HDW</v>
      </c>
      <c r="E149" s="293" t="str">
        <f ca="1">IF(B149="+","Unit",IF(ISERROR(OFFSET('HARGA SATUAN'!$E$6,MATCH(RAB!C149,'HARGA SATUAN'!$C$7:$C$1509,0),0)),"",OFFSET('HARGA SATUAN'!$E$6,MATCH(RAB!C149,'HARGA SATUAN'!$C$7:$C$1509,0),0)))</f>
        <v>Set</v>
      </c>
      <c r="F149" s="302">
        <f>2*F143</f>
        <v>154</v>
      </c>
      <c r="G149" s="294">
        <f ca="1">IF(ISERROR(OFFSET('HARGA SATUAN'!$I$6,MATCH(RAB!C149,'HARGA SATUAN'!$C$7:$C$1509,0),0)),0,OFFSET('HARGA SATUAN'!$I$6,MATCH(RAB!C149,'HARGA SATUAN'!$C$7:$C$1509,0),0))</f>
        <v>8900</v>
      </c>
      <c r="H149" s="295">
        <f t="shared" ref="H149" ca="1" si="82">IF(OR(D149="MDU",D149="MDU-KD"),(IF($O$3="RAB NON MDU","PLN KD",G149*F149)),0)</f>
        <v>0</v>
      </c>
      <c r="I149" s="295">
        <f t="shared" ref="I149" ca="1" si="83">IF(D149="HDW",G149*F149,0)</f>
        <v>1370600</v>
      </c>
      <c r="J149" s="295">
        <f t="shared" ref="J149" ca="1" si="84">IF(D149="JASA",G149*F149,0)</f>
        <v>0</v>
      </c>
      <c r="K149" s="296">
        <f t="shared" ref="K149" ca="1" si="85">SUM(H149:J149)</f>
        <v>1370600</v>
      </c>
      <c r="L149" s="300"/>
      <c r="M149" s="300"/>
      <c r="N149" s="300"/>
      <c r="O149" s="297"/>
      <c r="P149" s="297"/>
      <c r="Q149" s="278"/>
      <c r="R149" s="270"/>
      <c r="S149" s="298"/>
      <c r="T149" s="275"/>
      <c r="U149" s="275"/>
      <c r="V149" s="275"/>
    </row>
    <row r="150" spans="1:22" s="301" customFormat="1" ht="17.100000000000001" customHeight="1">
      <c r="A150" s="270" t="e">
        <f>IF(AND(#REF!=0,#REF!=0,#REF!=0),"BLANKS",1)</f>
        <v>#REF!</v>
      </c>
      <c r="B150" s="305"/>
      <c r="C150" s="308"/>
      <c r="D150" s="292"/>
      <c r="E150" s="293"/>
      <c r="F150" s="306"/>
      <c r="G150" s="294"/>
      <c r="H150" s="295"/>
      <c r="I150" s="295"/>
      <c r="J150" s="295"/>
      <c r="K150" s="296"/>
      <c r="L150" s="300"/>
      <c r="M150" s="300"/>
      <c r="N150" s="300"/>
      <c r="O150" s="297"/>
      <c r="P150" s="297"/>
      <c r="Q150" s="278"/>
      <c r="R150" s="270"/>
      <c r="S150" s="298"/>
      <c r="T150" s="275"/>
      <c r="U150" s="275"/>
      <c r="V150" s="275"/>
    </row>
    <row r="151" spans="1:22" s="301" customFormat="1" ht="17.100000000000001" customHeight="1">
      <c r="A151" s="270" t="e">
        <f>IF(AND(#REF!=0,#REF!=0,#REF!=0),"BLANKS",1)</f>
        <v>#REF!</v>
      </c>
      <c r="B151" s="309"/>
      <c r="C151" s="310" t="s">
        <v>478</v>
      </c>
      <c r="D151" s="292" t="str">
        <f ca="1">IF(ISERROR(OFFSET('HARGA SATUAN'!$D$6,MATCH(RAB!C151,'HARGA SATUAN'!$C$7:$C$1509,0),0)),"",OFFSET('HARGA SATUAN'!$D$6,MATCH(RAB!C151,'HARGA SATUAN'!$C$7:$C$1509,0),0))</f>
        <v/>
      </c>
      <c r="E151" s="293" t="str">
        <f ca="1">IF(B151="+","Unit",IF(ISERROR(OFFSET('HARGA SATUAN'!$E$6,MATCH(RAB!C151,'HARGA SATUAN'!$C$7:$C$1509,0),0)),"",OFFSET('HARGA SATUAN'!$E$6,MATCH(RAB!C151,'HARGA SATUAN'!$C$7:$C$1509,0),0)))</f>
        <v/>
      </c>
      <c r="F151" s="311"/>
      <c r="G151" s="294">
        <f ca="1">IF(ISERROR(OFFSET('HARGA SATUAN'!$I$6,MATCH(RAB!C151,'HARGA SATUAN'!$C$7:$C$1509,0),0)),0,OFFSET('HARGA SATUAN'!$I$6,MATCH(RAB!C151,'HARGA SATUAN'!$C$7:$C$1509,0),0))</f>
        <v>0</v>
      </c>
      <c r="H151" s="295">
        <f t="shared" ref="H151" ca="1" si="86">IF(OR(D151="MDU",D151="MDU-KD"),(IF($O$3="RAB NON MDU","PLN KD",G151*F151)),0)</f>
        <v>0</v>
      </c>
      <c r="I151" s="295">
        <f ca="1">IF(D151="HDW",G151*F151,0)</f>
        <v>0</v>
      </c>
      <c r="J151" s="295">
        <f ca="1">IF(D151="JASA",G151*F151,0)</f>
        <v>0</v>
      </c>
      <c r="K151" s="296">
        <f ca="1">SUM(H151:J151)</f>
        <v>0</v>
      </c>
      <c r="L151" s="300"/>
      <c r="M151" s="300"/>
      <c r="N151" s="300"/>
      <c r="O151" s="297"/>
      <c r="P151" s="297"/>
      <c r="Q151" s="278"/>
      <c r="R151" s="270"/>
      <c r="S151" s="298"/>
      <c r="T151" s="275"/>
      <c r="U151" s="275"/>
      <c r="V151" s="275"/>
    </row>
    <row r="152" spans="1:22" s="301" customFormat="1" ht="17.100000000000001" customHeight="1">
      <c r="A152" s="270" t="e">
        <f>IF(AND(C93=0,#REF!=0,#REF!=0),"BLANKS",1)</f>
        <v>#REF!</v>
      </c>
      <c r="B152" s="312">
        <v>1</v>
      </c>
      <c r="C152" s="313" t="s">
        <v>1095</v>
      </c>
      <c r="D152" s="314" t="str">
        <f ca="1">IF(ISERROR(OFFSET('HARGA SATUAN'!$D$6,MATCH(RAB!C152,'HARGA SATUAN'!$C$7:$C$1509,0),0)),"",OFFSET('HARGA SATUAN'!$D$6,MATCH(RAB!C152,'HARGA SATUAN'!$C$7:$C$1509,0),0))</f>
        <v>JASA</v>
      </c>
      <c r="E152" s="315" t="str">
        <f ca="1">IF(ISERROR(OFFSET('HARGA SATUAN'!$E$6,MATCH(RAB!C152,'HARGA SATUAN'!$C$7:$C$1509,0),0)),"",OFFSET('HARGA SATUAN'!$E$6,MATCH(RAB!C152,'HARGA SATUAN'!$C$7:$C$1509,0),0))</f>
        <v>Lot</v>
      </c>
      <c r="F152" s="316">
        <v>1</v>
      </c>
      <c r="G152" s="317">
        <f ca="1">IF(ISERROR(OFFSET('HARGA SATUAN'!$I$6,MATCH(RAB!C152,'HARGA SATUAN'!$C$7:$C$1509,0),0)),0,OFFSET('HARGA SATUAN'!$I$6,MATCH(RAB!C152,'HARGA SATUAN'!$C$7:$C$1509,0),0))</f>
        <v>2.5000000000000001E-2</v>
      </c>
      <c r="H152" s="318"/>
      <c r="I152" s="318"/>
      <c r="J152" s="318">
        <f ca="1">SUM(K15:K150)*G152</f>
        <v>2566652.6410000003</v>
      </c>
      <c r="K152" s="319">
        <f ca="1">SUM(H152:J152)</f>
        <v>2566652.6410000003</v>
      </c>
      <c r="L152" s="300"/>
      <c r="M152" s="300"/>
      <c r="N152" s="300"/>
      <c r="O152" s="297"/>
      <c r="P152" s="297"/>
      <c r="Q152" s="278"/>
      <c r="R152" s="270"/>
      <c r="S152" s="298"/>
      <c r="T152" s="275"/>
      <c r="U152" s="275"/>
      <c r="V152" s="275"/>
    </row>
    <row r="153" spans="1:22" s="301" customFormat="1" ht="17.100000000000001" customHeight="1" thickBot="1">
      <c r="A153" s="270" t="e">
        <f>IF(AND(#REF!=0,#REF!=0,#REF!=0),"BLANKS",1)</f>
        <v>#REF!</v>
      </c>
      <c r="B153" s="320"/>
      <c r="C153" s="321"/>
      <c r="D153" s="322"/>
      <c r="E153" s="323"/>
      <c r="F153" s="323"/>
      <c r="G153" s="323"/>
      <c r="H153" s="324"/>
      <c r="I153" s="324"/>
      <c r="J153" s="324"/>
      <c r="K153" s="325"/>
      <c r="L153" s="300"/>
      <c r="M153" s="300"/>
      <c r="N153" s="300"/>
      <c r="O153" s="297"/>
      <c r="P153" s="297"/>
      <c r="Q153" s="278"/>
      <c r="R153" s="270"/>
      <c r="S153" s="298"/>
      <c r="T153" s="275"/>
      <c r="U153" s="275"/>
      <c r="V153" s="275"/>
    </row>
    <row r="154" spans="1:22" s="301" customFormat="1" ht="17.100000000000001" customHeight="1">
      <c r="A154" s="270" t="e">
        <f>IF(AND(#REF!=0,#REF!=0,#REF!=0),"BLANKS",1)</f>
        <v>#REF!</v>
      </c>
      <c r="B154" s="326"/>
      <c r="C154" s="633" t="s">
        <v>1012</v>
      </c>
      <c r="D154" s="633"/>
      <c r="E154" s="633"/>
      <c r="F154" s="633"/>
      <c r="G154" s="327" t="s">
        <v>9</v>
      </c>
      <c r="H154" s="328">
        <f ca="1">SUM(H14:H152)</f>
        <v>68912800</v>
      </c>
      <c r="I154" s="328">
        <f ca="1">SUM(I14:I152)</f>
        <v>24209858.973333333</v>
      </c>
      <c r="J154" s="328">
        <f ca="1">SUM(J14:J152)</f>
        <v>12110099.307666669</v>
      </c>
      <c r="K154" s="328">
        <f ca="1">SUM(K14:K152)</f>
        <v>105232758.281</v>
      </c>
      <c r="L154" s="300"/>
      <c r="M154" s="300"/>
      <c r="N154" s="300"/>
      <c r="O154" s="297"/>
      <c r="P154" s="297"/>
      <c r="Q154" s="278"/>
      <c r="R154" s="270"/>
      <c r="S154" s="298"/>
      <c r="T154" s="275"/>
      <c r="U154" s="275"/>
      <c r="V154" s="275"/>
    </row>
    <row r="155" spans="1:22" s="301" customFormat="1" ht="17.100000000000001" customHeight="1">
      <c r="A155" s="270" t="e">
        <f>IF(AND(#REF!=0,#REF!=0,#REF!=0),"BLANKS",1)</f>
        <v>#REF!</v>
      </c>
      <c r="B155" s="329"/>
      <c r="C155" s="649" t="s">
        <v>1461</v>
      </c>
      <c r="D155" s="649"/>
      <c r="E155" s="649"/>
      <c r="F155" s="649"/>
      <c r="G155" s="330" t="s">
        <v>9</v>
      </c>
      <c r="H155" s="331">
        <f ca="1">H154*0.11</f>
        <v>7580408</v>
      </c>
      <c r="I155" s="331">
        <f ca="1">I154*0.11</f>
        <v>2663084.4870666666</v>
      </c>
      <c r="J155" s="331">
        <f ca="1">J154*0.11</f>
        <v>1332110.9238433335</v>
      </c>
      <c r="K155" s="331">
        <f ca="1">K154*0.11</f>
        <v>11575603.410910001</v>
      </c>
      <c r="L155" s="300"/>
      <c r="M155" s="300"/>
      <c r="N155" s="300"/>
      <c r="O155" s="297"/>
      <c r="P155" s="297"/>
      <c r="Q155" s="278"/>
      <c r="R155" s="270"/>
      <c r="S155" s="298"/>
      <c r="T155" s="275"/>
      <c r="U155" s="275"/>
      <c r="V155" s="275"/>
    </row>
    <row r="156" spans="1:22" s="301" customFormat="1" ht="33" customHeight="1" thickBot="1">
      <c r="A156" s="270" t="e">
        <f>IF(AND(#REF!=0,#REF!=0,#REF!=0),"BLANKS",1)</f>
        <v>#REF!</v>
      </c>
      <c r="B156" s="329"/>
      <c r="C156" s="647" t="s">
        <v>466</v>
      </c>
      <c r="D156" s="647"/>
      <c r="E156" s="647"/>
      <c r="F156" s="647"/>
      <c r="G156" s="332" t="s">
        <v>9</v>
      </c>
      <c r="H156" s="333">
        <f ca="1">SUM(H154:H155)</f>
        <v>76493208</v>
      </c>
      <c r="I156" s="333">
        <f ca="1">SUM(I154:I155)</f>
        <v>26872943.4604</v>
      </c>
      <c r="J156" s="332">
        <f ca="1">SUM(J154:J155)</f>
        <v>13442210.231510002</v>
      </c>
      <c r="K156" s="332">
        <f ca="1">SUM(K154:K155)</f>
        <v>116808361.69191</v>
      </c>
      <c r="L156" s="300"/>
      <c r="M156" s="300"/>
      <c r="N156" s="300"/>
      <c r="O156" s="297"/>
      <c r="P156" s="297"/>
      <c r="Q156" s="278"/>
      <c r="R156" s="270"/>
      <c r="S156" s="298"/>
      <c r="T156" s="275"/>
      <c r="U156" s="275"/>
      <c r="V156" s="275"/>
    </row>
    <row r="157" spans="1:22" s="301" customFormat="1" ht="21.75" customHeight="1">
      <c r="A157" s="270" t="e">
        <f>IF(AND(#REF!=0,#REF!=0,#REF!=0),"BLANKS",1)</f>
        <v>#REF!</v>
      </c>
      <c r="B157" s="650" t="str">
        <f ca="1">"Terbilang : "&amp;PROPER(IF(K156=0,"nol",IF(K156&lt;0,"minus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IF(--MID(TEXT(ABS(K156),"000000000000000"),1,3)=0,"",MID(TEXT(ABS(K156),"000000000000000"),1,1)&amp;" ratus "&amp;MID(TEXT(ABS(K156),"000000000000000"),2,1)&amp;" puluh "&amp;MID(TEXT(ABS(K156),"000000000000000"),3,1)&amp;" trilyun ")&amp; IF(--MID(TEXT(ABS(K156),"000000000000000"),4,3)=0,"",MID(TEXT(ABS(K156),"000000000000000"),4,1)&amp;" ratus "&amp;MID(TEXT(ABS(K156),"000000000000000"),5,1)&amp;" puluh "&amp;MID(TEXT(ABS(K156),"000000000000000"),6,1)&amp;" milyar ")&amp; IF(--MID(TEXT(ABS(K156),"000000000000000"),7,3)=0,"",MID(TEXT(ABS(K156),"000000000000000"),7,1)&amp;" ratus "&amp;MID(TEXT(ABS(K156),"000000000000000"),8,1)&amp;" puluh "&amp;MID(TEXT(ABS(K156),"000000000000000"),9,1)&amp;" juta ")&amp; IF(--MID(TEXT(ABS(K156),"000000000000000"),10,3)=0,"",IF(--MID(TEXT(ABS(K156),"000000000000000"),10,3)=1,"*",MID(TEXT(ABS(K156),"000000000000000"),10,1)&amp;" ratus "&amp;MID(TEXT(ABS(K156),"000000000000000"),11,1)&amp;" puluh ")&amp;MID(TEXT(ABS(K156),"000000000000000"),12,1)&amp;" ribu ")&amp; IF(--MID(TEXT(ABS(K156),"000000000000000"),13,3)=0,"",MID(TEXT(ABS(K156),"000000000000000"),13,1)&amp;" ratus "&amp;MID(TEXT(ABS(K156),"000000000000000"),14,1)&amp;" puluh "&amp;MID(TEXT(ABS(K156),"000000000000000"),15,1)),1,"satu"),2,"dua"),3,"tiga"),4,"empat"),5,"lima"),6,"enam"),7,"tujuh"),8,"delapan"),9,"sembilan"),"0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Belas Juta Delapan Ratus Delapan Ribu Tiga Ratus Enam Puluh Dua Rupiah</v>
      </c>
      <c r="C157" s="651"/>
      <c r="D157" s="651"/>
      <c r="E157" s="651"/>
      <c r="F157" s="651"/>
      <c r="G157" s="651"/>
      <c r="H157" s="651"/>
      <c r="I157" s="651"/>
      <c r="J157" s="651"/>
      <c r="K157" s="652"/>
      <c r="L157" s="300"/>
      <c r="M157" s="300"/>
      <c r="N157" s="300"/>
      <c r="O157" s="297"/>
      <c r="P157" s="297"/>
      <c r="Q157" s="278"/>
      <c r="R157" s="270"/>
      <c r="S157" s="298"/>
      <c r="T157" s="275"/>
      <c r="U157" s="275"/>
      <c r="V157" s="275"/>
    </row>
    <row r="158" spans="1:22" s="301" customFormat="1" ht="17.100000000000001" customHeight="1">
      <c r="A158" s="270"/>
      <c r="B158" s="653"/>
      <c r="C158" s="654"/>
      <c r="D158" s="654"/>
      <c r="E158" s="654"/>
      <c r="F158" s="654"/>
      <c r="G158" s="654"/>
      <c r="H158" s="654"/>
      <c r="I158" s="654"/>
      <c r="J158" s="654"/>
      <c r="K158" s="655"/>
      <c r="L158" s="300"/>
      <c r="M158" s="300"/>
      <c r="N158" s="300"/>
      <c r="O158" s="297"/>
      <c r="P158" s="297"/>
      <c r="Q158" s="278"/>
      <c r="R158" s="270"/>
      <c r="S158" s="298"/>
      <c r="T158" s="275"/>
      <c r="U158" s="275"/>
      <c r="V158" s="275"/>
    </row>
    <row r="159" spans="1:22" s="301" customFormat="1" ht="17.100000000000001" customHeight="1" thickBot="1">
      <c r="A159" s="270" t="e">
        <f>IF(AND(C89=0,C90=0,#REF!=0),"BLANKS",1)</f>
        <v>#REF!</v>
      </c>
      <c r="B159" s="335" t="str">
        <f>"Harga yang dipakai adalah "&amp;'HARGA SATUAN'!I5&amp;""</f>
        <v>Harga yang dipakai adalah RAB HSS 2023</v>
      </c>
      <c r="C159" s="336"/>
      <c r="D159" s="337"/>
      <c r="E159" s="337"/>
      <c r="F159" s="337"/>
      <c r="G159" s="338"/>
      <c r="H159" s="338"/>
      <c r="I159" s="338"/>
      <c r="J159" s="338"/>
      <c r="K159" s="339"/>
      <c r="L159" s="300"/>
      <c r="M159" s="300"/>
      <c r="N159" s="300"/>
      <c r="O159" s="297"/>
      <c r="P159" s="297"/>
      <c r="Q159" s="278"/>
      <c r="R159" s="270"/>
      <c r="S159" s="298"/>
      <c r="T159" s="275"/>
      <c r="U159" s="275"/>
      <c r="V159" s="275"/>
    </row>
    <row r="160" spans="1:22" s="301" customFormat="1" ht="17.100000000000001" customHeight="1">
      <c r="A160" s="270" t="e">
        <f>IF(AND(C90=0,#REF!=0,#REF!=0),"BLANKS",1)</f>
        <v>#REF!</v>
      </c>
      <c r="B160" s="271"/>
      <c r="C160" s="340"/>
      <c r="D160" s="341"/>
      <c r="E160" s="342"/>
      <c r="F160" s="342"/>
      <c r="G160" s="342"/>
      <c r="H160" s="275"/>
      <c r="I160" s="275"/>
      <c r="J160" s="276"/>
      <c r="K160" s="276"/>
      <c r="L160" s="300"/>
      <c r="M160" s="300"/>
      <c r="N160" s="300"/>
      <c r="O160" s="297"/>
      <c r="P160" s="297"/>
      <c r="Q160" s="278"/>
      <c r="R160" s="270"/>
      <c r="S160" s="298"/>
      <c r="T160" s="275"/>
      <c r="U160" s="275"/>
      <c r="V160" s="275"/>
    </row>
    <row r="161" spans="1:22" s="301" customFormat="1" ht="32.25" customHeight="1">
      <c r="A161" s="270">
        <f>IF(AND(C91=0,C92=0,C93=0),"BLANKS",1)</f>
        <v>1</v>
      </c>
      <c r="B161" s="271"/>
      <c r="C161" s="271"/>
      <c r="D161" s="341"/>
      <c r="E161" s="342"/>
      <c r="F161" s="342"/>
      <c r="G161" s="342"/>
      <c r="H161" s="656"/>
      <c r="I161" s="656"/>
      <c r="J161" s="657"/>
      <c r="K161" s="657"/>
      <c r="L161" s="300"/>
      <c r="M161" s="300"/>
      <c r="N161" s="300"/>
      <c r="O161" s="297"/>
      <c r="P161" s="297"/>
      <c r="Q161" s="278"/>
      <c r="R161" s="270"/>
      <c r="S161" s="298"/>
      <c r="T161" s="275"/>
      <c r="U161" s="275"/>
      <c r="V161" s="275"/>
    </row>
    <row r="162" spans="1:22" s="301" customFormat="1" ht="17.100000000000001" customHeight="1">
      <c r="A162" s="270" t="e">
        <f>IF(AND(C92=0,C93=0,#REF!=0),"BLANKS",1)</f>
        <v>#REF!</v>
      </c>
      <c r="B162" s="271"/>
      <c r="C162" s="271"/>
      <c r="D162" s="341"/>
      <c r="E162" s="342"/>
      <c r="F162" s="342"/>
      <c r="G162" s="342"/>
      <c r="H162" s="343"/>
      <c r="I162" s="646" t="s">
        <v>1660</v>
      </c>
      <c r="J162" s="646"/>
      <c r="K162" s="646"/>
      <c r="L162" s="300"/>
      <c r="M162" s="300"/>
      <c r="N162" s="300"/>
      <c r="O162" s="297"/>
      <c r="P162" s="297"/>
      <c r="Q162" s="278"/>
      <c r="R162" s="270"/>
      <c r="S162" s="298"/>
      <c r="T162" s="275"/>
      <c r="U162" s="275"/>
      <c r="V162" s="275"/>
    </row>
    <row r="163" spans="1:22" s="301" customFormat="1" ht="17.100000000000001" customHeight="1">
      <c r="A163" s="270"/>
      <c r="B163" s="271"/>
      <c r="C163" s="271"/>
      <c r="D163" s="341"/>
      <c r="E163" s="342"/>
      <c r="F163" s="342"/>
      <c r="G163" s="342"/>
      <c r="H163" s="343"/>
      <c r="I163" s="646" t="s">
        <v>1548</v>
      </c>
      <c r="J163" s="646"/>
      <c r="K163" s="646"/>
      <c r="L163" s="300"/>
      <c r="M163" s="300"/>
      <c r="N163" s="300"/>
      <c r="O163" s="297"/>
      <c r="P163" s="297"/>
      <c r="Q163" s="278"/>
      <c r="R163" s="270"/>
      <c r="S163" s="298"/>
      <c r="T163" s="275"/>
      <c r="U163" s="275"/>
      <c r="V163" s="275"/>
    </row>
    <row r="164" spans="1:22" s="301" customFormat="1" ht="17.100000000000001" customHeight="1">
      <c r="A164" s="270" t="e">
        <f>IF(AND(#REF!=0,#REF!=0,#REF!=0),"BLANKS",1)</f>
        <v>#REF!</v>
      </c>
      <c r="B164" s="271"/>
      <c r="C164" s="271"/>
      <c r="D164" s="341"/>
      <c r="E164" s="342"/>
      <c r="F164" s="342"/>
      <c r="G164" s="342"/>
      <c r="H164" s="344"/>
      <c r="I164" s="345"/>
      <c r="J164" s="345"/>
      <c r="K164" s="345"/>
      <c r="L164" s="300"/>
      <c r="M164" s="300"/>
      <c r="N164" s="300"/>
      <c r="O164" s="297"/>
      <c r="P164" s="297"/>
      <c r="Q164" s="278"/>
      <c r="R164" s="270"/>
      <c r="S164" s="298"/>
      <c r="T164" s="275"/>
      <c r="U164" s="275"/>
      <c r="V164" s="275"/>
    </row>
    <row r="165" spans="1:22" s="301" customFormat="1" ht="17.100000000000001" customHeight="1">
      <c r="A165" s="270" t="e">
        <f>IF(AND(#REF!=0,#REF!=0,#REF!=0),"BLANKS",1)</f>
        <v>#REF!</v>
      </c>
      <c r="B165" s="271"/>
      <c r="C165" s="271"/>
      <c r="D165" s="341"/>
      <c r="E165" s="342"/>
      <c r="F165" s="342"/>
      <c r="G165" s="342"/>
      <c r="H165" s="344"/>
      <c r="I165" s="344"/>
      <c r="J165" s="344"/>
      <c r="K165" s="344"/>
      <c r="L165" s="300"/>
      <c r="M165" s="300"/>
      <c r="N165" s="300"/>
      <c r="O165" s="297"/>
      <c r="P165" s="297"/>
      <c r="Q165" s="278"/>
      <c r="R165" s="270"/>
      <c r="S165" s="298"/>
      <c r="T165" s="275"/>
      <c r="U165" s="275"/>
      <c r="V165" s="275"/>
    </row>
    <row r="166" spans="1:22" s="301" customFormat="1" ht="17.100000000000001" customHeight="1">
      <c r="A166" s="270" t="e">
        <f>IF(AND(#REF!=0,#REF!=0,#REF!=0),"BLANKS",1)</f>
        <v>#REF!</v>
      </c>
      <c r="B166" s="271"/>
      <c r="C166" s="271"/>
      <c r="D166" s="341"/>
      <c r="E166" s="342"/>
      <c r="F166" s="342"/>
      <c r="G166" s="342"/>
      <c r="H166" s="344"/>
      <c r="I166" s="344"/>
      <c r="J166" s="344"/>
      <c r="K166" s="344"/>
      <c r="L166" s="300"/>
      <c r="M166" s="300"/>
      <c r="N166" s="300"/>
      <c r="O166" s="297"/>
      <c r="P166" s="297"/>
      <c r="Q166" s="278"/>
      <c r="R166" s="270"/>
      <c r="S166" s="298"/>
      <c r="T166" s="275"/>
      <c r="U166" s="275"/>
      <c r="V166" s="275"/>
    </row>
    <row r="167" spans="1:22" s="301" customFormat="1" ht="17.100000000000001" customHeight="1">
      <c r="A167" s="270" t="e">
        <f>IF(AND(#REF!=0,#REF!=0,#REF!=0),"BLANKS",1)</f>
        <v>#REF!</v>
      </c>
      <c r="B167" s="271"/>
      <c r="C167" s="271"/>
      <c r="D167" s="341"/>
      <c r="E167" s="342"/>
      <c r="F167" s="342"/>
      <c r="G167" s="342"/>
      <c r="H167" s="344"/>
      <c r="I167" s="344"/>
      <c r="J167" s="344"/>
      <c r="K167" s="344"/>
      <c r="L167" s="300"/>
      <c r="M167" s="300"/>
      <c r="N167" s="300"/>
      <c r="O167" s="297"/>
      <c r="P167" s="297"/>
      <c r="Q167" s="278"/>
      <c r="R167" s="270"/>
      <c r="S167" s="298"/>
      <c r="T167" s="275"/>
      <c r="U167" s="275"/>
      <c r="V167" s="275"/>
    </row>
    <row r="168" spans="1:22" s="301" customFormat="1" ht="17.100000000000001" customHeight="1">
      <c r="A168" s="270" t="e">
        <f>IF(AND(#REF!=0,#REF!=0,#REF!=0),"BLANKS",1)</f>
        <v>#REF!</v>
      </c>
      <c r="B168" s="271"/>
      <c r="C168" s="271"/>
      <c r="D168" s="341"/>
      <c r="E168" s="342"/>
      <c r="F168" s="342"/>
      <c r="G168" s="342"/>
      <c r="H168" s="346"/>
      <c r="I168" s="646" t="s">
        <v>1549</v>
      </c>
      <c r="J168" s="646"/>
      <c r="K168" s="646"/>
      <c r="L168" s="300"/>
      <c r="M168" s="300"/>
      <c r="N168" s="300"/>
      <c r="O168" s="297"/>
      <c r="P168" s="297"/>
      <c r="Q168" s="278"/>
      <c r="R168" s="270"/>
      <c r="S168" s="298"/>
      <c r="T168" s="275"/>
      <c r="U168" s="275"/>
      <c r="V168" s="275"/>
    </row>
    <row r="169" spans="1:22" s="301" customFormat="1" ht="17.100000000000001" customHeight="1">
      <c r="A169" s="270"/>
      <c r="B169" s="271"/>
      <c r="C169" s="340"/>
      <c r="D169" s="341"/>
      <c r="E169" s="342"/>
      <c r="F169" s="342"/>
      <c r="G169" s="342"/>
      <c r="H169" s="344"/>
      <c r="I169" s="344"/>
      <c r="J169" s="344"/>
      <c r="K169" s="344"/>
      <c r="L169" s="300"/>
      <c r="M169" s="300"/>
      <c r="N169" s="300"/>
      <c r="O169" s="297"/>
      <c r="P169" s="297"/>
      <c r="Q169" s="278"/>
      <c r="R169" s="270"/>
      <c r="S169" s="298"/>
      <c r="T169" s="275"/>
      <c r="U169" s="275"/>
      <c r="V169" s="275"/>
    </row>
    <row r="170" spans="1:22" s="301" customFormat="1" ht="17.100000000000001" customHeight="1">
      <c r="A170" s="270" t="e">
        <f>IF(AND(#REF!=0,#REF!=0,#REF!=0),"BLANKS",1)</f>
        <v>#REF!</v>
      </c>
      <c r="B170" s="271"/>
      <c r="C170" s="340"/>
      <c r="D170" s="341"/>
      <c r="E170" s="342"/>
      <c r="F170" s="342"/>
      <c r="G170" s="342"/>
      <c r="H170" s="344"/>
      <c r="I170" s="344"/>
      <c r="J170" s="344"/>
      <c r="K170" s="344"/>
      <c r="L170" s="300"/>
      <c r="M170" s="300"/>
      <c r="N170" s="300"/>
      <c r="O170" s="297"/>
      <c r="P170" s="297"/>
      <c r="Q170" s="278"/>
      <c r="R170" s="270"/>
      <c r="S170" s="298"/>
      <c r="T170" s="275"/>
      <c r="U170" s="275"/>
      <c r="V170" s="275"/>
    </row>
    <row r="171" spans="1:22" s="301" customFormat="1" ht="17.100000000000001" customHeight="1">
      <c r="A171" s="270" t="e">
        <f>IF(AND(#REF!=0,#REF!=0,#REF!=0),"BLANKS",1)</f>
        <v>#REF!</v>
      </c>
      <c r="B171" s="271"/>
      <c r="C171" s="340"/>
      <c r="D171" s="341"/>
      <c r="E171" s="342"/>
      <c r="F171" s="342"/>
      <c r="G171" s="342"/>
      <c r="H171" s="344"/>
      <c r="I171" s="344"/>
      <c r="J171" s="344"/>
      <c r="K171" s="344"/>
      <c r="L171" s="300"/>
      <c r="M171" s="300"/>
      <c r="N171" s="300"/>
      <c r="O171" s="297"/>
      <c r="P171" s="297"/>
      <c r="Q171" s="278"/>
      <c r="R171" s="270"/>
      <c r="S171" s="298"/>
      <c r="T171" s="275"/>
      <c r="U171" s="275"/>
      <c r="V171" s="275"/>
    </row>
    <row r="172" spans="1:22" s="301" customFormat="1" ht="17.100000000000001" customHeight="1">
      <c r="A172" s="270" t="e">
        <f>IF(AND(#REF!=0,#REF!=0,#REF!=0),"BLANKS",1)</f>
        <v>#REF!</v>
      </c>
      <c r="B172" s="271"/>
      <c r="C172" s="341"/>
      <c r="D172" s="341"/>
      <c r="E172" s="274"/>
      <c r="F172" s="274"/>
      <c r="G172" s="274"/>
      <c r="H172" s="275"/>
      <c r="I172" s="275"/>
      <c r="J172" s="276"/>
      <c r="K172" s="276"/>
      <c r="L172" s="300"/>
      <c r="M172" s="300"/>
      <c r="N172" s="300"/>
      <c r="O172" s="297"/>
      <c r="P172" s="297"/>
      <c r="Q172" s="278"/>
      <c r="R172" s="270"/>
      <c r="S172" s="298"/>
      <c r="T172" s="275"/>
      <c r="U172" s="275"/>
      <c r="V172" s="275"/>
    </row>
    <row r="173" spans="1:22" s="301" customFormat="1" ht="17.100000000000001" customHeight="1">
      <c r="A173" s="270" t="e">
        <f>IF(AND(#REF!=0,C96=0,#REF!=0),"BLANKS",1)</f>
        <v>#REF!</v>
      </c>
      <c r="B173" s="271"/>
      <c r="C173" s="341"/>
      <c r="D173" s="341"/>
      <c r="E173" s="274"/>
      <c r="F173" s="274"/>
      <c r="G173" s="274"/>
      <c r="H173" s="275"/>
      <c r="I173" s="275"/>
      <c r="J173" s="276"/>
      <c r="K173" s="276"/>
      <c r="L173" s="300"/>
      <c r="M173" s="300"/>
      <c r="N173" s="300"/>
      <c r="O173" s="297"/>
      <c r="P173" s="297"/>
      <c r="Q173" s="278"/>
      <c r="R173" s="270"/>
      <c r="S173" s="298"/>
      <c r="T173" s="275"/>
      <c r="U173" s="275"/>
      <c r="V173" s="275"/>
    </row>
    <row r="174" spans="1:22" s="301" customFormat="1" ht="21" customHeight="1">
      <c r="A174" s="270" t="e">
        <f>IF(AND(#REF!=0,#REF!=0,#REF!=0),"BLANKS",1)</f>
        <v>#REF!</v>
      </c>
      <c r="B174" s="271"/>
      <c r="C174" s="341"/>
      <c r="D174" s="341"/>
      <c r="E174" s="274"/>
      <c r="F174" s="274"/>
      <c r="G174" s="274"/>
      <c r="H174" s="275"/>
      <c r="I174" s="275"/>
      <c r="J174" s="276"/>
      <c r="K174" s="276"/>
      <c r="L174" s="300"/>
      <c r="M174" s="300"/>
      <c r="N174" s="300"/>
      <c r="O174" s="297"/>
      <c r="P174" s="297"/>
      <c r="Q174" s="278"/>
      <c r="R174" s="270"/>
      <c r="S174" s="298"/>
      <c r="T174" s="275"/>
      <c r="U174" s="275"/>
      <c r="V174" s="275"/>
    </row>
    <row r="175" spans="1:22" s="301" customFormat="1" ht="17.100000000000001" customHeight="1">
      <c r="A175" s="270" t="e">
        <f>IF(AND(#REF!=0,#REF!=0,#REF!=0),"BLANKS",1)</f>
        <v>#REF!</v>
      </c>
      <c r="B175" s="271"/>
      <c r="C175" s="341"/>
      <c r="D175" s="341"/>
      <c r="E175" s="274"/>
      <c r="F175" s="274"/>
      <c r="G175" s="274"/>
      <c r="H175" s="275"/>
      <c r="I175" s="275"/>
      <c r="J175" s="276"/>
      <c r="K175" s="276"/>
      <c r="L175" s="300"/>
      <c r="M175" s="300"/>
      <c r="N175" s="300"/>
      <c r="O175" s="297"/>
      <c r="P175" s="297"/>
      <c r="Q175" s="278"/>
      <c r="R175" s="270"/>
      <c r="S175" s="298"/>
      <c r="T175" s="275"/>
      <c r="U175" s="275"/>
      <c r="V175" s="275"/>
    </row>
    <row r="176" spans="1:22" s="301" customFormat="1" ht="17.100000000000001" customHeight="1">
      <c r="A176" s="270"/>
      <c r="B176" s="271"/>
      <c r="C176" s="341"/>
      <c r="D176" s="341"/>
      <c r="E176" s="274"/>
      <c r="F176" s="274"/>
      <c r="G176" s="274"/>
      <c r="H176" s="275"/>
      <c r="I176" s="275"/>
      <c r="J176" s="276"/>
      <c r="K176" s="276"/>
      <c r="L176" s="300"/>
      <c r="M176" s="300"/>
      <c r="N176" s="300"/>
      <c r="O176" s="297"/>
      <c r="P176" s="297"/>
      <c r="Q176" s="278"/>
      <c r="R176" s="270"/>
      <c r="S176" s="298"/>
      <c r="T176" s="275"/>
      <c r="U176" s="275"/>
      <c r="V176" s="275"/>
    </row>
    <row r="177" spans="1:22" s="301" customFormat="1" ht="17.100000000000001" customHeight="1">
      <c r="A177" s="270" t="e">
        <f>IF(AND(#REF!=0,#REF!=0,#REF!=0),"BLANKS",1)</f>
        <v>#REF!</v>
      </c>
      <c r="B177" s="271"/>
      <c r="C177" s="341"/>
      <c r="D177" s="341"/>
      <c r="E177" s="274"/>
      <c r="F177" s="274"/>
      <c r="G177" s="274"/>
      <c r="H177" s="275"/>
      <c r="I177" s="275"/>
      <c r="J177" s="276"/>
      <c r="K177" s="276"/>
      <c r="L177" s="300"/>
      <c r="M177" s="300"/>
      <c r="N177" s="300"/>
      <c r="O177" s="297"/>
      <c r="P177" s="297"/>
      <c r="Q177" s="278"/>
      <c r="R177" s="270"/>
      <c r="S177" s="298"/>
      <c r="T177" s="275"/>
      <c r="U177" s="275"/>
      <c r="V177" s="275"/>
    </row>
    <row r="178" spans="1:22" s="301" customFormat="1" ht="17.100000000000001" customHeight="1">
      <c r="A178" s="270" t="e">
        <f>IF(AND(#REF!=0,#REF!=0,#REF!=0),"BLANKS",1)</f>
        <v>#REF!</v>
      </c>
      <c r="B178" s="271"/>
      <c r="C178" s="341"/>
      <c r="D178" s="341"/>
      <c r="E178" s="274"/>
      <c r="F178" s="274"/>
      <c r="G178" s="274"/>
      <c r="H178" s="275"/>
      <c r="I178" s="275"/>
      <c r="J178" s="276"/>
      <c r="K178" s="276"/>
      <c r="L178" s="300"/>
      <c r="M178" s="300"/>
      <c r="N178" s="300"/>
      <c r="O178" s="297"/>
      <c r="P178" s="297"/>
      <c r="Q178" s="278"/>
      <c r="R178" s="270"/>
      <c r="S178" s="298"/>
      <c r="T178" s="275"/>
      <c r="U178" s="275"/>
      <c r="V178" s="275"/>
    </row>
    <row r="179" spans="1:22" s="301" customFormat="1" ht="17.100000000000001" customHeight="1">
      <c r="A179" s="270" t="e">
        <f>IF(AND(#REF!=0,#REF!=0,#REF!=0),"BLANKS",1)</f>
        <v>#REF!</v>
      </c>
      <c r="B179" s="271"/>
      <c r="C179" s="341"/>
      <c r="D179" s="341"/>
      <c r="E179" s="274"/>
      <c r="F179" s="274"/>
      <c r="G179" s="274"/>
      <c r="H179" s="275"/>
      <c r="I179" s="275"/>
      <c r="J179" s="276"/>
      <c r="K179" s="276"/>
      <c r="L179" s="300"/>
      <c r="M179" s="300"/>
      <c r="N179" s="300"/>
      <c r="O179" s="297"/>
      <c r="P179" s="297"/>
      <c r="Q179" s="278"/>
      <c r="R179" s="270"/>
      <c r="S179" s="298"/>
      <c r="T179" s="275"/>
      <c r="U179" s="275"/>
      <c r="V179" s="275"/>
    </row>
    <row r="180" spans="1:22" s="301" customFormat="1" ht="17.100000000000001" customHeight="1">
      <c r="A180" s="270" t="e">
        <f>IF(AND(#REF!=0,C103=0,#REF!=0),"BLANKS",1)</f>
        <v>#REF!</v>
      </c>
      <c r="B180" s="271"/>
      <c r="C180" s="341"/>
      <c r="D180" s="341"/>
      <c r="E180" s="274"/>
      <c r="F180" s="274"/>
      <c r="G180" s="274"/>
      <c r="H180" s="275"/>
      <c r="I180" s="275"/>
      <c r="J180" s="276"/>
      <c r="K180" s="276"/>
      <c r="L180" s="300"/>
      <c r="M180" s="300"/>
      <c r="N180" s="300"/>
      <c r="O180" s="297"/>
      <c r="P180" s="297"/>
      <c r="Q180" s="278"/>
      <c r="R180" s="270"/>
      <c r="S180" s="298"/>
      <c r="T180" s="275"/>
      <c r="U180" s="275"/>
      <c r="V180" s="275"/>
    </row>
    <row r="181" spans="1:22" s="301" customFormat="1" ht="17.100000000000001" customHeight="1">
      <c r="A181" s="270" t="e">
        <f>IF(AND(#REF!=0,#REF!=0,#REF!=0),"BLANKS",1)</f>
        <v>#REF!</v>
      </c>
      <c r="B181" s="271"/>
      <c r="C181" s="341"/>
      <c r="D181" s="341"/>
      <c r="E181" s="274"/>
      <c r="F181" s="274"/>
      <c r="G181" s="274"/>
      <c r="H181" s="275"/>
      <c r="I181" s="275"/>
      <c r="J181" s="276"/>
      <c r="K181" s="276"/>
      <c r="L181" s="300"/>
      <c r="M181" s="300"/>
      <c r="N181" s="300"/>
      <c r="O181" s="297"/>
      <c r="P181" s="297"/>
      <c r="Q181" s="278"/>
      <c r="R181" s="270"/>
      <c r="S181" s="298"/>
      <c r="T181" s="275"/>
      <c r="U181" s="275"/>
      <c r="V181" s="275"/>
    </row>
    <row r="182" spans="1:22" s="301" customFormat="1" ht="17.100000000000001" customHeight="1">
      <c r="A182" s="270"/>
      <c r="B182" s="271"/>
      <c r="C182" s="341"/>
      <c r="D182" s="341"/>
      <c r="E182" s="274"/>
      <c r="F182" s="274"/>
      <c r="G182" s="274"/>
      <c r="H182" s="275"/>
      <c r="I182" s="275"/>
      <c r="J182" s="276"/>
      <c r="K182" s="276"/>
      <c r="L182" s="300"/>
      <c r="M182" s="300"/>
      <c r="N182" s="300"/>
      <c r="O182" s="297"/>
      <c r="P182" s="297"/>
      <c r="Q182" s="278"/>
      <c r="R182" s="270"/>
      <c r="S182" s="298"/>
      <c r="T182" s="275"/>
      <c r="U182" s="275"/>
      <c r="V182" s="275"/>
    </row>
    <row r="183" spans="1:22" s="301" customFormat="1" ht="17.100000000000001" customHeight="1">
      <c r="A183" s="270" t="e">
        <f>IF(AND(#REF!=0,#REF!=0,#REF!=0),"BLANKS",1)</f>
        <v>#REF!</v>
      </c>
      <c r="B183" s="271"/>
      <c r="C183" s="341"/>
      <c r="D183" s="341"/>
      <c r="E183" s="274"/>
      <c r="F183" s="274"/>
      <c r="G183" s="274"/>
      <c r="H183" s="275"/>
      <c r="I183" s="275"/>
      <c r="J183" s="276"/>
      <c r="K183" s="276"/>
      <c r="L183" s="300"/>
      <c r="M183" s="300"/>
      <c r="N183" s="300"/>
      <c r="O183" s="297"/>
      <c r="P183" s="297"/>
      <c r="Q183" s="278"/>
      <c r="R183" s="270"/>
      <c r="S183" s="298"/>
      <c r="T183" s="275"/>
      <c r="U183" s="275"/>
      <c r="V183" s="275"/>
    </row>
    <row r="184" spans="1:22" s="301" customFormat="1" ht="17.100000000000001" customHeight="1">
      <c r="A184" s="270" t="e">
        <f>IF(AND(#REF!=0,#REF!=0,#REF!=0),"BLANKS",1)</f>
        <v>#REF!</v>
      </c>
      <c r="B184" s="271"/>
      <c r="C184" s="341"/>
      <c r="D184" s="341"/>
      <c r="E184" s="274"/>
      <c r="F184" s="274"/>
      <c r="G184" s="274"/>
      <c r="H184" s="275"/>
      <c r="I184" s="275"/>
      <c r="J184" s="276"/>
      <c r="K184" s="276"/>
      <c r="L184" s="300"/>
      <c r="M184" s="300"/>
      <c r="N184" s="300"/>
      <c r="O184" s="297"/>
      <c r="P184" s="297"/>
      <c r="Q184" s="278"/>
      <c r="R184" s="270"/>
      <c r="S184" s="298"/>
      <c r="T184" s="275"/>
      <c r="U184" s="275"/>
      <c r="V184" s="275"/>
    </row>
    <row r="185" spans="1:22" s="301" customFormat="1" ht="17.100000000000001" customHeight="1">
      <c r="A185" s="270" t="e">
        <f>IF(AND(#REF!=0,#REF!=0,#REF!=0),"BLANKS",1)</f>
        <v>#REF!</v>
      </c>
      <c r="B185" s="271"/>
      <c r="C185" s="341"/>
      <c r="D185" s="341"/>
      <c r="E185" s="274"/>
      <c r="F185" s="274"/>
      <c r="G185" s="274"/>
      <c r="H185" s="275"/>
      <c r="I185" s="275"/>
      <c r="J185" s="276"/>
      <c r="K185" s="276"/>
      <c r="L185" s="300"/>
      <c r="M185" s="300"/>
      <c r="N185" s="300"/>
      <c r="O185" s="297"/>
      <c r="P185" s="297"/>
      <c r="Q185" s="278"/>
      <c r="R185" s="270"/>
      <c r="S185" s="298"/>
      <c r="T185" s="275"/>
      <c r="U185" s="275"/>
      <c r="V185" s="275"/>
    </row>
    <row r="186" spans="1:22" s="301" customFormat="1" ht="16.5" customHeight="1">
      <c r="A186" s="270" t="e">
        <f>IF(AND(#REF!=0,C155=0,#REF!=0),"BLANKS",1)</f>
        <v>#REF!</v>
      </c>
      <c r="B186" s="271"/>
      <c r="C186" s="341"/>
      <c r="D186" s="341"/>
      <c r="E186" s="274"/>
      <c r="F186" s="274"/>
      <c r="G186" s="274"/>
      <c r="H186" s="275"/>
      <c r="I186" s="275"/>
      <c r="J186" s="276"/>
      <c r="K186" s="276"/>
      <c r="L186" s="300"/>
      <c r="M186" s="300"/>
      <c r="N186" s="300"/>
      <c r="O186" s="297"/>
      <c r="P186" s="297"/>
      <c r="Q186" s="278"/>
      <c r="R186" s="270"/>
      <c r="S186" s="298"/>
      <c r="T186" s="275"/>
      <c r="U186" s="275"/>
      <c r="V186" s="275"/>
    </row>
    <row r="187" spans="1:22" s="301" customFormat="1" ht="21.75" customHeight="1">
      <c r="A187" s="270" t="e">
        <f>IF(AND(#REF!=0,#REF!=0,#REF!=0),"BLANKS",1)</f>
        <v>#REF!</v>
      </c>
      <c r="B187" s="271"/>
      <c r="C187" s="341"/>
      <c r="D187" s="341"/>
      <c r="E187" s="274"/>
      <c r="F187" s="274"/>
      <c r="G187" s="274"/>
      <c r="H187" s="275"/>
      <c r="I187" s="275"/>
      <c r="J187" s="276"/>
      <c r="K187" s="276"/>
      <c r="L187" s="300"/>
      <c r="M187" s="300"/>
      <c r="N187" s="300"/>
      <c r="O187" s="297"/>
      <c r="P187" s="297"/>
      <c r="Q187" s="278"/>
      <c r="R187" s="270"/>
      <c r="S187" s="298"/>
      <c r="T187" s="275"/>
      <c r="U187" s="275"/>
      <c r="V187" s="275"/>
    </row>
    <row r="188" spans="1:22" s="301" customFormat="1" ht="17.100000000000001" customHeight="1">
      <c r="A188" s="270" t="e">
        <f>IF(AND(#REF!=0,#REF!=0,#REF!=0),"BLANKS",1)</f>
        <v>#REF!</v>
      </c>
      <c r="B188" s="271"/>
      <c r="C188" s="341"/>
      <c r="D188" s="341"/>
      <c r="E188" s="274"/>
      <c r="F188" s="274"/>
      <c r="G188" s="274"/>
      <c r="H188" s="275"/>
      <c r="I188" s="275"/>
      <c r="J188" s="276"/>
      <c r="K188" s="276"/>
      <c r="L188" s="300"/>
      <c r="M188" s="300"/>
      <c r="N188" s="300"/>
      <c r="O188" s="297"/>
      <c r="P188" s="297"/>
      <c r="Q188" s="278"/>
      <c r="R188" s="270"/>
      <c r="S188" s="298"/>
      <c r="T188" s="275"/>
      <c r="U188" s="275"/>
      <c r="V188" s="275"/>
    </row>
    <row r="189" spans="1:22" s="301" customFormat="1" ht="17.100000000000001" customHeight="1">
      <c r="A189" s="270"/>
      <c r="B189" s="271"/>
      <c r="C189" s="341"/>
      <c r="D189" s="341"/>
      <c r="E189" s="274"/>
      <c r="F189" s="274"/>
      <c r="G189" s="274"/>
      <c r="H189" s="275"/>
      <c r="I189" s="275"/>
      <c r="J189" s="276"/>
      <c r="K189" s="276"/>
      <c r="L189" s="300"/>
      <c r="M189" s="300"/>
      <c r="N189" s="300"/>
      <c r="O189" s="297"/>
      <c r="P189" s="297"/>
      <c r="Q189" s="278"/>
      <c r="R189" s="270"/>
      <c r="S189" s="298"/>
      <c r="T189" s="275"/>
      <c r="U189" s="275"/>
      <c r="V189" s="275"/>
    </row>
    <row r="190" spans="1:22" s="301" customFormat="1" ht="17.100000000000001" customHeight="1">
      <c r="A190" s="270" t="e">
        <f>IF(AND(#REF!=0,#REF!=0,#REF!=0),"BLANKS",1)</f>
        <v>#REF!</v>
      </c>
      <c r="B190" s="271"/>
      <c r="C190" s="341"/>
      <c r="D190" s="341"/>
      <c r="E190" s="274"/>
      <c r="F190" s="274"/>
      <c r="G190" s="274"/>
      <c r="H190" s="275"/>
      <c r="I190" s="275"/>
      <c r="J190" s="276"/>
      <c r="K190" s="276"/>
      <c r="L190" s="300"/>
      <c r="M190" s="300"/>
      <c r="N190" s="300"/>
      <c r="O190" s="297"/>
      <c r="P190" s="297"/>
      <c r="Q190" s="278"/>
      <c r="R190" s="270"/>
      <c r="S190" s="298"/>
      <c r="T190" s="275"/>
      <c r="U190" s="275"/>
      <c r="V190" s="275"/>
    </row>
    <row r="191" spans="1:22" s="301" customFormat="1" ht="17.100000000000001" customHeight="1">
      <c r="A191" s="270" t="e">
        <f>IF(AND(#REF!=0,C94=0,#REF!=0),"BLANKS",1)</f>
        <v>#REF!</v>
      </c>
      <c r="B191" s="271"/>
      <c r="C191" s="341"/>
      <c r="D191" s="341"/>
      <c r="E191" s="274"/>
      <c r="F191" s="274"/>
      <c r="G191" s="274"/>
      <c r="H191" s="275"/>
      <c r="I191" s="275"/>
      <c r="J191" s="276"/>
      <c r="K191" s="276"/>
      <c r="L191" s="300"/>
      <c r="M191" s="300"/>
      <c r="N191" s="300"/>
      <c r="O191" s="297"/>
      <c r="P191" s="297"/>
      <c r="Q191" s="278"/>
      <c r="R191" s="270"/>
      <c r="S191" s="298"/>
      <c r="T191" s="275"/>
      <c r="U191" s="275"/>
      <c r="V191" s="275"/>
    </row>
    <row r="192" spans="1:22" s="301" customFormat="1" ht="17.100000000000001" customHeight="1">
      <c r="A192" s="270" t="e">
        <f>IF(AND(C94=0,C95=0,#REF!=0),"BLANKS",1)</f>
        <v>#REF!</v>
      </c>
      <c r="B192" s="271"/>
      <c r="C192" s="341"/>
      <c r="D192" s="341"/>
      <c r="E192" s="274"/>
      <c r="F192" s="274"/>
      <c r="G192" s="274"/>
      <c r="H192" s="275"/>
      <c r="I192" s="275"/>
      <c r="J192" s="276"/>
      <c r="K192" s="276"/>
      <c r="L192" s="300"/>
      <c r="M192" s="300"/>
      <c r="N192" s="300"/>
      <c r="O192" s="297"/>
      <c r="P192" s="297"/>
      <c r="Q192" s="278"/>
      <c r="R192" s="270"/>
      <c r="S192" s="298"/>
      <c r="T192" s="275"/>
      <c r="U192" s="275"/>
      <c r="V192" s="275"/>
    </row>
    <row r="193" spans="1:22" s="301" customFormat="1" ht="17.100000000000001" customHeight="1">
      <c r="A193" s="270" t="e">
        <f>IF(AND(C95=0,C162=0,#REF!=0),"BLANKS",1)</f>
        <v>#REF!</v>
      </c>
      <c r="B193" s="271"/>
      <c r="C193" s="341"/>
      <c r="D193" s="341"/>
      <c r="E193" s="274"/>
      <c r="F193" s="274"/>
      <c r="G193" s="274"/>
      <c r="H193" s="275"/>
      <c r="I193" s="275"/>
      <c r="J193" s="276"/>
      <c r="K193" s="276"/>
      <c r="L193" s="300"/>
      <c r="M193" s="300"/>
      <c r="N193" s="300"/>
      <c r="O193" s="297"/>
      <c r="P193" s="297"/>
      <c r="Q193" s="278"/>
      <c r="R193" s="270"/>
      <c r="S193" s="298"/>
      <c r="T193" s="275"/>
      <c r="U193" s="275"/>
      <c r="V193" s="275"/>
    </row>
    <row r="194" spans="1:22" s="301" customFormat="1" ht="17.100000000000001" customHeight="1">
      <c r="A194" s="270">
        <f>IF(AND(C96=0,C97=0,C98=0),"BLANKS",1)</f>
        <v>1</v>
      </c>
      <c r="B194" s="271"/>
      <c r="C194" s="341"/>
      <c r="D194" s="341"/>
      <c r="E194" s="274"/>
      <c r="F194" s="274"/>
      <c r="G194" s="274"/>
      <c r="H194" s="275"/>
      <c r="I194" s="275"/>
      <c r="J194" s="276"/>
      <c r="K194" s="276"/>
      <c r="L194" s="300"/>
      <c r="M194" s="300"/>
      <c r="N194" s="300"/>
      <c r="O194" s="297"/>
      <c r="P194" s="297"/>
      <c r="Q194" s="278"/>
      <c r="R194" s="270"/>
      <c r="S194" s="298"/>
      <c r="T194" s="275"/>
      <c r="U194" s="275"/>
      <c r="V194" s="275"/>
    </row>
    <row r="195" spans="1:22" s="301" customFormat="1" ht="17.100000000000001" customHeight="1">
      <c r="A195" s="270"/>
      <c r="B195" s="271"/>
      <c r="C195" s="341"/>
      <c r="D195" s="341"/>
      <c r="E195" s="274"/>
      <c r="F195" s="274"/>
      <c r="G195" s="274"/>
      <c r="H195" s="275"/>
      <c r="I195" s="275"/>
      <c r="J195" s="276"/>
      <c r="K195" s="276"/>
      <c r="L195" s="300"/>
      <c r="M195" s="300"/>
      <c r="N195" s="300"/>
      <c r="O195" s="297"/>
      <c r="P195" s="297"/>
      <c r="Q195" s="278"/>
      <c r="R195" s="270"/>
      <c r="S195" s="298"/>
      <c r="T195" s="275"/>
      <c r="U195" s="275"/>
      <c r="V195" s="275"/>
    </row>
    <row r="196" spans="1:22" s="301" customFormat="1" ht="17.100000000000001" customHeight="1">
      <c r="A196" s="270" t="e">
        <f>IF(AND(C98=0,C99=0,#REF!=0),"BLANKS",1)</f>
        <v>#REF!</v>
      </c>
      <c r="B196" s="271"/>
      <c r="C196" s="341"/>
      <c r="D196" s="341"/>
      <c r="E196" s="274"/>
      <c r="F196" s="274"/>
      <c r="G196" s="274"/>
      <c r="H196" s="275"/>
      <c r="I196" s="275"/>
      <c r="J196" s="276"/>
      <c r="K196" s="276"/>
      <c r="L196" s="300"/>
      <c r="M196" s="300"/>
      <c r="N196" s="300"/>
      <c r="O196" s="297"/>
      <c r="P196" s="297"/>
      <c r="Q196" s="278"/>
      <c r="R196" s="270"/>
      <c r="S196" s="298"/>
      <c r="T196" s="275"/>
      <c r="U196" s="275"/>
      <c r="V196" s="275"/>
    </row>
    <row r="197" spans="1:22" s="301" customFormat="1" ht="17.100000000000001" customHeight="1">
      <c r="A197" s="270" t="e">
        <f>IF(AND(C99=0,C100=0,#REF!=0),"BLANKS",1)</f>
        <v>#REF!</v>
      </c>
      <c r="B197" s="271"/>
      <c r="C197" s="341"/>
      <c r="D197" s="341"/>
      <c r="E197" s="274"/>
      <c r="F197" s="274"/>
      <c r="G197" s="274"/>
      <c r="H197" s="275"/>
      <c r="I197" s="275"/>
      <c r="J197" s="276"/>
      <c r="K197" s="276"/>
      <c r="L197" s="300"/>
      <c r="M197" s="300"/>
      <c r="N197" s="300"/>
      <c r="O197" s="297"/>
      <c r="P197" s="297"/>
      <c r="Q197" s="278"/>
      <c r="R197" s="270"/>
      <c r="S197" s="298"/>
      <c r="T197" s="275"/>
      <c r="U197" s="275"/>
      <c r="V197" s="275"/>
    </row>
    <row r="198" spans="1:22" s="301" customFormat="1" ht="17.100000000000001" customHeight="1">
      <c r="A198" s="270" t="e">
        <f>IF(AND(C100=0,C101=0,#REF!=0),"BLANKS",1)</f>
        <v>#REF!</v>
      </c>
      <c r="B198" s="271"/>
      <c r="C198" s="341"/>
      <c r="D198" s="341"/>
      <c r="E198" s="274"/>
      <c r="F198" s="274"/>
      <c r="G198" s="274"/>
      <c r="H198" s="275"/>
      <c r="I198" s="275"/>
      <c r="J198" s="276"/>
      <c r="K198" s="276"/>
      <c r="L198" s="300"/>
      <c r="M198" s="300"/>
      <c r="N198" s="300"/>
      <c r="O198" s="297"/>
      <c r="P198" s="297"/>
      <c r="Q198" s="278"/>
      <c r="R198" s="270"/>
      <c r="S198" s="298"/>
      <c r="T198" s="275"/>
      <c r="U198" s="275"/>
      <c r="V198" s="275"/>
    </row>
    <row r="199" spans="1:22" s="301" customFormat="1" ht="17.100000000000001" customHeight="1">
      <c r="A199" s="270" t="e">
        <f>IF(AND(C101=0,C168=0,#REF!=0),"BLANKS",1)</f>
        <v>#REF!</v>
      </c>
      <c r="B199" s="271"/>
      <c r="C199" s="341"/>
      <c r="D199" s="341"/>
      <c r="E199" s="274"/>
      <c r="F199" s="274"/>
      <c r="G199" s="274"/>
      <c r="H199" s="275"/>
      <c r="I199" s="275"/>
      <c r="J199" s="276"/>
      <c r="K199" s="276"/>
      <c r="L199" s="300"/>
      <c r="M199" s="300"/>
      <c r="N199" s="300"/>
      <c r="O199" s="297"/>
      <c r="P199" s="297"/>
      <c r="Q199" s="278"/>
      <c r="R199" s="270"/>
      <c r="S199" s="298"/>
      <c r="T199" s="275"/>
      <c r="U199" s="275"/>
      <c r="V199" s="275"/>
    </row>
    <row r="200" spans="1:22" s="301" customFormat="1" ht="19.5" customHeight="1">
      <c r="A200" s="270">
        <f>IF(AND(C102=0,C103=0,C104=0),"BLANKS",1)</f>
        <v>1</v>
      </c>
      <c r="B200" s="271"/>
      <c r="C200" s="341"/>
      <c r="D200" s="341"/>
      <c r="E200" s="274"/>
      <c r="F200" s="274"/>
      <c r="G200" s="274"/>
      <c r="H200" s="275"/>
      <c r="I200" s="275"/>
      <c r="J200" s="276"/>
      <c r="K200" s="276"/>
      <c r="L200" s="300"/>
      <c r="M200" s="300"/>
      <c r="N200" s="300"/>
      <c r="O200" s="297"/>
      <c r="P200" s="297"/>
      <c r="Q200" s="278"/>
      <c r="R200" s="270"/>
      <c r="S200" s="298"/>
      <c r="T200" s="275"/>
      <c r="U200" s="275"/>
      <c r="V200" s="275"/>
    </row>
    <row r="201" spans="1:22" s="301" customFormat="1" ht="17.100000000000001" customHeight="1">
      <c r="A201" s="270" t="e">
        <f>IF(AND(C103=0,C104=0,#REF!=0),"BLANKS",1)</f>
        <v>#REF!</v>
      </c>
      <c r="B201" s="271"/>
      <c r="C201" s="341"/>
      <c r="D201" s="341"/>
      <c r="E201" s="274"/>
      <c r="F201" s="274"/>
      <c r="G201" s="274"/>
      <c r="H201" s="275"/>
      <c r="I201" s="275"/>
      <c r="J201" s="276"/>
      <c r="K201" s="276"/>
      <c r="L201" s="300"/>
      <c r="M201" s="300"/>
      <c r="N201" s="300"/>
      <c r="O201" s="297"/>
      <c r="P201" s="297"/>
      <c r="Q201" s="278"/>
      <c r="R201" s="270"/>
      <c r="S201" s="298"/>
      <c r="T201" s="275"/>
      <c r="U201" s="275"/>
      <c r="V201" s="275"/>
    </row>
    <row r="202" spans="1:22" s="301" customFormat="1" ht="17.100000000000001" customHeight="1">
      <c r="A202" s="270" t="e">
        <f>IF(AND(C104=0,C105=0,#REF!=0),"BLANKS",1)</f>
        <v>#REF!</v>
      </c>
      <c r="B202" s="271"/>
      <c r="C202" s="341"/>
      <c r="D202" s="341"/>
      <c r="E202" s="274"/>
      <c r="F202" s="274"/>
      <c r="G202" s="274"/>
      <c r="H202" s="275"/>
      <c r="I202" s="275"/>
      <c r="J202" s="276"/>
      <c r="K202" s="276"/>
      <c r="L202" s="300"/>
      <c r="M202" s="300"/>
      <c r="N202" s="300"/>
      <c r="O202" s="297"/>
      <c r="P202" s="297"/>
      <c r="Q202" s="278"/>
      <c r="R202" s="270"/>
      <c r="S202" s="298"/>
      <c r="T202" s="275"/>
      <c r="U202" s="275"/>
      <c r="V202" s="275"/>
    </row>
    <row r="203" spans="1:22" s="301" customFormat="1" ht="17.100000000000001" customHeight="1">
      <c r="A203" s="270" t="e">
        <f>IF(AND(C105=0,#REF!=0,#REF!=0),"BLANKS",1)</f>
        <v>#REF!</v>
      </c>
      <c r="B203" s="271"/>
      <c r="C203" s="341"/>
      <c r="D203" s="341"/>
      <c r="E203" s="274"/>
      <c r="F203" s="274"/>
      <c r="G203" s="274"/>
      <c r="H203" s="275"/>
      <c r="I203" s="275"/>
      <c r="J203" s="276"/>
      <c r="K203" s="276"/>
      <c r="L203" s="300"/>
      <c r="M203" s="300"/>
      <c r="N203" s="300"/>
      <c r="O203" s="297"/>
      <c r="P203" s="297"/>
      <c r="Q203" s="278"/>
      <c r="R203" s="270"/>
      <c r="S203" s="298"/>
      <c r="T203" s="275"/>
      <c r="U203" s="275"/>
      <c r="V203" s="275"/>
    </row>
    <row r="204" spans="1:22" s="301" customFormat="1" ht="17.100000000000001" customHeight="1">
      <c r="A204" s="270"/>
      <c r="B204" s="271"/>
      <c r="C204" s="341"/>
      <c r="D204" s="341"/>
      <c r="E204" s="274"/>
      <c r="F204" s="274"/>
      <c r="G204" s="274"/>
      <c r="H204" s="275"/>
      <c r="I204" s="275"/>
      <c r="J204" s="276"/>
      <c r="K204" s="276"/>
      <c r="L204" s="300"/>
      <c r="M204" s="300"/>
      <c r="N204" s="300"/>
      <c r="O204" s="297"/>
      <c r="P204" s="297"/>
      <c r="Q204" s="278"/>
      <c r="R204" s="270"/>
      <c r="S204" s="298"/>
      <c r="T204" s="275"/>
      <c r="U204" s="275"/>
      <c r="V204" s="275"/>
    </row>
    <row r="205" spans="1:22" s="301" customFormat="1" ht="24.75" customHeight="1">
      <c r="A205" s="270" t="e">
        <f>IF(AND(C135=0,#REF!=0,#REF!=0),"BLANKS",1)</f>
        <v>#REF!</v>
      </c>
      <c r="B205" s="271"/>
      <c r="C205" s="341"/>
      <c r="D205" s="341"/>
      <c r="E205" s="274"/>
      <c r="F205" s="274"/>
      <c r="G205" s="274"/>
      <c r="H205" s="275"/>
      <c r="I205" s="275"/>
      <c r="J205" s="276"/>
      <c r="K205" s="276"/>
      <c r="L205" s="300"/>
      <c r="M205" s="300"/>
      <c r="N205" s="300"/>
      <c r="O205" s="297"/>
      <c r="P205" s="297"/>
      <c r="Q205" s="278"/>
      <c r="R205" s="270"/>
      <c r="S205" s="298"/>
      <c r="T205" s="275"/>
      <c r="U205" s="275"/>
      <c r="V205" s="275"/>
    </row>
    <row r="206" spans="1:22" s="301" customFormat="1" ht="27.75" customHeight="1">
      <c r="A206" s="270" t="e">
        <f>IF(AND(#REF!=0,#REF!=0,#REF!=0),"BLANKS",1)</f>
        <v>#REF!</v>
      </c>
      <c r="B206" s="271"/>
      <c r="C206" s="341"/>
      <c r="D206" s="341"/>
      <c r="E206" s="274"/>
      <c r="F206" s="274"/>
      <c r="G206" s="274"/>
      <c r="H206" s="275"/>
      <c r="I206" s="275"/>
      <c r="J206" s="276"/>
      <c r="K206" s="276"/>
      <c r="L206" s="300"/>
      <c r="M206" s="300"/>
      <c r="N206" s="300"/>
      <c r="O206" s="297"/>
      <c r="P206" s="297"/>
      <c r="Q206" s="278"/>
      <c r="R206" s="270"/>
      <c r="S206" s="298"/>
      <c r="T206" s="275"/>
      <c r="U206" s="275"/>
      <c r="V206" s="275"/>
    </row>
    <row r="207" spans="1:22" s="301" customFormat="1" ht="24" customHeight="1">
      <c r="A207" s="270" t="e">
        <f>IF(AND(#REF!=0,#REF!=0,#REF!=0),"BLANKS",1)</f>
        <v>#REF!</v>
      </c>
      <c r="B207" s="271"/>
      <c r="C207" s="341"/>
      <c r="D207" s="341"/>
      <c r="E207" s="274"/>
      <c r="F207" s="274"/>
      <c r="G207" s="274"/>
      <c r="H207" s="275"/>
      <c r="I207" s="275"/>
      <c r="J207" s="276"/>
      <c r="K207" s="276"/>
      <c r="L207" s="300"/>
      <c r="M207" s="300"/>
      <c r="N207" s="300"/>
      <c r="O207" s="297"/>
      <c r="P207" s="297"/>
      <c r="Q207" s="278"/>
      <c r="R207" s="270"/>
      <c r="S207" s="298"/>
      <c r="T207" s="275"/>
      <c r="U207" s="275"/>
      <c r="V207" s="275"/>
    </row>
    <row r="208" spans="1:22" s="301" customFormat="1" ht="17.100000000000001" customHeight="1">
      <c r="A208" s="270"/>
      <c r="B208" s="271"/>
      <c r="C208" s="341"/>
      <c r="D208" s="341"/>
      <c r="E208" s="274"/>
      <c r="F208" s="274"/>
      <c r="G208" s="274"/>
      <c r="H208" s="275"/>
      <c r="I208" s="275"/>
      <c r="J208" s="276"/>
      <c r="K208" s="276"/>
      <c r="L208" s="300"/>
      <c r="M208" s="300"/>
      <c r="N208" s="300"/>
      <c r="O208" s="297"/>
      <c r="P208" s="297"/>
      <c r="Q208" s="278"/>
      <c r="R208" s="270"/>
      <c r="S208" s="298"/>
      <c r="T208" s="275"/>
      <c r="U208" s="275"/>
      <c r="V208" s="275"/>
    </row>
    <row r="209" spans="1:22" s="301" customFormat="1" ht="31.5" customHeight="1">
      <c r="A209" s="270" t="e">
        <f>IF(AND(C137=0,#REF!=0,#REF!=0),"BLANKS",1)</f>
        <v>#REF!</v>
      </c>
      <c r="B209" s="271"/>
      <c r="C209" s="341"/>
      <c r="D209" s="341"/>
      <c r="E209" s="274"/>
      <c r="F209" s="274"/>
      <c r="G209" s="274"/>
      <c r="H209" s="275"/>
      <c r="I209" s="275"/>
      <c r="J209" s="276"/>
      <c r="K209" s="276"/>
      <c r="L209" s="300"/>
      <c r="M209" s="300"/>
      <c r="N209" s="300"/>
      <c r="O209" s="297"/>
      <c r="P209" s="297"/>
      <c r="Q209" s="278"/>
      <c r="R209" s="270"/>
      <c r="S209" s="298"/>
      <c r="T209" s="275"/>
      <c r="U209" s="275"/>
      <c r="V209" s="275"/>
    </row>
    <row r="210" spans="1:22" s="301" customFormat="1" ht="17.100000000000001" customHeight="1">
      <c r="A210" s="270" t="e">
        <f>IF(AND(C139=0,C140=0,#REF!=0),"BLANKS",1)</f>
        <v>#REF!</v>
      </c>
      <c r="B210" s="271"/>
      <c r="C210" s="341"/>
      <c r="D210" s="341"/>
      <c r="E210" s="274"/>
      <c r="F210" s="274"/>
      <c r="G210" s="274"/>
      <c r="H210" s="275"/>
      <c r="I210" s="275"/>
      <c r="J210" s="276"/>
      <c r="K210" s="276"/>
      <c r="L210" s="300"/>
      <c r="M210" s="300"/>
      <c r="N210" s="300"/>
      <c r="O210" s="297"/>
      <c r="P210" s="297"/>
      <c r="Q210" s="278"/>
      <c r="R210" s="270"/>
      <c r="S210" s="298"/>
      <c r="T210" s="275"/>
      <c r="U210" s="275"/>
      <c r="V210" s="275"/>
    </row>
    <row r="211" spans="1:22" s="301" customFormat="1" ht="17.100000000000001" customHeight="1">
      <c r="A211" s="270" t="e">
        <f>IF(AND(C140=0,#REF!=0,#REF!=0),"BLANKS",1)</f>
        <v>#REF!</v>
      </c>
      <c r="B211" s="271"/>
      <c r="C211" s="341"/>
      <c r="D211" s="341"/>
      <c r="E211" s="274"/>
      <c r="F211" s="274"/>
      <c r="G211" s="274"/>
      <c r="H211" s="275"/>
      <c r="I211" s="275"/>
      <c r="J211" s="276"/>
      <c r="K211" s="276"/>
      <c r="L211" s="300"/>
      <c r="M211" s="300"/>
      <c r="N211" s="300"/>
      <c r="O211" s="297"/>
      <c r="P211" s="297"/>
      <c r="Q211" s="278"/>
      <c r="R211" s="270"/>
      <c r="S211" s="298"/>
      <c r="T211" s="275"/>
      <c r="U211" s="275"/>
      <c r="V211" s="275"/>
    </row>
    <row r="212" spans="1:22" s="301" customFormat="1" ht="17.100000000000001" customHeight="1">
      <c r="A212" s="270"/>
      <c r="B212" s="271"/>
      <c r="C212" s="341"/>
      <c r="D212" s="341"/>
      <c r="E212" s="274"/>
      <c r="F212" s="274"/>
      <c r="G212" s="274"/>
      <c r="H212" s="275"/>
      <c r="I212" s="275"/>
      <c r="J212" s="276"/>
      <c r="K212" s="276"/>
      <c r="L212" s="300"/>
      <c r="M212" s="300"/>
      <c r="N212" s="300"/>
      <c r="O212" s="297"/>
      <c r="P212" s="297"/>
      <c r="Q212" s="278"/>
      <c r="R212" s="270"/>
      <c r="S212" s="298"/>
      <c r="T212" s="275"/>
      <c r="U212" s="275"/>
      <c r="V212" s="275"/>
    </row>
    <row r="213" spans="1:22" s="301" customFormat="1" ht="17.100000000000001" customHeight="1">
      <c r="A213" s="270" t="e">
        <f>IF(AND(C142=0,#REF!=0,#REF!=0),"BLANKS",1)</f>
        <v>#REF!</v>
      </c>
      <c r="B213" s="271"/>
      <c r="C213" s="341"/>
      <c r="D213" s="341"/>
      <c r="E213" s="274"/>
      <c r="F213" s="274"/>
      <c r="G213" s="274"/>
      <c r="H213" s="275"/>
      <c r="I213" s="275"/>
      <c r="J213" s="276"/>
      <c r="K213" s="276"/>
      <c r="L213" s="300"/>
      <c r="M213" s="300"/>
      <c r="N213" s="300"/>
      <c r="O213" s="297"/>
      <c r="P213" s="297"/>
      <c r="Q213" s="278"/>
      <c r="R213" s="270"/>
      <c r="S213" s="298"/>
      <c r="T213" s="275"/>
      <c r="U213" s="275"/>
      <c r="V213" s="275"/>
    </row>
    <row r="214" spans="1:22" s="301" customFormat="1" ht="17.100000000000001" customHeight="1">
      <c r="A214" s="270">
        <f t="shared" ref="A214" si="87">IF(AND(C143=0,C144=0,C145=0),"BLANKS",1)</f>
        <v>1</v>
      </c>
      <c r="B214" s="271"/>
      <c r="C214" s="341"/>
      <c r="D214" s="341"/>
      <c r="E214" s="274"/>
      <c r="F214" s="274"/>
      <c r="G214" s="274"/>
      <c r="H214" s="275"/>
      <c r="I214" s="275"/>
      <c r="J214" s="276"/>
      <c r="K214" s="276"/>
      <c r="L214" s="300"/>
      <c r="M214" s="300"/>
      <c r="N214" s="300"/>
      <c r="O214" s="297"/>
      <c r="P214" s="297"/>
      <c r="Q214" s="278"/>
      <c r="R214" s="270"/>
      <c r="S214" s="298"/>
      <c r="T214" s="275"/>
      <c r="U214" s="275"/>
      <c r="V214" s="275"/>
    </row>
    <row r="215" spans="1:22" s="301" customFormat="1" ht="17.100000000000001" customHeight="1">
      <c r="A215" s="270" t="e">
        <f>IF(AND(C144=0,C145=0,#REF!=0),"BLANKS",1)</f>
        <v>#REF!</v>
      </c>
      <c r="B215" s="271"/>
      <c r="C215" s="341"/>
      <c r="D215" s="341"/>
      <c r="E215" s="274"/>
      <c r="F215" s="274"/>
      <c r="G215" s="274"/>
      <c r="H215" s="275"/>
      <c r="I215" s="275"/>
      <c r="J215" s="276"/>
      <c r="K215" s="276"/>
      <c r="L215" s="300"/>
      <c r="M215" s="300"/>
      <c r="N215" s="300"/>
      <c r="O215" s="297"/>
      <c r="P215" s="297"/>
      <c r="Q215" s="278"/>
      <c r="R215" s="270"/>
      <c r="S215" s="298"/>
      <c r="T215" s="275"/>
      <c r="U215" s="275"/>
      <c r="V215" s="275"/>
    </row>
    <row r="216" spans="1:22" s="301" customFormat="1" ht="17.100000000000001" customHeight="1">
      <c r="A216" s="270" t="e">
        <f>IF(AND(C145=0,#REF!=0,#REF!=0),"BLANKS",1)</f>
        <v>#REF!</v>
      </c>
      <c r="B216" s="271"/>
      <c r="C216" s="341"/>
      <c r="D216" s="341"/>
      <c r="E216" s="274"/>
      <c r="F216" s="274"/>
      <c r="G216" s="274"/>
      <c r="H216" s="275"/>
      <c r="I216" s="275"/>
      <c r="J216" s="276"/>
      <c r="K216" s="276"/>
      <c r="L216" s="300"/>
      <c r="M216" s="300"/>
      <c r="N216" s="300"/>
      <c r="O216" s="297"/>
      <c r="P216" s="297"/>
      <c r="Q216" s="278"/>
      <c r="R216" s="270"/>
      <c r="S216" s="298"/>
      <c r="T216" s="275"/>
      <c r="U216" s="275"/>
      <c r="V216" s="275"/>
    </row>
    <row r="217" spans="1:22" s="301" customFormat="1" ht="17.100000000000001" customHeight="1">
      <c r="A217" s="270"/>
      <c r="B217" s="271"/>
      <c r="C217" s="341"/>
      <c r="D217" s="341"/>
      <c r="E217" s="274"/>
      <c r="F217" s="274"/>
      <c r="G217" s="274"/>
      <c r="H217" s="275"/>
      <c r="I217" s="275"/>
      <c r="J217" s="276"/>
      <c r="K217" s="276"/>
      <c r="L217" s="300"/>
      <c r="M217" s="300"/>
      <c r="N217" s="300"/>
      <c r="O217" s="297"/>
      <c r="P217" s="297"/>
      <c r="Q217" s="278"/>
      <c r="R217" s="270"/>
      <c r="S217" s="298"/>
      <c r="T217" s="275"/>
      <c r="U217" s="275"/>
      <c r="V217" s="275"/>
    </row>
    <row r="218" spans="1:22" s="301" customFormat="1" ht="17.100000000000001" customHeight="1">
      <c r="A218" s="270" t="e">
        <f>IF(AND(C147=0,#REF!=0,#REF!=0),"BLANKS",1)</f>
        <v>#REF!</v>
      </c>
      <c r="B218" s="271"/>
      <c r="C218" s="341"/>
      <c r="D218" s="341"/>
      <c r="E218" s="274"/>
      <c r="F218" s="274"/>
      <c r="G218" s="274"/>
      <c r="H218" s="275"/>
      <c r="I218" s="275"/>
      <c r="J218" s="276"/>
      <c r="K218" s="276"/>
      <c r="L218" s="300"/>
      <c r="M218" s="300"/>
      <c r="N218" s="300"/>
      <c r="O218" s="297"/>
      <c r="P218" s="297"/>
      <c r="Q218" s="278"/>
      <c r="R218" s="270"/>
      <c r="S218" s="298"/>
      <c r="T218" s="275"/>
      <c r="U218" s="275"/>
      <c r="V218" s="275"/>
    </row>
    <row r="219" spans="1:22" s="301" customFormat="1" ht="17.100000000000001" customHeight="1">
      <c r="A219" s="270" t="e">
        <f>IF(AND(C148=0,C149=0,#REF!=0),"BLANKS",1)</f>
        <v>#REF!</v>
      </c>
      <c r="B219" s="271"/>
      <c r="C219" s="341"/>
      <c r="D219" s="341"/>
      <c r="E219" s="274"/>
      <c r="F219" s="274"/>
      <c r="G219" s="274"/>
      <c r="H219" s="275"/>
      <c r="I219" s="275"/>
      <c r="J219" s="276"/>
      <c r="K219" s="276"/>
      <c r="L219" s="300"/>
      <c r="M219" s="300"/>
      <c r="N219" s="300"/>
      <c r="O219" s="297"/>
      <c r="P219" s="297"/>
      <c r="Q219" s="278"/>
      <c r="R219" s="270"/>
      <c r="S219" s="298"/>
      <c r="T219" s="275"/>
      <c r="U219" s="275"/>
      <c r="V219" s="275"/>
    </row>
    <row r="220" spans="1:22" s="301" customFormat="1" ht="17.100000000000001" customHeight="1">
      <c r="A220" s="270" t="e">
        <f>IF(AND(C149=0,#REF!=0,#REF!=0),"BLANKS",1)</f>
        <v>#REF!</v>
      </c>
      <c r="B220" s="271"/>
      <c r="C220" s="341"/>
      <c r="D220" s="341"/>
      <c r="E220" s="274"/>
      <c r="F220" s="274"/>
      <c r="G220" s="274"/>
      <c r="H220" s="275"/>
      <c r="I220" s="275"/>
      <c r="J220" s="276"/>
      <c r="K220" s="276"/>
      <c r="L220" s="300"/>
      <c r="M220" s="300"/>
      <c r="N220" s="300"/>
      <c r="O220" s="297"/>
      <c r="P220" s="297"/>
      <c r="Q220" s="278"/>
      <c r="R220" s="270"/>
      <c r="S220" s="298"/>
      <c r="T220" s="275"/>
      <c r="U220" s="275"/>
      <c r="V220" s="275"/>
    </row>
    <row r="221" spans="1:22" s="299" customFormat="1" ht="17.100000000000001" customHeight="1">
      <c r="A221" s="270"/>
      <c r="B221" s="271"/>
      <c r="C221" s="341"/>
      <c r="D221" s="341"/>
      <c r="E221" s="274"/>
      <c r="F221" s="274"/>
      <c r="G221" s="274"/>
      <c r="H221" s="275"/>
      <c r="I221" s="275"/>
      <c r="J221" s="276"/>
      <c r="K221" s="276"/>
      <c r="L221" s="334"/>
      <c r="M221" s="334"/>
      <c r="N221" s="300"/>
      <c r="O221" s="278"/>
      <c r="P221" s="278"/>
      <c r="Q221" s="278"/>
    </row>
    <row r="222" spans="1:22" ht="17.100000000000001" customHeight="1"/>
    <row r="223" spans="1:22" ht="17.100000000000001" customHeight="1"/>
    <row r="227" spans="13:13">
      <c r="M227" s="407"/>
    </row>
  </sheetData>
  <sheetProtection sort="0" autoFilter="0"/>
  <protectedRanges>
    <protectedRange sqref="B150:C150" name="Range1_1_1"/>
    <protectedRange sqref="B141:C149 B139:B140 B15:B17 C139 B18:C138" name="Range1_6_1"/>
    <protectedRange sqref="C140" name="Range1_1_2"/>
  </protectedRanges>
  <mergeCells count="22">
    <mergeCell ref="I163:K163"/>
    <mergeCell ref="I168:K168"/>
    <mergeCell ref="C156:F156"/>
    <mergeCell ref="G6:K6"/>
    <mergeCell ref="I162:K162"/>
    <mergeCell ref="C155:F155"/>
    <mergeCell ref="B157:K158"/>
    <mergeCell ref="H161:K161"/>
    <mergeCell ref="H11:K11"/>
    <mergeCell ref="H12:H13"/>
    <mergeCell ref="J12:J13"/>
    <mergeCell ref="K12:K13"/>
    <mergeCell ref="O3:P4"/>
    <mergeCell ref="B4:K4"/>
    <mergeCell ref="C154:F154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:C17">
    <cfRule type="cellIs" dxfId="6" priority="47" operator="equal">
      <formula>0</formula>
    </cfRule>
  </conditionalFormatting>
  <conditionalFormatting sqref="C140">
    <cfRule type="cellIs" dxfId="5" priority="49" operator="equal">
      <formula>0</formula>
    </cfRule>
  </conditionalFormatting>
  <conditionalFormatting sqref="E1:E3 E5:E20 H12:I12 O13 S14:V220 E21:K46 F47 E47:E73 G47:K73 F49:F73 E74:K80 F81:F105 E81:E127 G81:K127 E128:K150 G151:H151 E151:G152 H151:K153 E153:F153">
    <cfRule type="cellIs" dxfId="4" priority="1315" stopIfTrue="1" operator="equal">
      <formula>0</formula>
    </cfRule>
  </conditionalFormatting>
  <conditionalFormatting sqref="F107:F127">
    <cfRule type="cellIs" dxfId="3" priority="1" stopIfTrue="1" operator="equal">
      <formula>0</formula>
    </cfRule>
  </conditionalFormatting>
  <conditionalFormatting sqref="F14:K20">
    <cfRule type="cellIs" dxfId="2" priority="4" stopIfTrue="1" operator="equal">
      <formula>0</formula>
    </cfRule>
  </conditionalFormatting>
  <conditionalFormatting sqref="G1:G13">
    <cfRule type="cellIs" dxfId="1" priority="7" stopIfTrue="1" operator="equal">
      <formula>0</formula>
    </cfRule>
  </conditionalFormatting>
  <conditionalFormatting sqref="G153:G65618 E157:E65618">
    <cfRule type="cellIs" dxfId="0" priority="449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47 F132 F15:F20 F107:F125 F127:F128 F49:F105 F134:F142 H14:K15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5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E3C3-7883-43C8-B1A8-A8FC7A480637}">
  <sheetPr>
    <tabColor rgb="FF92D050"/>
  </sheetPr>
  <dimension ref="C1:AD54"/>
  <sheetViews>
    <sheetView showGridLines="0" topLeftCell="A27" zoomScale="115" zoomScaleNormal="115" zoomScaleSheetLayoutView="100" workbookViewId="0">
      <selection activeCell="A2" sqref="A1:XFD2"/>
    </sheetView>
  </sheetViews>
  <sheetFormatPr defaultColWidth="9.140625" defaultRowHeight="12"/>
  <cols>
    <col min="1" max="2" width="1.42578125" style="423" customWidth="1"/>
    <col min="3" max="3" width="7.42578125" style="423" customWidth="1"/>
    <col min="4" max="23" width="5.7109375" style="423" customWidth="1"/>
    <col min="24" max="24" width="6.28515625" style="423" customWidth="1"/>
    <col min="25" max="26" width="5.7109375" style="423" customWidth="1"/>
    <col min="27" max="27" width="6.5703125" style="423" customWidth="1"/>
    <col min="28" max="118" width="5.7109375" style="423" customWidth="1"/>
    <col min="119" max="16384" width="9.140625" style="423"/>
  </cols>
  <sheetData>
    <row r="1" spans="3:30" ht="12.75" thickBot="1"/>
    <row r="2" spans="3:30" ht="12.75" customHeight="1">
      <c r="C2" s="424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710" t="s">
        <v>1443</v>
      </c>
      <c r="X2" s="711"/>
      <c r="Y2" s="711"/>
      <c r="Z2" s="711"/>
      <c r="AA2" s="711"/>
      <c r="AB2" s="711"/>
      <c r="AC2" s="711"/>
      <c r="AD2" s="712"/>
    </row>
    <row r="3" spans="3:30">
      <c r="C3" s="426"/>
      <c r="W3" s="713"/>
      <c r="X3" s="714"/>
      <c r="Y3" s="714"/>
      <c r="Z3" s="714"/>
      <c r="AA3" s="714"/>
      <c r="AB3" s="714"/>
      <c r="AC3" s="714"/>
      <c r="AD3" s="715"/>
    </row>
    <row r="4" spans="3:30">
      <c r="C4" s="426"/>
      <c r="W4" s="500" t="s">
        <v>991</v>
      </c>
      <c r="AD4" s="427"/>
    </row>
    <row r="5" spans="3:30">
      <c r="C5" s="426"/>
      <c r="W5" s="498" t="s">
        <v>995</v>
      </c>
      <c r="X5" s="660" t="s">
        <v>994</v>
      </c>
      <c r="Y5" s="662"/>
      <c r="Z5" s="661"/>
      <c r="AA5" s="663" t="s">
        <v>992</v>
      </c>
      <c r="AB5" s="663"/>
      <c r="AC5" s="663" t="s">
        <v>993</v>
      </c>
      <c r="AD5" s="664"/>
    </row>
    <row r="6" spans="3:30">
      <c r="C6" s="426"/>
      <c r="W6" s="498">
        <v>1</v>
      </c>
      <c r="X6" s="660" t="s">
        <v>997</v>
      </c>
      <c r="Y6" s="662"/>
      <c r="Z6" s="661"/>
      <c r="AA6" s="663"/>
      <c r="AB6" s="663"/>
      <c r="AC6" s="663"/>
      <c r="AD6" s="664"/>
    </row>
    <row r="7" spans="3:30">
      <c r="C7" s="426"/>
      <c r="W7" s="498">
        <v>2</v>
      </c>
      <c r="X7" s="660" t="s">
        <v>998</v>
      </c>
      <c r="Y7" s="662"/>
      <c r="Z7" s="661"/>
      <c r="AA7" s="663"/>
      <c r="AB7" s="663"/>
      <c r="AC7" s="663"/>
      <c r="AD7" s="664"/>
    </row>
    <row r="8" spans="3:30">
      <c r="C8" s="426"/>
      <c r="W8" s="498">
        <v>3</v>
      </c>
      <c r="X8" s="660" t="s">
        <v>999</v>
      </c>
      <c r="Y8" s="662"/>
      <c r="Z8" s="661"/>
      <c r="AA8" s="663"/>
      <c r="AB8" s="663"/>
      <c r="AC8" s="663"/>
      <c r="AD8" s="664"/>
    </row>
    <row r="9" spans="3:30">
      <c r="C9" s="426"/>
      <c r="W9" s="498">
        <v>4</v>
      </c>
      <c r="X9" s="660" t="s">
        <v>1000</v>
      </c>
      <c r="Y9" s="662"/>
      <c r="Z9" s="661"/>
      <c r="AA9" s="663"/>
      <c r="AB9" s="663"/>
      <c r="AC9" s="663"/>
      <c r="AD9" s="664"/>
    </row>
    <row r="10" spans="3:30">
      <c r="C10" s="426"/>
      <c r="W10" s="498">
        <v>5</v>
      </c>
      <c r="X10" s="660" t="s">
        <v>1001</v>
      </c>
      <c r="Y10" s="662"/>
      <c r="Z10" s="661"/>
      <c r="AA10" s="663"/>
      <c r="AB10" s="663"/>
      <c r="AC10" s="663"/>
      <c r="AD10" s="664"/>
    </row>
    <row r="11" spans="3:30">
      <c r="C11" s="426"/>
      <c r="W11" s="498">
        <v>6</v>
      </c>
      <c r="X11" s="660" t="s">
        <v>1002</v>
      </c>
      <c r="Y11" s="662"/>
      <c r="Z11" s="661"/>
      <c r="AA11" s="663"/>
      <c r="AB11" s="663"/>
      <c r="AC11" s="663"/>
      <c r="AD11" s="664"/>
    </row>
    <row r="12" spans="3:30">
      <c r="C12" s="426"/>
      <c r="W12" s="498">
        <v>7</v>
      </c>
      <c r="X12" s="660" t="s">
        <v>1003</v>
      </c>
      <c r="Y12" s="662"/>
      <c r="Z12" s="661"/>
      <c r="AA12" s="663"/>
      <c r="AB12" s="663"/>
      <c r="AC12" s="663"/>
      <c r="AD12" s="664"/>
    </row>
    <row r="13" spans="3:30" ht="12.75" customHeight="1">
      <c r="C13" s="426"/>
      <c r="W13" s="498">
        <v>8</v>
      </c>
      <c r="X13" s="660" t="s">
        <v>1004</v>
      </c>
      <c r="Y13" s="662"/>
      <c r="Z13" s="661"/>
      <c r="AA13" s="663"/>
      <c r="AB13" s="663"/>
      <c r="AC13" s="663"/>
      <c r="AD13" s="664"/>
    </row>
    <row r="14" spans="3:30">
      <c r="C14" s="426"/>
      <c r="W14" s="498">
        <v>9</v>
      </c>
      <c r="X14" s="660" t="s">
        <v>1005</v>
      </c>
      <c r="Y14" s="662"/>
      <c r="Z14" s="661"/>
      <c r="AA14" s="663"/>
      <c r="AB14" s="663"/>
      <c r="AC14" s="663"/>
      <c r="AD14" s="664"/>
    </row>
    <row r="15" spans="3:30">
      <c r="C15" s="426"/>
      <c r="W15" s="498">
        <v>10</v>
      </c>
      <c r="X15" s="660" t="s">
        <v>1014</v>
      </c>
      <c r="Y15" s="662"/>
      <c r="Z15" s="661"/>
      <c r="AA15" s="663"/>
      <c r="AB15" s="663"/>
      <c r="AC15" s="663"/>
      <c r="AD15" s="664"/>
    </row>
    <row r="16" spans="3:30">
      <c r="C16" s="426"/>
      <c r="W16" s="498">
        <v>11</v>
      </c>
      <c r="X16" s="660" t="s">
        <v>1460</v>
      </c>
      <c r="Y16" s="662"/>
      <c r="Z16" s="661"/>
      <c r="AA16" s="663"/>
      <c r="AB16" s="663"/>
      <c r="AC16" s="663"/>
      <c r="AD16" s="664"/>
    </row>
    <row r="17" spans="3:30">
      <c r="C17" s="426"/>
      <c r="S17" s="428"/>
      <c r="W17" s="498">
        <v>12</v>
      </c>
      <c r="X17" s="660" t="s">
        <v>1015</v>
      </c>
      <c r="Y17" s="662"/>
      <c r="Z17" s="661"/>
      <c r="AA17" s="663"/>
      <c r="AB17" s="663"/>
      <c r="AC17" s="663"/>
      <c r="AD17" s="664"/>
    </row>
    <row r="18" spans="3:30">
      <c r="C18" s="429"/>
      <c r="D18" s="430"/>
      <c r="E18" s="430"/>
      <c r="W18" s="498">
        <v>13</v>
      </c>
      <c r="X18" s="660"/>
      <c r="Y18" s="662"/>
      <c r="Z18" s="661"/>
      <c r="AA18" s="663"/>
      <c r="AB18" s="663"/>
      <c r="AC18" s="663"/>
      <c r="AD18" s="664"/>
    </row>
    <row r="19" spans="3:30">
      <c r="C19" s="426"/>
      <c r="W19" s="431"/>
      <c r="X19" s="699"/>
      <c r="Y19" s="699"/>
      <c r="Z19" s="699"/>
      <c r="AA19" s="699"/>
      <c r="AB19" s="699"/>
      <c r="AC19" s="699"/>
      <c r="AD19" s="700"/>
    </row>
    <row r="20" spans="3:30">
      <c r="C20" s="426"/>
      <c r="W20" s="701" t="s">
        <v>996</v>
      </c>
      <c r="X20" s="702"/>
      <c r="Y20" s="702"/>
      <c r="Z20" s="702"/>
      <c r="AA20" s="702"/>
      <c r="AB20" s="702"/>
      <c r="AC20" s="702"/>
      <c r="AD20" s="703"/>
    </row>
    <row r="21" spans="3:30">
      <c r="C21" s="426"/>
      <c r="W21" s="704" t="s">
        <v>989</v>
      </c>
      <c r="X21" s="705"/>
      <c r="Y21" s="705"/>
      <c r="Z21" s="706"/>
      <c r="AA21" s="707" t="s">
        <v>990</v>
      </c>
      <c r="AB21" s="708"/>
      <c r="AC21" s="708"/>
      <c r="AD21" s="709"/>
    </row>
    <row r="22" spans="3:30">
      <c r="C22" s="426"/>
      <c r="W22" s="432" t="s">
        <v>1647</v>
      </c>
      <c r="X22" s="433"/>
      <c r="Y22" s="503">
        <v>1</v>
      </c>
      <c r="Z22" s="434" t="s">
        <v>103</v>
      </c>
      <c r="AA22" s="693"/>
      <c r="AB22" s="694"/>
      <c r="AC22" s="435"/>
      <c r="AD22" s="436"/>
    </row>
    <row r="23" spans="3:30">
      <c r="C23" s="426"/>
      <c r="W23" s="432" t="s">
        <v>1633</v>
      </c>
      <c r="X23" s="433"/>
      <c r="Y23" s="503">
        <v>3</v>
      </c>
      <c r="Z23" s="434" t="s">
        <v>103</v>
      </c>
      <c r="AA23" s="695"/>
      <c r="AB23" s="696"/>
      <c r="AC23" s="435"/>
      <c r="AD23" s="436"/>
    </row>
    <row r="24" spans="3:30">
      <c r="C24" s="426"/>
      <c r="W24" s="432" t="s">
        <v>1657</v>
      </c>
      <c r="X24" s="433"/>
      <c r="Y24" s="503">
        <v>2</v>
      </c>
      <c r="Z24" s="434" t="s">
        <v>1062</v>
      </c>
      <c r="AA24" s="697"/>
      <c r="AB24" s="698"/>
      <c r="AC24" s="435"/>
      <c r="AD24" s="436"/>
    </row>
    <row r="25" spans="3:30">
      <c r="C25" s="426"/>
      <c r="W25" s="432" t="s">
        <v>1623</v>
      </c>
      <c r="X25" s="433"/>
      <c r="Y25" s="503">
        <v>2</v>
      </c>
      <c r="Z25" s="434" t="s">
        <v>1062</v>
      </c>
      <c r="AA25" s="695"/>
      <c r="AB25" s="696"/>
      <c r="AC25" s="435"/>
      <c r="AD25" s="436"/>
    </row>
    <row r="26" spans="3:30">
      <c r="C26" s="426"/>
      <c r="W26" s="432" t="s">
        <v>1624</v>
      </c>
      <c r="X26" s="433"/>
      <c r="Y26" s="503">
        <v>1</v>
      </c>
      <c r="Z26" s="434" t="s">
        <v>1062</v>
      </c>
      <c r="AA26" s="687"/>
      <c r="AB26" s="688"/>
      <c r="AC26" s="435"/>
      <c r="AD26" s="436"/>
    </row>
    <row r="27" spans="3:30">
      <c r="C27" s="426"/>
      <c r="W27" s="432" t="s">
        <v>1654</v>
      </c>
      <c r="X27" s="433"/>
      <c r="Y27" s="503">
        <v>1</v>
      </c>
      <c r="Z27" s="440" t="s">
        <v>1062</v>
      </c>
      <c r="AA27" s="687"/>
      <c r="AB27" s="688"/>
      <c r="AC27" s="435"/>
      <c r="AD27" s="436"/>
    </row>
    <row r="28" spans="3:30">
      <c r="C28" s="426"/>
      <c r="W28" s="432" t="s">
        <v>1641</v>
      </c>
      <c r="X28" s="433"/>
      <c r="Y28" s="503">
        <v>2</v>
      </c>
      <c r="Z28" s="434" t="s">
        <v>1062</v>
      </c>
      <c r="AA28" s="687"/>
      <c r="AB28" s="688"/>
      <c r="AC28" s="435"/>
      <c r="AD28" s="436"/>
    </row>
    <row r="29" spans="3:30" ht="11.25" customHeight="1">
      <c r="C29" s="426"/>
      <c r="W29" s="432" t="s">
        <v>1626</v>
      </c>
      <c r="X29" s="433"/>
      <c r="Y29" s="503">
        <v>4</v>
      </c>
      <c r="Z29" s="434" t="s">
        <v>1062</v>
      </c>
      <c r="AA29" s="687"/>
      <c r="AB29" s="688"/>
      <c r="AC29" s="435"/>
      <c r="AD29" s="436"/>
    </row>
    <row r="30" spans="3:30">
      <c r="C30" s="426"/>
      <c r="U30" s="437"/>
      <c r="W30" s="432" t="s">
        <v>1640</v>
      </c>
      <c r="X30" s="433"/>
      <c r="Y30" s="503">
        <v>1</v>
      </c>
      <c r="Z30" s="434" t="s">
        <v>1062</v>
      </c>
      <c r="AA30" s="687"/>
      <c r="AB30" s="688"/>
      <c r="AC30" s="435"/>
      <c r="AD30" s="436"/>
    </row>
    <row r="31" spans="3:30">
      <c r="C31" s="426"/>
      <c r="U31" s="437"/>
      <c r="W31" s="432" t="s">
        <v>1652</v>
      </c>
      <c r="X31" s="433"/>
      <c r="Y31" s="503">
        <v>1</v>
      </c>
      <c r="Z31" s="434" t="s">
        <v>1062</v>
      </c>
      <c r="AA31" s="687"/>
      <c r="AB31" s="688"/>
      <c r="AC31" s="435"/>
      <c r="AD31" s="436"/>
    </row>
    <row r="32" spans="3:30">
      <c r="C32" s="426"/>
      <c r="W32" s="514" t="s">
        <v>1648</v>
      </c>
      <c r="X32" s="515"/>
      <c r="Y32" s="503">
        <v>1</v>
      </c>
      <c r="Z32" s="434" t="s">
        <v>1062</v>
      </c>
      <c r="AA32" s="687"/>
      <c r="AB32" s="688"/>
      <c r="AC32" s="435"/>
      <c r="AD32" s="436"/>
    </row>
    <row r="33" spans="3:30">
      <c r="C33" s="426"/>
      <c r="W33" s="438" t="s">
        <v>1653</v>
      </c>
      <c r="X33" s="439"/>
      <c r="Y33" s="503">
        <v>1</v>
      </c>
      <c r="Z33" s="440" t="s">
        <v>1062</v>
      </c>
      <c r="AA33" s="687"/>
      <c r="AB33" s="688"/>
      <c r="AC33" s="435"/>
      <c r="AD33" s="436"/>
    </row>
    <row r="34" spans="3:30">
      <c r="C34" s="426"/>
      <c r="W34" s="432" t="s">
        <v>1649</v>
      </c>
      <c r="X34" s="441"/>
      <c r="Y34" s="503">
        <v>1</v>
      </c>
      <c r="Z34" s="440" t="s">
        <v>1062</v>
      </c>
      <c r="AA34" s="687"/>
      <c r="AB34" s="688"/>
      <c r="AC34" s="435"/>
      <c r="AD34" s="436"/>
    </row>
    <row r="35" spans="3:30">
      <c r="C35" s="426"/>
      <c r="W35" s="438" t="s">
        <v>1655</v>
      </c>
      <c r="X35" s="439"/>
      <c r="Y35" s="503">
        <v>1</v>
      </c>
      <c r="Z35" s="440" t="s">
        <v>1062</v>
      </c>
      <c r="AA35" s="687"/>
      <c r="AB35" s="688"/>
      <c r="AC35" s="435"/>
      <c r="AD35" s="436"/>
    </row>
    <row r="36" spans="3:30" ht="12.75" customHeight="1">
      <c r="C36" s="426"/>
      <c r="W36" s="432" t="s">
        <v>1625</v>
      </c>
      <c r="X36" s="441"/>
      <c r="Y36" s="503">
        <v>2</v>
      </c>
      <c r="Z36" s="525" t="s">
        <v>1062</v>
      </c>
      <c r="AA36" s="689"/>
      <c r="AB36" s="690"/>
      <c r="AC36" s="442"/>
      <c r="AD36" s="443"/>
    </row>
    <row r="37" spans="3:30" ht="12.75" customHeight="1">
      <c r="C37" s="426"/>
      <c r="W37" s="432" t="s">
        <v>1650</v>
      </c>
      <c r="X37" s="441"/>
      <c r="Y37" s="503">
        <f>3*40</f>
        <v>120</v>
      </c>
      <c r="Z37" s="525" t="s">
        <v>7</v>
      </c>
      <c r="AA37" s="689"/>
      <c r="AB37" s="690"/>
      <c r="AC37" s="442"/>
      <c r="AD37" s="443"/>
    </row>
    <row r="38" spans="3:30" ht="12" customHeight="1">
      <c r="C38" s="426"/>
      <c r="W38" s="432" t="s">
        <v>1658</v>
      </c>
      <c r="X38" s="441"/>
      <c r="Y38" s="503">
        <f>40*2</f>
        <v>80</v>
      </c>
      <c r="Z38" s="525" t="s">
        <v>7</v>
      </c>
      <c r="AA38" s="691"/>
      <c r="AB38" s="692"/>
      <c r="AC38" s="442"/>
      <c r="AD38" s="443"/>
    </row>
    <row r="39" spans="3:30" ht="12" customHeight="1">
      <c r="C39" s="426"/>
      <c r="W39" s="679"/>
      <c r="X39" s="680"/>
      <c r="Y39" s="444"/>
      <c r="Z39" s="445"/>
      <c r="AA39" s="501"/>
      <c r="AB39" s="502"/>
      <c r="AC39" s="442"/>
      <c r="AD39" s="443"/>
    </row>
    <row r="40" spans="3:30" ht="12" customHeight="1">
      <c r="C40" s="426"/>
      <c r="W40" s="681"/>
      <c r="X40" s="682"/>
      <c r="Y40" s="446"/>
      <c r="Z40" s="447"/>
      <c r="AA40" s="683"/>
      <c r="AB40" s="684"/>
      <c r="AC40" s="442"/>
      <c r="AD40" s="443"/>
    </row>
    <row r="41" spans="3:30" ht="12" customHeight="1">
      <c r="C41" s="426"/>
      <c r="W41" s="685" t="s">
        <v>1627</v>
      </c>
      <c r="X41" s="686"/>
      <c r="Y41" s="686"/>
      <c r="Z41" s="686"/>
      <c r="AA41" s="448"/>
      <c r="AB41" s="448"/>
      <c r="AC41" s="448"/>
      <c r="AD41" s="449"/>
    </row>
    <row r="42" spans="3:30" ht="12" customHeight="1">
      <c r="C42" s="426"/>
      <c r="V42" s="450"/>
      <c r="W42" s="451"/>
      <c r="X42" s="452"/>
      <c r="Y42" s="452"/>
      <c r="Z42" s="452"/>
      <c r="AA42" s="452"/>
      <c r="AB42" s="452"/>
      <c r="AC42" s="452"/>
      <c r="AD42" s="453"/>
    </row>
    <row r="43" spans="3:30">
      <c r="C43" s="454"/>
      <c r="D43" s="455"/>
      <c r="E43" s="455"/>
      <c r="F43" s="455"/>
      <c r="G43" s="455"/>
      <c r="H43" s="455"/>
      <c r="I43" s="455"/>
      <c r="J43" s="455"/>
      <c r="K43" s="455"/>
      <c r="L43" s="455"/>
      <c r="M43" s="455"/>
      <c r="N43" s="455"/>
      <c r="O43" s="455"/>
      <c r="P43" s="455"/>
      <c r="Q43" s="455"/>
      <c r="R43" s="455"/>
      <c r="S43" s="455"/>
      <c r="T43" s="455"/>
      <c r="U43" s="455"/>
      <c r="V43" s="450"/>
      <c r="W43" s="660" t="s">
        <v>11</v>
      </c>
      <c r="X43" s="661"/>
      <c r="Y43" s="663"/>
      <c r="Z43" s="663"/>
      <c r="AA43" s="663"/>
      <c r="AB43" s="663"/>
      <c r="AC43" s="663"/>
      <c r="AD43" s="664"/>
    </row>
    <row r="44" spans="3:30">
      <c r="C44" s="454"/>
      <c r="D44" s="455"/>
      <c r="E44" s="455"/>
      <c r="F44" s="455"/>
      <c r="G44" s="455"/>
      <c r="H44" s="455"/>
      <c r="I44" s="455"/>
      <c r="J44" s="455"/>
      <c r="K44" s="455"/>
      <c r="L44" s="455"/>
      <c r="M44" s="455"/>
      <c r="N44" s="455"/>
      <c r="O44" s="455"/>
      <c r="P44" s="455"/>
      <c r="Q44" s="455"/>
      <c r="R44" s="455"/>
      <c r="S44" s="455"/>
      <c r="T44" s="455"/>
      <c r="U44" s="455"/>
      <c r="V44" s="450"/>
      <c r="W44" s="660" t="s">
        <v>988</v>
      </c>
      <c r="X44" s="661"/>
      <c r="Y44" s="660">
        <v>1</v>
      </c>
      <c r="Z44" s="662"/>
      <c r="AA44" s="661"/>
      <c r="AB44" s="663" t="s">
        <v>12</v>
      </c>
      <c r="AC44" s="663"/>
      <c r="AD44" s="499" t="s">
        <v>13</v>
      </c>
    </row>
    <row r="45" spans="3:30">
      <c r="C45" s="454"/>
      <c r="D45" s="455"/>
      <c r="E45" s="455"/>
      <c r="F45" s="455"/>
      <c r="G45" s="455"/>
      <c r="H45" s="455"/>
      <c r="I45" s="455"/>
      <c r="J45" s="455"/>
      <c r="K45" s="455"/>
      <c r="L45" s="455"/>
      <c r="M45" s="455"/>
      <c r="N45" s="455"/>
      <c r="O45" s="455"/>
      <c r="P45" s="455"/>
      <c r="Q45" s="455"/>
      <c r="R45" s="455"/>
      <c r="S45" s="455"/>
      <c r="T45" s="455"/>
      <c r="U45" s="455"/>
      <c r="V45" s="450"/>
      <c r="W45" s="660" t="s">
        <v>15</v>
      </c>
      <c r="X45" s="661"/>
      <c r="Y45" s="670"/>
      <c r="Z45" s="671"/>
      <c r="AA45" s="672"/>
      <c r="AB45" s="663" t="s">
        <v>16</v>
      </c>
      <c r="AC45" s="663"/>
      <c r="AD45" s="456"/>
    </row>
    <row r="46" spans="3:30">
      <c r="C46" s="454"/>
      <c r="D46" s="455"/>
      <c r="E46" s="455"/>
      <c r="F46" s="455"/>
      <c r="G46" s="455"/>
      <c r="H46" s="455"/>
      <c r="I46" s="455"/>
      <c r="J46" s="455"/>
      <c r="K46" s="455"/>
      <c r="L46" s="455"/>
      <c r="M46" s="455"/>
      <c r="N46" s="455"/>
      <c r="O46" s="455"/>
      <c r="P46" s="455"/>
      <c r="Q46" s="455"/>
      <c r="R46" s="455"/>
      <c r="S46" s="455"/>
      <c r="T46" s="455"/>
      <c r="U46" s="455"/>
      <c r="V46" s="450"/>
      <c r="W46" s="673" t="s">
        <v>17</v>
      </c>
      <c r="X46" s="673"/>
      <c r="Y46" s="673"/>
      <c r="Z46" s="673"/>
      <c r="AA46" s="673"/>
      <c r="AB46" s="673"/>
      <c r="AC46" s="673"/>
      <c r="AD46" s="674"/>
    </row>
    <row r="47" spans="3:30" ht="12.75" customHeight="1">
      <c r="C47" s="454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455"/>
      <c r="T47" s="455"/>
      <c r="U47" s="455"/>
      <c r="V47" s="450"/>
      <c r="W47" s="675" t="s">
        <v>1659</v>
      </c>
      <c r="X47" s="675"/>
      <c r="Y47" s="675"/>
      <c r="Z47" s="675"/>
      <c r="AA47" s="675"/>
      <c r="AB47" s="675"/>
      <c r="AC47" s="675"/>
      <c r="AD47" s="676"/>
    </row>
    <row r="48" spans="3:30">
      <c r="C48" s="454"/>
      <c r="D48" s="455"/>
      <c r="E48" s="455"/>
      <c r="F48" s="455"/>
      <c r="G48" s="455"/>
      <c r="H48" s="455"/>
      <c r="I48" s="455"/>
      <c r="J48" s="455"/>
      <c r="K48" s="455"/>
      <c r="L48" s="455"/>
      <c r="M48" s="455"/>
      <c r="N48" s="455"/>
      <c r="O48" s="455"/>
      <c r="P48" s="455"/>
      <c r="Q48" s="455"/>
      <c r="R48" s="455"/>
      <c r="S48" s="455"/>
      <c r="T48" s="455"/>
      <c r="U48" s="455"/>
      <c r="V48" s="457"/>
      <c r="W48" s="675"/>
      <c r="X48" s="675"/>
      <c r="Y48" s="675"/>
      <c r="Z48" s="675"/>
      <c r="AA48" s="675"/>
      <c r="AB48" s="675"/>
      <c r="AC48" s="675"/>
      <c r="AD48" s="676"/>
    </row>
    <row r="49" spans="3:30">
      <c r="C49" s="454"/>
      <c r="D49" s="455"/>
      <c r="E49" s="455"/>
      <c r="F49" s="455"/>
      <c r="G49" s="455"/>
      <c r="H49" s="455"/>
      <c r="I49" s="455"/>
      <c r="J49" s="455"/>
      <c r="K49" s="455"/>
      <c r="L49" s="455"/>
      <c r="M49" s="455"/>
      <c r="N49" s="455"/>
      <c r="O49" s="455"/>
      <c r="P49" s="455"/>
      <c r="Q49" s="455"/>
      <c r="R49" s="455"/>
      <c r="S49" s="455"/>
      <c r="T49" s="455"/>
      <c r="U49" s="455"/>
      <c r="V49" s="457"/>
      <c r="W49" s="675"/>
      <c r="X49" s="675"/>
      <c r="Y49" s="675"/>
      <c r="Z49" s="675"/>
      <c r="AA49" s="675"/>
      <c r="AB49" s="675"/>
      <c r="AC49" s="675"/>
      <c r="AD49" s="676"/>
    </row>
    <row r="50" spans="3:30" ht="19.5" customHeight="1">
      <c r="C50" s="454"/>
      <c r="D50" s="455"/>
      <c r="E50" s="455"/>
      <c r="F50" s="455"/>
      <c r="G50" s="455"/>
      <c r="H50" s="455"/>
      <c r="I50" s="455"/>
      <c r="J50" s="455"/>
      <c r="K50" s="455"/>
      <c r="L50" s="455"/>
      <c r="M50" s="455"/>
      <c r="N50" s="455"/>
      <c r="O50" s="455"/>
      <c r="P50" s="455"/>
      <c r="Q50" s="455"/>
      <c r="R50" s="455"/>
      <c r="S50" s="455"/>
      <c r="T50" s="455"/>
      <c r="U50" s="455"/>
      <c r="V50" s="457"/>
      <c r="W50" s="677"/>
      <c r="X50" s="677"/>
      <c r="Y50" s="677"/>
      <c r="Z50" s="677"/>
      <c r="AA50" s="677"/>
      <c r="AB50" s="677"/>
      <c r="AC50" s="677"/>
      <c r="AD50" s="678"/>
    </row>
    <row r="51" spans="3:30">
      <c r="C51" s="454"/>
      <c r="D51" s="455"/>
      <c r="E51" s="455"/>
      <c r="F51" s="455"/>
      <c r="G51" s="455"/>
      <c r="H51" s="455"/>
      <c r="I51" s="455"/>
      <c r="J51" s="455"/>
      <c r="K51" s="455"/>
      <c r="L51" s="455"/>
      <c r="M51" s="455"/>
      <c r="N51" s="455"/>
      <c r="O51" s="455"/>
      <c r="P51" s="455"/>
      <c r="Q51" s="455"/>
      <c r="R51" s="455"/>
      <c r="S51" s="455"/>
      <c r="T51" s="455"/>
      <c r="U51" s="455"/>
      <c r="V51" s="450"/>
      <c r="W51" s="660" t="s">
        <v>18</v>
      </c>
      <c r="X51" s="661"/>
      <c r="Y51" s="660" t="s">
        <v>1628</v>
      </c>
      <c r="Z51" s="662"/>
      <c r="AA51" s="661"/>
      <c r="AB51" s="663"/>
      <c r="AC51" s="663"/>
      <c r="AD51" s="664"/>
    </row>
    <row r="52" spans="3:30">
      <c r="C52" s="454"/>
      <c r="D52" s="455"/>
      <c r="E52" s="455"/>
      <c r="F52" s="455"/>
      <c r="G52" s="455"/>
      <c r="H52" s="455"/>
      <c r="I52" s="455"/>
      <c r="J52" s="455"/>
      <c r="K52" s="455"/>
      <c r="L52" s="455"/>
      <c r="M52" s="455"/>
      <c r="N52" s="455"/>
      <c r="O52" s="455"/>
      <c r="P52" s="455"/>
      <c r="Q52" s="455"/>
      <c r="R52" s="455"/>
      <c r="S52" s="455"/>
      <c r="T52" s="455"/>
      <c r="V52" s="450"/>
      <c r="W52" s="660" t="s">
        <v>19</v>
      </c>
      <c r="X52" s="661"/>
      <c r="Y52" s="660" t="s">
        <v>1628</v>
      </c>
      <c r="Z52" s="662"/>
      <c r="AA52" s="661"/>
      <c r="AB52" s="663"/>
      <c r="AC52" s="663"/>
      <c r="AD52" s="664"/>
    </row>
    <row r="53" spans="3:30">
      <c r="C53" s="454"/>
      <c r="D53" s="455"/>
      <c r="E53" s="455"/>
      <c r="F53" s="455"/>
      <c r="G53" s="455"/>
      <c r="H53" s="455"/>
      <c r="I53" s="455"/>
      <c r="J53" s="455"/>
      <c r="K53" s="455"/>
      <c r="L53" s="455"/>
      <c r="M53" s="455"/>
      <c r="N53" s="455"/>
      <c r="O53" s="455"/>
      <c r="P53" s="455"/>
      <c r="Q53" s="455"/>
      <c r="R53" s="455"/>
      <c r="S53" s="455"/>
      <c r="T53" s="455"/>
      <c r="V53" s="450"/>
      <c r="W53" s="660" t="s">
        <v>20</v>
      </c>
      <c r="X53" s="661"/>
      <c r="Y53" s="660" t="s">
        <v>1629</v>
      </c>
      <c r="Z53" s="662"/>
      <c r="AA53" s="661"/>
      <c r="AB53" s="663"/>
      <c r="AC53" s="663"/>
      <c r="AD53" s="664"/>
    </row>
    <row r="54" spans="3:30" ht="12.75" thickBot="1">
      <c r="C54" s="458"/>
      <c r="D54" s="459"/>
      <c r="E54" s="459"/>
      <c r="F54" s="459"/>
      <c r="G54" s="459"/>
      <c r="H54" s="459"/>
      <c r="I54" s="459"/>
      <c r="J54" s="459"/>
      <c r="K54" s="459"/>
      <c r="L54" s="459"/>
      <c r="M54" s="459"/>
      <c r="N54" s="459"/>
      <c r="O54" s="459"/>
      <c r="P54" s="459"/>
      <c r="Q54" s="459"/>
      <c r="R54" s="459"/>
      <c r="S54" s="459"/>
      <c r="T54" s="459"/>
      <c r="U54" s="460"/>
      <c r="V54" s="461"/>
      <c r="W54" s="665" t="s">
        <v>21</v>
      </c>
      <c r="X54" s="666"/>
      <c r="Y54" s="665" t="s">
        <v>1551</v>
      </c>
      <c r="Z54" s="667"/>
      <c r="AA54" s="666"/>
      <c r="AB54" s="668"/>
      <c r="AC54" s="668"/>
      <c r="AD54" s="669"/>
    </row>
  </sheetData>
  <mergeCells count="92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32:AB32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3:AB33"/>
    <mergeCell ref="AA34:AB34"/>
    <mergeCell ref="AA35:AB35"/>
    <mergeCell ref="AA36:AB36"/>
    <mergeCell ref="AA38:AB38"/>
    <mergeCell ref="AA37:AB37"/>
    <mergeCell ref="W39:X39"/>
    <mergeCell ref="W40:X40"/>
    <mergeCell ref="AA40:AB40"/>
    <mergeCell ref="W41:Z41"/>
    <mergeCell ref="W43:X43"/>
    <mergeCell ref="Y43:AD43"/>
    <mergeCell ref="W52:X52"/>
    <mergeCell ref="Y52:AA52"/>
    <mergeCell ref="AB52:AD52"/>
    <mergeCell ref="W44:X44"/>
    <mergeCell ref="Y44:AA44"/>
    <mergeCell ref="AB44:AC44"/>
    <mergeCell ref="W45:X45"/>
    <mergeCell ref="Y45:AA45"/>
    <mergeCell ref="AB45:AC45"/>
    <mergeCell ref="W46:AD46"/>
    <mergeCell ref="W47:AD50"/>
    <mergeCell ref="W51:X51"/>
    <mergeCell ref="Y51:AA51"/>
    <mergeCell ref="AB51:AD51"/>
    <mergeCell ref="W53:X53"/>
    <mergeCell ref="Y53:AA53"/>
    <mergeCell ref="AB53:AD53"/>
    <mergeCell ref="W54:X54"/>
    <mergeCell ref="Y54:AA54"/>
    <mergeCell ref="AB54:AD54"/>
  </mergeCells>
  <printOptions verticalCentered="1"/>
  <pageMargins left="0.5" right="0.25" top="0.25" bottom="0.25" header="0" footer="0"/>
  <pageSetup paperSize="9" scale="8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1A47-D554-44AB-9F8D-3AED766DF74F}">
  <sheetPr>
    <tabColor rgb="FF92D050"/>
  </sheetPr>
  <dimension ref="B1:AF122"/>
  <sheetViews>
    <sheetView view="pageBreakPreview" zoomScale="55" zoomScaleNormal="55" zoomScaleSheetLayoutView="55" workbookViewId="0">
      <selection activeCell="D6" sqref="D6"/>
    </sheetView>
  </sheetViews>
  <sheetFormatPr defaultColWidth="9.140625" defaultRowHeight="12.75"/>
  <cols>
    <col min="1" max="1" width="1.7109375" style="462" customWidth="1"/>
    <col min="2" max="2" width="1.5703125" style="462" customWidth="1"/>
    <col min="3" max="3" width="10.7109375" style="462" customWidth="1"/>
    <col min="4" max="4" width="2.5703125" style="462" customWidth="1"/>
    <col min="5" max="21" width="9.140625" style="462"/>
    <col min="22" max="22" width="14.5703125" style="462" customWidth="1"/>
    <col min="23" max="23" width="3.140625" style="462" customWidth="1"/>
    <col min="24" max="27" width="9.140625" style="462"/>
    <col min="28" max="28" width="2.85546875" style="462" customWidth="1"/>
    <col min="29" max="31" width="4.7109375" style="462" customWidth="1"/>
    <col min="32" max="32" width="1.7109375" style="462" customWidth="1"/>
    <col min="33" max="16384" width="9.140625" style="462"/>
  </cols>
  <sheetData>
    <row r="1" spans="2:32" ht="13.5" thickBot="1"/>
    <row r="2" spans="2:32" ht="6" customHeight="1" thickBot="1">
      <c r="B2" s="463"/>
      <c r="C2" s="464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464"/>
      <c r="X2" s="464"/>
      <c r="Y2" s="464"/>
      <c r="Z2" s="464"/>
      <c r="AA2" s="464"/>
      <c r="AB2" s="464"/>
      <c r="AC2" s="464"/>
      <c r="AD2" s="464"/>
      <c r="AE2" s="464"/>
      <c r="AF2" s="465"/>
    </row>
    <row r="3" spans="2:32" ht="13.5" thickBot="1">
      <c r="B3" s="466"/>
      <c r="C3" s="463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464"/>
      <c r="Z3" s="464"/>
      <c r="AA3" s="464"/>
      <c r="AB3" s="464"/>
      <c r="AC3" s="464"/>
      <c r="AD3" s="464"/>
      <c r="AE3" s="465"/>
      <c r="AF3" s="467"/>
    </row>
    <row r="4" spans="2:32" ht="12.75" customHeight="1" thickTop="1">
      <c r="B4" s="466"/>
      <c r="C4" s="466"/>
      <c r="D4" s="716" t="s">
        <v>1646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468"/>
      <c r="AE4" s="467"/>
      <c r="AF4" s="467"/>
    </row>
    <row r="5" spans="2:32" ht="13.5" customHeight="1" thickBot="1">
      <c r="B5" s="466"/>
      <c r="C5" s="466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468"/>
      <c r="AE5" s="467"/>
      <c r="AF5" s="467"/>
    </row>
    <row r="6" spans="2:32" ht="12.75" customHeight="1" thickTop="1">
      <c r="B6" s="466"/>
      <c r="C6" s="466"/>
      <c r="AE6" s="467"/>
      <c r="AF6" s="467"/>
    </row>
    <row r="7" spans="2:32" ht="12.75" customHeight="1">
      <c r="B7" s="466"/>
      <c r="C7" s="466"/>
      <c r="Z7" s="469"/>
      <c r="AA7" s="469"/>
      <c r="AB7" s="469"/>
      <c r="AC7" s="470"/>
      <c r="AD7" s="470"/>
      <c r="AE7" s="467"/>
      <c r="AF7" s="467"/>
    </row>
    <row r="8" spans="2:32" ht="12.75" customHeight="1">
      <c r="B8" s="466"/>
      <c r="C8" s="466"/>
      <c r="Z8" s="469"/>
      <c r="AA8" s="469"/>
      <c r="AB8" s="469"/>
      <c r="AC8" s="470"/>
      <c r="AD8" s="470"/>
      <c r="AE8" s="467"/>
      <c r="AF8" s="467"/>
    </row>
    <row r="9" spans="2:32" ht="12.75" customHeight="1">
      <c r="B9" s="466"/>
      <c r="C9" s="466"/>
      <c r="AE9" s="467"/>
      <c r="AF9" s="467"/>
    </row>
    <row r="10" spans="2:32" ht="12.75" customHeight="1">
      <c r="B10" s="466"/>
      <c r="C10" s="466"/>
      <c r="AE10" s="467"/>
      <c r="AF10" s="467"/>
    </row>
    <row r="11" spans="2:32">
      <c r="B11" s="466"/>
      <c r="C11" s="466"/>
      <c r="AE11" s="467"/>
      <c r="AF11" s="467"/>
    </row>
    <row r="12" spans="2:32">
      <c r="B12" s="466"/>
      <c r="C12" s="466"/>
      <c r="AE12" s="467"/>
      <c r="AF12" s="467"/>
    </row>
    <row r="13" spans="2:32">
      <c r="B13" s="466"/>
      <c r="C13" s="466"/>
      <c r="AE13" s="467"/>
      <c r="AF13" s="467"/>
    </row>
    <row r="14" spans="2:32">
      <c r="B14" s="466"/>
      <c r="C14" s="466"/>
      <c r="AE14" s="467"/>
      <c r="AF14" s="467"/>
    </row>
    <row r="15" spans="2:32">
      <c r="B15" s="466"/>
      <c r="C15" s="466"/>
      <c r="E15" s="471"/>
      <c r="AE15" s="467"/>
      <c r="AF15" s="467"/>
    </row>
    <row r="16" spans="2:32">
      <c r="B16" s="466"/>
      <c r="C16" s="466"/>
      <c r="AE16" s="467"/>
      <c r="AF16" s="467"/>
    </row>
    <row r="17" spans="2:32">
      <c r="B17" s="466"/>
      <c r="C17" s="466"/>
      <c r="AE17" s="467"/>
      <c r="AF17" s="467"/>
    </row>
    <row r="18" spans="2:32">
      <c r="B18" s="466"/>
      <c r="C18" s="466"/>
      <c r="AE18" s="467"/>
      <c r="AF18" s="467"/>
    </row>
    <row r="19" spans="2:32">
      <c r="B19" s="466"/>
      <c r="C19" s="466"/>
      <c r="AE19" s="467"/>
      <c r="AF19" s="467"/>
    </row>
    <row r="20" spans="2:32">
      <c r="B20" s="466"/>
      <c r="C20" s="466"/>
      <c r="AE20" s="467"/>
      <c r="AF20" s="467"/>
    </row>
    <row r="21" spans="2:32">
      <c r="B21" s="466"/>
      <c r="C21" s="466"/>
      <c r="AE21" s="467"/>
      <c r="AF21" s="467"/>
    </row>
    <row r="22" spans="2:32">
      <c r="B22" s="466"/>
      <c r="C22" s="466"/>
      <c r="AE22" s="467"/>
      <c r="AF22" s="467"/>
    </row>
    <row r="23" spans="2:32">
      <c r="B23" s="466"/>
      <c r="C23" s="466"/>
      <c r="AE23" s="467"/>
      <c r="AF23" s="467"/>
    </row>
    <row r="24" spans="2:32">
      <c r="B24" s="466"/>
      <c r="C24" s="466"/>
      <c r="AE24" s="467"/>
      <c r="AF24" s="467"/>
    </row>
    <row r="25" spans="2:32">
      <c r="B25" s="466"/>
      <c r="C25" s="466"/>
      <c r="AE25" s="467"/>
      <c r="AF25" s="467"/>
    </row>
    <row r="26" spans="2:32">
      <c r="B26" s="466"/>
      <c r="C26" s="466"/>
      <c r="AE26" s="467"/>
      <c r="AF26" s="467"/>
    </row>
    <row r="27" spans="2:32">
      <c r="B27" s="466"/>
      <c r="C27" s="466"/>
      <c r="AE27" s="467"/>
      <c r="AF27" s="467"/>
    </row>
    <row r="28" spans="2:32">
      <c r="B28" s="466"/>
      <c r="C28" s="466"/>
      <c r="AE28" s="467"/>
      <c r="AF28" s="467"/>
    </row>
    <row r="29" spans="2:32">
      <c r="B29" s="466"/>
      <c r="C29" s="466"/>
      <c r="AE29" s="467"/>
      <c r="AF29" s="467"/>
    </row>
    <row r="30" spans="2:32">
      <c r="B30" s="466"/>
      <c r="C30" s="466"/>
      <c r="AE30" s="467"/>
      <c r="AF30" s="467"/>
    </row>
    <row r="31" spans="2:32">
      <c r="B31" s="466"/>
      <c r="C31" s="466"/>
      <c r="AE31" s="467"/>
      <c r="AF31" s="467"/>
    </row>
    <row r="32" spans="2:32">
      <c r="B32" s="466"/>
      <c r="C32" s="466"/>
      <c r="AE32" s="467"/>
      <c r="AF32" s="467"/>
    </row>
    <row r="33" spans="2:32">
      <c r="B33" s="466"/>
      <c r="C33" s="466"/>
      <c r="AE33" s="467"/>
      <c r="AF33" s="467"/>
    </row>
    <row r="34" spans="2:32">
      <c r="B34" s="466"/>
      <c r="C34" s="466"/>
      <c r="AE34" s="467"/>
      <c r="AF34" s="467"/>
    </row>
    <row r="35" spans="2:32">
      <c r="B35" s="466"/>
      <c r="C35" s="466"/>
      <c r="AE35" s="467"/>
      <c r="AF35" s="467"/>
    </row>
    <row r="36" spans="2:32">
      <c r="B36" s="466"/>
      <c r="C36" s="466"/>
      <c r="AE36" s="467"/>
      <c r="AF36" s="467"/>
    </row>
    <row r="37" spans="2:32">
      <c r="B37" s="466"/>
      <c r="C37" s="466"/>
      <c r="AE37" s="467"/>
      <c r="AF37" s="467"/>
    </row>
    <row r="38" spans="2:32">
      <c r="B38" s="466"/>
      <c r="C38" s="466"/>
      <c r="AE38" s="467"/>
      <c r="AF38" s="467"/>
    </row>
    <row r="39" spans="2:32">
      <c r="B39" s="466"/>
      <c r="C39" s="466"/>
      <c r="AE39" s="467"/>
      <c r="AF39" s="467"/>
    </row>
    <row r="40" spans="2:32">
      <c r="B40" s="466"/>
      <c r="C40" s="466"/>
      <c r="AE40" s="467"/>
      <c r="AF40" s="467"/>
    </row>
    <row r="41" spans="2:32">
      <c r="B41" s="466"/>
      <c r="C41" s="466"/>
      <c r="AE41" s="467"/>
      <c r="AF41" s="467"/>
    </row>
    <row r="42" spans="2:32">
      <c r="B42" s="466"/>
      <c r="C42" s="466"/>
      <c r="AE42" s="467"/>
      <c r="AF42" s="467"/>
    </row>
    <row r="43" spans="2:32">
      <c r="B43" s="466"/>
      <c r="C43" s="466"/>
      <c r="AE43" s="467"/>
      <c r="AF43" s="467"/>
    </row>
    <row r="44" spans="2:32">
      <c r="B44" s="466"/>
      <c r="C44" s="466"/>
      <c r="AE44" s="467"/>
      <c r="AF44" s="467"/>
    </row>
    <row r="45" spans="2:32">
      <c r="B45" s="466"/>
      <c r="C45" s="466"/>
      <c r="AE45" s="467"/>
      <c r="AF45" s="467"/>
    </row>
    <row r="46" spans="2:32">
      <c r="B46" s="466"/>
      <c r="C46" s="466"/>
      <c r="AE46" s="467"/>
      <c r="AF46" s="467"/>
    </row>
    <row r="47" spans="2:32">
      <c r="B47" s="466"/>
      <c r="C47" s="466"/>
      <c r="AE47" s="467"/>
      <c r="AF47" s="467"/>
    </row>
    <row r="48" spans="2:32">
      <c r="B48" s="466"/>
      <c r="C48" s="466"/>
      <c r="AE48" s="467"/>
      <c r="AF48" s="467"/>
    </row>
    <row r="49" spans="2:32">
      <c r="B49" s="466"/>
      <c r="C49" s="466"/>
      <c r="AE49" s="467"/>
      <c r="AF49" s="467"/>
    </row>
    <row r="50" spans="2:32">
      <c r="B50" s="466"/>
      <c r="C50" s="466"/>
      <c r="AE50" s="467"/>
      <c r="AF50" s="467"/>
    </row>
    <row r="51" spans="2:32">
      <c r="B51" s="466"/>
      <c r="C51" s="466"/>
      <c r="AE51" s="467"/>
      <c r="AF51" s="467"/>
    </row>
    <row r="52" spans="2:32">
      <c r="B52" s="466"/>
      <c r="C52" s="466"/>
      <c r="AE52" s="467"/>
      <c r="AF52" s="467"/>
    </row>
    <row r="53" spans="2:32">
      <c r="B53" s="466"/>
      <c r="C53" s="466"/>
      <c r="AE53" s="467"/>
      <c r="AF53" s="467"/>
    </row>
    <row r="54" spans="2:32">
      <c r="B54" s="466"/>
      <c r="C54" s="466"/>
      <c r="AE54" s="467"/>
      <c r="AF54" s="467"/>
    </row>
    <row r="55" spans="2:32">
      <c r="B55" s="466"/>
      <c r="C55" s="466"/>
      <c r="AE55" s="467"/>
      <c r="AF55" s="467"/>
    </row>
    <row r="56" spans="2:32">
      <c r="B56" s="466"/>
      <c r="C56" s="466"/>
      <c r="AE56" s="467"/>
      <c r="AF56" s="467"/>
    </row>
    <row r="57" spans="2:32">
      <c r="B57" s="466"/>
      <c r="C57" s="466"/>
      <c r="S57" s="472"/>
      <c r="T57" s="472"/>
      <c r="U57" s="472"/>
      <c r="V57" s="473"/>
      <c r="W57" s="473"/>
      <c r="X57" s="473"/>
      <c r="Y57" s="473"/>
      <c r="Z57" s="473"/>
      <c r="AA57" s="473"/>
      <c r="AB57" s="473"/>
      <c r="AC57" s="473"/>
      <c r="AD57" s="473"/>
      <c r="AE57" s="474"/>
      <c r="AF57" s="467"/>
    </row>
    <row r="58" spans="2:32">
      <c r="B58" s="466"/>
      <c r="C58" s="466"/>
      <c r="S58" s="475"/>
      <c r="T58" s="472"/>
      <c r="U58" s="472"/>
      <c r="V58" s="473"/>
      <c r="W58" s="476"/>
      <c r="X58" s="473"/>
      <c r="Y58" s="473"/>
      <c r="Z58" s="473"/>
      <c r="AA58" s="473"/>
      <c r="AB58" s="476"/>
      <c r="AC58" s="476"/>
      <c r="AD58" s="476"/>
      <c r="AE58" s="477"/>
      <c r="AF58" s="467"/>
    </row>
    <row r="59" spans="2:32">
      <c r="B59" s="466"/>
      <c r="C59" s="466"/>
      <c r="V59" s="473"/>
      <c r="W59" s="476"/>
      <c r="X59" s="473"/>
      <c r="Y59" s="473"/>
      <c r="Z59" s="473"/>
      <c r="AA59" s="473"/>
      <c r="AB59" s="476"/>
      <c r="AC59" s="473"/>
      <c r="AD59" s="473"/>
      <c r="AE59" s="474"/>
      <c r="AF59" s="467"/>
    </row>
    <row r="60" spans="2:32">
      <c r="B60" s="466"/>
      <c r="C60" s="466"/>
      <c r="V60" s="473"/>
      <c r="W60" s="476"/>
      <c r="X60" s="473"/>
      <c r="Y60" s="473"/>
      <c r="Z60" s="473"/>
      <c r="AA60" s="473"/>
      <c r="AB60" s="473"/>
      <c r="AC60" s="473"/>
      <c r="AD60" s="473"/>
      <c r="AE60" s="474"/>
      <c r="AF60" s="467"/>
    </row>
    <row r="61" spans="2:32">
      <c r="B61" s="466"/>
      <c r="C61" s="466"/>
      <c r="V61" s="478"/>
      <c r="W61" s="478"/>
      <c r="X61" s="478"/>
      <c r="Y61" s="478"/>
      <c r="Z61" s="478"/>
      <c r="AA61" s="478"/>
      <c r="AB61" s="478"/>
      <c r="AC61" s="478"/>
      <c r="AD61" s="478"/>
      <c r="AE61" s="479"/>
      <c r="AF61" s="467"/>
    </row>
    <row r="62" spans="2:32">
      <c r="B62" s="466"/>
      <c r="C62" s="466"/>
      <c r="V62" s="473"/>
      <c r="W62" s="473"/>
      <c r="X62" s="473"/>
      <c r="Y62" s="473"/>
      <c r="Z62" s="473"/>
      <c r="AA62" s="473"/>
      <c r="AB62" s="473"/>
      <c r="AC62" s="473"/>
      <c r="AD62" s="473"/>
      <c r="AE62" s="474"/>
      <c r="AF62" s="467"/>
    </row>
    <row r="63" spans="2:32">
      <c r="B63" s="466"/>
      <c r="C63" s="466"/>
      <c r="V63" s="473"/>
      <c r="W63" s="476"/>
      <c r="X63" s="473"/>
      <c r="Y63" s="473"/>
      <c r="Z63" s="473"/>
      <c r="AA63" s="473"/>
      <c r="AB63" s="473"/>
      <c r="AC63" s="473"/>
      <c r="AD63" s="473"/>
      <c r="AE63" s="474"/>
      <c r="AF63" s="467"/>
    </row>
    <row r="64" spans="2:32">
      <c r="B64" s="466"/>
      <c r="C64" s="466"/>
      <c r="V64" s="473"/>
      <c r="W64" s="476"/>
      <c r="X64" s="473"/>
      <c r="Y64" s="473"/>
      <c r="Z64" s="473"/>
      <c r="AA64" s="473"/>
      <c r="AB64" s="473"/>
      <c r="AC64" s="473"/>
      <c r="AD64" s="473"/>
      <c r="AE64" s="474"/>
      <c r="AF64" s="467"/>
    </row>
    <row r="65" spans="2:32">
      <c r="B65" s="466"/>
      <c r="C65" s="466"/>
      <c r="V65" s="473"/>
      <c r="W65" s="476"/>
      <c r="X65" s="473"/>
      <c r="Y65" s="473"/>
      <c r="Z65" s="473"/>
      <c r="AA65" s="473"/>
      <c r="AB65" s="473"/>
      <c r="AC65" s="473"/>
      <c r="AD65" s="473"/>
      <c r="AE65" s="474"/>
      <c r="AF65" s="467"/>
    </row>
    <row r="66" spans="2:32">
      <c r="B66" s="466"/>
      <c r="C66" s="466"/>
      <c r="V66" s="473"/>
      <c r="W66" s="476"/>
      <c r="X66" s="473"/>
      <c r="Y66" s="473"/>
      <c r="Z66" s="473"/>
      <c r="AA66" s="473"/>
      <c r="AB66" s="473"/>
      <c r="AC66" s="473"/>
      <c r="AD66" s="473"/>
      <c r="AE66" s="474"/>
      <c r="AF66" s="467"/>
    </row>
    <row r="67" spans="2:32" ht="13.5" thickBot="1">
      <c r="B67" s="466"/>
      <c r="C67" s="480"/>
      <c r="D67" s="481"/>
      <c r="E67" s="481"/>
      <c r="F67" s="481"/>
      <c r="G67" s="481"/>
      <c r="H67" s="481"/>
      <c r="I67" s="481"/>
      <c r="J67" s="481"/>
      <c r="K67" s="481"/>
      <c r="L67" s="481"/>
      <c r="M67" s="481"/>
      <c r="N67" s="481"/>
      <c r="O67" s="481"/>
      <c r="P67" s="481"/>
      <c r="Q67" s="481"/>
      <c r="R67" s="481"/>
      <c r="S67" s="481"/>
      <c r="T67" s="481"/>
      <c r="U67" s="481"/>
      <c r="V67" s="482"/>
      <c r="W67" s="483"/>
      <c r="X67" s="482"/>
      <c r="Y67" s="482"/>
      <c r="Z67" s="482"/>
      <c r="AA67" s="482"/>
      <c r="AB67" s="482"/>
      <c r="AC67" s="482"/>
      <c r="AD67" s="482"/>
      <c r="AE67" s="484"/>
      <c r="AF67" s="467"/>
    </row>
    <row r="68" spans="2:32" ht="6" customHeight="1" thickBot="1">
      <c r="B68" s="480"/>
      <c r="C68" s="481"/>
      <c r="D68" s="481"/>
      <c r="E68" s="481"/>
      <c r="F68" s="481"/>
      <c r="G68" s="481"/>
      <c r="H68" s="481"/>
      <c r="I68" s="481"/>
      <c r="J68" s="481"/>
      <c r="K68" s="481"/>
      <c r="L68" s="481"/>
      <c r="M68" s="481"/>
      <c r="N68" s="481"/>
      <c r="O68" s="481"/>
      <c r="P68" s="481"/>
      <c r="Q68" s="481"/>
      <c r="R68" s="481"/>
      <c r="S68" s="481"/>
      <c r="T68" s="481"/>
      <c r="U68" s="481"/>
      <c r="V68" s="481"/>
      <c r="W68" s="481"/>
      <c r="X68" s="481"/>
      <c r="Y68" s="481"/>
      <c r="Z68" s="481"/>
      <c r="AA68" s="481"/>
      <c r="AB68" s="481"/>
      <c r="AC68" s="481"/>
      <c r="AD68" s="481"/>
      <c r="AE68" s="481"/>
      <c r="AF68" s="485"/>
    </row>
    <row r="75" spans="2:32">
      <c r="N75" s="486"/>
    </row>
    <row r="76" spans="2:32" ht="15" customHeight="1">
      <c r="F76" s="487"/>
      <c r="N76" s="486"/>
    </row>
    <row r="77" spans="2:32" ht="15" customHeight="1">
      <c r="F77" s="487"/>
      <c r="N77" s="486"/>
    </row>
    <row r="78" spans="2:32" ht="15" customHeight="1">
      <c r="F78" s="487"/>
      <c r="N78" s="486"/>
    </row>
    <row r="79" spans="2:32" ht="15" customHeight="1">
      <c r="F79" s="487"/>
      <c r="N79" s="486"/>
    </row>
    <row r="80" spans="2:32" ht="15" customHeight="1">
      <c r="F80" s="487"/>
      <c r="N80" s="486"/>
    </row>
    <row r="81" spans="6:14" ht="15" customHeight="1">
      <c r="F81" s="487"/>
      <c r="N81" s="486"/>
    </row>
    <row r="82" spans="6:14" ht="15" customHeight="1">
      <c r="F82" s="487"/>
      <c r="N82" s="486"/>
    </row>
    <row r="83" spans="6:14" ht="15" customHeight="1">
      <c r="F83" s="487"/>
      <c r="N83" s="486"/>
    </row>
    <row r="84" spans="6:14" ht="15" customHeight="1">
      <c r="F84" s="487"/>
      <c r="N84" s="486"/>
    </row>
    <row r="85" spans="6:14" ht="15" customHeight="1">
      <c r="F85" s="487"/>
      <c r="N85" s="486"/>
    </row>
    <row r="86" spans="6:14" ht="15" customHeight="1">
      <c r="F86" s="487"/>
      <c r="N86" s="486"/>
    </row>
    <row r="87" spans="6:14" ht="15" customHeight="1">
      <c r="F87" s="487"/>
      <c r="N87" s="486"/>
    </row>
    <row r="88" spans="6:14" ht="15" customHeight="1">
      <c r="F88" s="487"/>
      <c r="N88" s="486"/>
    </row>
    <row r="89" spans="6:14" ht="15" customHeight="1">
      <c r="F89" s="487"/>
      <c r="N89" s="486"/>
    </row>
    <row r="90" spans="6:14" ht="15" customHeight="1">
      <c r="F90" s="487"/>
      <c r="N90" s="486"/>
    </row>
    <row r="91" spans="6:14" ht="15" customHeight="1">
      <c r="F91" s="487"/>
      <c r="N91" s="486"/>
    </row>
    <row r="92" spans="6:14" ht="15" customHeight="1">
      <c r="F92" s="487"/>
      <c r="N92" s="486"/>
    </row>
    <row r="93" spans="6:14" ht="15" customHeight="1">
      <c r="F93" s="487"/>
      <c r="N93" s="486"/>
    </row>
    <row r="94" spans="6:14" ht="15" customHeight="1">
      <c r="F94" s="487"/>
      <c r="N94" s="486"/>
    </row>
    <row r="95" spans="6:14" ht="15" customHeight="1">
      <c r="F95" s="487"/>
      <c r="N95" s="486"/>
    </row>
    <row r="96" spans="6:14" ht="15" customHeight="1">
      <c r="F96" s="487"/>
      <c r="N96" s="486"/>
    </row>
    <row r="97" spans="6:14" ht="15" customHeight="1">
      <c r="F97" s="487"/>
      <c r="N97" s="486"/>
    </row>
    <row r="98" spans="6:14" ht="15" customHeight="1">
      <c r="F98" s="487"/>
    </row>
    <row r="99" spans="6:14" ht="15" customHeight="1">
      <c r="F99" s="487"/>
    </row>
    <row r="100" spans="6:14" ht="15" customHeight="1">
      <c r="F100" s="487"/>
    </row>
    <row r="101" spans="6:14" ht="15" customHeight="1">
      <c r="F101" s="487"/>
    </row>
    <row r="102" spans="6:14" ht="15" customHeight="1">
      <c r="F102" s="487"/>
    </row>
    <row r="103" spans="6:14" ht="15" customHeight="1">
      <c r="F103" s="487"/>
    </row>
    <row r="104" spans="6:14" ht="15" customHeight="1">
      <c r="F104" s="487"/>
    </row>
    <row r="105" spans="6:14" ht="15" customHeight="1">
      <c r="F105" s="487"/>
    </row>
    <row r="106" spans="6:14" ht="15" customHeight="1">
      <c r="F106" s="487"/>
    </row>
    <row r="107" spans="6:14" ht="15" customHeight="1">
      <c r="F107" s="487"/>
    </row>
    <row r="108" spans="6:14" ht="15" customHeight="1">
      <c r="F108" s="487"/>
    </row>
    <row r="109" spans="6:14" ht="15" customHeight="1">
      <c r="F109" s="487"/>
    </row>
    <row r="110" spans="6:14" ht="15" customHeight="1">
      <c r="F110" s="487"/>
    </row>
    <row r="111" spans="6:14" ht="15" customHeight="1">
      <c r="F111" s="487"/>
    </row>
    <row r="112" spans="6:14" ht="15" customHeight="1">
      <c r="F112" s="487"/>
    </row>
    <row r="113" spans="6:6" ht="15" customHeight="1">
      <c r="F113" s="487"/>
    </row>
    <row r="114" spans="6:6" ht="15" customHeight="1">
      <c r="F114" s="487"/>
    </row>
    <row r="115" spans="6:6" ht="15" customHeight="1">
      <c r="F115" s="487"/>
    </row>
    <row r="116" spans="6:6" ht="15" customHeight="1">
      <c r="F116" s="487"/>
    </row>
    <row r="117" spans="6:6" ht="15" customHeight="1">
      <c r="F117" s="487"/>
    </row>
    <row r="118" spans="6:6" ht="15" customHeight="1">
      <c r="F118" s="487"/>
    </row>
    <row r="119" spans="6:6" ht="15" customHeight="1">
      <c r="F119" s="487"/>
    </row>
    <row r="120" spans="6:6" ht="15" customHeight="1">
      <c r="F120" s="487"/>
    </row>
    <row r="121" spans="6:6" ht="15" customHeight="1">
      <c r="F121" s="487"/>
    </row>
    <row r="122" spans="6:6">
      <c r="F122" s="487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3EFD-E3C0-40CF-93CA-8E646CD95846}">
  <sheetPr>
    <tabColor rgb="FF92D050"/>
  </sheetPr>
  <dimension ref="A1:AD120"/>
  <sheetViews>
    <sheetView view="pageBreakPreview" zoomScale="40" zoomScaleNormal="40" zoomScaleSheetLayoutView="40" workbookViewId="0">
      <selection activeCell="C5" sqref="C5"/>
    </sheetView>
  </sheetViews>
  <sheetFormatPr defaultColWidth="9.140625" defaultRowHeight="12.75"/>
  <cols>
    <col min="1" max="1" width="1.7109375" style="353" customWidth="1"/>
    <col min="2" max="2" width="10.7109375" style="353" customWidth="1"/>
    <col min="3" max="3" width="2.5703125" style="353" customWidth="1"/>
    <col min="4" max="20" width="9.140625" style="353"/>
    <col min="21" max="21" width="14.5703125" style="353" customWidth="1"/>
    <col min="22" max="22" width="3.140625" style="353" customWidth="1"/>
    <col min="23" max="26" width="9.140625" style="353"/>
    <col min="27" max="27" width="2.85546875" style="353" customWidth="1"/>
    <col min="28" max="30" width="4.7109375" style="353" customWidth="1"/>
    <col min="31" max="31" width="1.7109375" style="353" customWidth="1"/>
    <col min="32" max="16384" width="9.140625" style="35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22" t="s">
        <v>1661</v>
      </c>
      <c r="D3" s="722"/>
      <c r="E3" s="722"/>
      <c r="F3" s="722"/>
      <c r="G3" s="722"/>
      <c r="H3" s="722"/>
      <c r="I3" s="722"/>
      <c r="J3" s="722"/>
      <c r="K3" s="722"/>
      <c r="L3" s="722"/>
      <c r="M3" s="722"/>
      <c r="N3" s="722"/>
      <c r="O3" s="722"/>
      <c r="P3" s="722"/>
      <c r="Q3" s="722"/>
      <c r="R3" s="722"/>
      <c r="S3" s="722"/>
      <c r="T3" s="722"/>
      <c r="U3" s="722"/>
      <c r="V3" s="722"/>
      <c r="W3" s="182"/>
      <c r="X3" s="488"/>
      <c r="Y3" s="488"/>
      <c r="Z3" s="488"/>
      <c r="AA3" s="488"/>
      <c r="AB3" s="488"/>
      <c r="AC3" s="354"/>
    </row>
    <row r="4" spans="1:29" ht="18.75" customHeight="1">
      <c r="A4" s="181"/>
      <c r="C4" s="722"/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182"/>
      <c r="X4" s="488"/>
      <c r="Y4" s="488"/>
      <c r="Z4" s="488"/>
      <c r="AA4" s="488"/>
      <c r="AB4" s="488"/>
      <c r="AC4" s="354"/>
    </row>
    <row r="5" spans="1:29" ht="8.25" customHeight="1">
      <c r="A5" s="181"/>
      <c r="C5" s="355"/>
      <c r="W5" s="182"/>
    </row>
    <row r="6" spans="1:29" ht="23.25" customHeight="1">
      <c r="A6" s="181"/>
      <c r="C6" s="723" t="s">
        <v>1630</v>
      </c>
      <c r="D6" s="723"/>
      <c r="E6" s="723"/>
      <c r="F6" s="723"/>
      <c r="G6" s="723"/>
      <c r="H6" s="723"/>
      <c r="I6" s="723"/>
      <c r="J6" s="723"/>
      <c r="K6" s="489"/>
      <c r="L6" s="489"/>
      <c r="M6" s="489"/>
      <c r="W6" s="182"/>
      <c r="Y6" s="490"/>
      <c r="Z6" s="490"/>
      <c r="AA6" s="490"/>
      <c r="AB6" s="356"/>
      <c r="AC6" s="356"/>
    </row>
    <row r="7" spans="1:29" ht="20.25" customHeight="1">
      <c r="A7" s="181"/>
      <c r="C7" s="723" t="s">
        <v>1651</v>
      </c>
      <c r="D7" s="723"/>
      <c r="E7" s="723"/>
      <c r="F7" s="723"/>
      <c r="G7" s="723"/>
      <c r="H7" s="723"/>
      <c r="I7" s="723"/>
      <c r="J7" s="723"/>
      <c r="K7" s="489"/>
      <c r="L7" s="489"/>
      <c r="M7" s="489"/>
      <c r="W7" s="182"/>
      <c r="Y7" s="490"/>
      <c r="Z7" s="490"/>
      <c r="AA7" s="490"/>
      <c r="AB7" s="356"/>
      <c r="AC7" s="356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57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58"/>
      <c r="S54" s="358"/>
      <c r="T54" s="358"/>
      <c r="U54" s="359"/>
      <c r="V54" s="359"/>
      <c r="W54" s="183"/>
      <c r="X54" s="359"/>
      <c r="Y54" s="359"/>
      <c r="Z54" s="359"/>
      <c r="AA54" s="359"/>
      <c r="AB54" s="359"/>
      <c r="AC54" s="359"/>
      <c r="AD54" s="359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63"/>
      <c r="S55" s="364"/>
      <c r="T55" s="364"/>
      <c r="U55" s="186"/>
      <c r="V55" s="187"/>
      <c r="W55" s="188"/>
      <c r="X55" s="359"/>
      <c r="Y55" s="359"/>
      <c r="Z55" s="359"/>
      <c r="AA55" s="360"/>
      <c r="AB55" s="360"/>
      <c r="AC55" s="360"/>
      <c r="AD55" s="360"/>
    </row>
    <row r="56" spans="1:30">
      <c r="U56" s="359"/>
      <c r="V56" s="360"/>
      <c r="W56" s="359"/>
      <c r="X56" s="359"/>
      <c r="Y56" s="359"/>
      <c r="Z56" s="359"/>
      <c r="AA56" s="360"/>
      <c r="AB56" s="359"/>
      <c r="AC56" s="359"/>
      <c r="AD56" s="359"/>
    </row>
    <row r="57" spans="1:30">
      <c r="U57" s="359"/>
      <c r="V57" s="360"/>
      <c r="W57" s="359"/>
      <c r="X57" s="359"/>
      <c r="Y57" s="359"/>
      <c r="Z57" s="359"/>
      <c r="AA57" s="359"/>
      <c r="AB57" s="359"/>
      <c r="AC57" s="359"/>
      <c r="AD57" s="359"/>
    </row>
    <row r="58" spans="1:30">
      <c r="U58" s="359"/>
      <c r="V58" s="360"/>
      <c r="W58" s="359"/>
      <c r="X58" s="359"/>
      <c r="Y58" s="359"/>
      <c r="Z58" s="359"/>
      <c r="AA58" s="359"/>
      <c r="AB58" s="359"/>
      <c r="AC58" s="359"/>
      <c r="AD58" s="359"/>
    </row>
    <row r="59" spans="1:30">
      <c r="U59" s="359"/>
      <c r="V59" s="360"/>
      <c r="W59" s="359"/>
      <c r="X59" s="359"/>
      <c r="Y59" s="359"/>
      <c r="Z59" s="359"/>
      <c r="AA59" s="359"/>
      <c r="AB59" s="359"/>
      <c r="AC59" s="359"/>
      <c r="AD59" s="359"/>
    </row>
    <row r="60" spans="1:30">
      <c r="U60" s="359"/>
      <c r="V60" s="360"/>
      <c r="W60" s="359"/>
      <c r="X60" s="359"/>
      <c r="Y60" s="359"/>
      <c r="Z60" s="359"/>
      <c r="AA60" s="360"/>
      <c r="AB60" s="359"/>
      <c r="AC60" s="359"/>
      <c r="AD60" s="359"/>
    </row>
    <row r="61" spans="1:30">
      <c r="U61" s="359"/>
      <c r="V61" s="360"/>
      <c r="W61" s="359"/>
      <c r="X61" s="359"/>
      <c r="Y61" s="359"/>
      <c r="Z61" s="359"/>
      <c r="AA61" s="359"/>
      <c r="AB61" s="359"/>
      <c r="AC61" s="359"/>
      <c r="AD61" s="359"/>
    </row>
    <row r="62" spans="1:30">
      <c r="U62" s="359"/>
      <c r="V62" s="360"/>
      <c r="W62" s="359"/>
      <c r="X62" s="359"/>
      <c r="Y62" s="359"/>
      <c r="Z62" s="359"/>
      <c r="AA62" s="359"/>
      <c r="AB62" s="359"/>
      <c r="AC62" s="359"/>
      <c r="AD62" s="359"/>
    </row>
    <row r="63" spans="1:30">
      <c r="U63" s="359"/>
      <c r="V63" s="360"/>
      <c r="W63" s="359"/>
      <c r="X63" s="359"/>
      <c r="Y63" s="359"/>
      <c r="Z63" s="359"/>
      <c r="AA63" s="359"/>
      <c r="AB63" s="359"/>
      <c r="AC63" s="359"/>
      <c r="AD63" s="359"/>
    </row>
    <row r="64" spans="1:30">
      <c r="U64" s="359"/>
      <c r="V64" s="360"/>
      <c r="W64" s="359"/>
      <c r="X64" s="359"/>
      <c r="Y64" s="359"/>
      <c r="Z64" s="359"/>
      <c r="AA64" s="359"/>
      <c r="AB64" s="359"/>
      <c r="AC64" s="359"/>
      <c r="AD64" s="359"/>
    </row>
    <row r="65" spans="5:30">
      <c r="U65" s="359"/>
      <c r="V65" s="360"/>
      <c r="W65" s="359"/>
      <c r="X65" s="359"/>
      <c r="Y65" s="359"/>
      <c r="Z65" s="359"/>
      <c r="AA65" s="359"/>
      <c r="AB65" s="359"/>
      <c r="AC65" s="359"/>
      <c r="AD65" s="359"/>
    </row>
    <row r="66" spans="5:30" ht="6" customHeight="1"/>
    <row r="73" spans="5:30">
      <c r="M73" s="361"/>
    </row>
    <row r="74" spans="5:30" ht="15" customHeight="1">
      <c r="E74" s="362"/>
      <c r="M74" s="361"/>
    </row>
    <row r="75" spans="5:30" ht="15" customHeight="1">
      <c r="E75" s="362"/>
      <c r="M75" s="361"/>
    </row>
    <row r="76" spans="5:30" ht="15" customHeight="1">
      <c r="E76" s="362"/>
      <c r="M76" s="361"/>
    </row>
    <row r="77" spans="5:30" ht="15" customHeight="1">
      <c r="E77" s="362"/>
      <c r="M77" s="361"/>
    </row>
    <row r="78" spans="5:30" ht="15" customHeight="1">
      <c r="E78" s="362"/>
      <c r="M78" s="361"/>
    </row>
    <row r="79" spans="5:30" ht="15" customHeight="1">
      <c r="E79" s="362"/>
      <c r="M79" s="361"/>
    </row>
    <row r="80" spans="5:30" ht="15" customHeight="1">
      <c r="E80" s="362"/>
      <c r="M80" s="361"/>
    </row>
    <row r="81" spans="5:13" ht="15" customHeight="1">
      <c r="E81" s="362"/>
      <c r="M81" s="361"/>
    </row>
    <row r="82" spans="5:13" ht="15" customHeight="1">
      <c r="E82" s="362"/>
      <c r="M82" s="361"/>
    </row>
    <row r="83" spans="5:13" ht="15" customHeight="1">
      <c r="E83" s="362"/>
      <c r="M83" s="361"/>
    </row>
    <row r="84" spans="5:13" ht="15" customHeight="1">
      <c r="E84" s="362"/>
      <c r="M84" s="361"/>
    </row>
    <row r="85" spans="5:13" ht="15" customHeight="1">
      <c r="E85" s="362"/>
      <c r="M85" s="361"/>
    </row>
    <row r="86" spans="5:13" ht="15" customHeight="1">
      <c r="E86" s="362"/>
      <c r="M86" s="361"/>
    </row>
    <row r="87" spans="5:13" ht="15" customHeight="1">
      <c r="E87" s="362"/>
      <c r="M87" s="361"/>
    </row>
    <row r="88" spans="5:13" ht="15" customHeight="1">
      <c r="E88" s="362"/>
      <c r="M88" s="361"/>
    </row>
    <row r="89" spans="5:13" ht="15" customHeight="1">
      <c r="E89" s="362"/>
      <c r="M89" s="361"/>
    </row>
    <row r="90" spans="5:13" ht="15" customHeight="1">
      <c r="E90" s="362"/>
      <c r="M90" s="361"/>
    </row>
    <row r="91" spans="5:13" ht="15" customHeight="1">
      <c r="E91" s="362"/>
      <c r="M91" s="361"/>
    </row>
    <row r="92" spans="5:13" ht="15" customHeight="1">
      <c r="E92" s="362"/>
      <c r="M92" s="361"/>
    </row>
    <row r="93" spans="5:13" ht="15" customHeight="1">
      <c r="E93" s="362"/>
      <c r="M93" s="361"/>
    </row>
    <row r="94" spans="5:13" ht="15" customHeight="1">
      <c r="E94" s="362"/>
      <c r="M94" s="361"/>
    </row>
    <row r="95" spans="5:13" ht="15" customHeight="1">
      <c r="E95" s="362"/>
      <c r="M95" s="361"/>
    </row>
    <row r="96" spans="5:13" ht="15" customHeight="1">
      <c r="E96" s="362"/>
    </row>
    <row r="97" spans="5:5" ht="15" customHeight="1">
      <c r="E97" s="362"/>
    </row>
    <row r="98" spans="5:5" ht="15" customHeight="1">
      <c r="E98" s="362"/>
    </row>
    <row r="99" spans="5:5" ht="15" customHeight="1">
      <c r="E99" s="362"/>
    </row>
    <row r="100" spans="5:5" ht="15" customHeight="1">
      <c r="E100" s="362"/>
    </row>
    <row r="101" spans="5:5" ht="15" customHeight="1">
      <c r="E101" s="362"/>
    </row>
    <row r="102" spans="5:5" ht="15" customHeight="1">
      <c r="E102" s="362"/>
    </row>
    <row r="103" spans="5:5" ht="15" customHeight="1">
      <c r="E103" s="362"/>
    </row>
    <row r="104" spans="5:5" ht="15" customHeight="1">
      <c r="E104" s="362"/>
    </row>
    <row r="105" spans="5:5" ht="15" customHeight="1">
      <c r="E105" s="362"/>
    </row>
    <row r="106" spans="5:5" ht="15" customHeight="1">
      <c r="E106" s="362"/>
    </row>
    <row r="107" spans="5:5" ht="15" customHeight="1">
      <c r="E107" s="362"/>
    </row>
    <row r="108" spans="5:5" ht="15" customHeight="1">
      <c r="E108" s="362"/>
    </row>
    <row r="109" spans="5:5" ht="15" customHeight="1">
      <c r="E109" s="362"/>
    </row>
    <row r="110" spans="5:5" ht="15" customHeight="1">
      <c r="E110" s="362"/>
    </row>
    <row r="111" spans="5:5" ht="15" customHeight="1">
      <c r="E111" s="362"/>
    </row>
    <row r="112" spans="5:5" ht="15" customHeight="1">
      <c r="E112" s="362"/>
    </row>
    <row r="113" spans="5:5" ht="15" customHeight="1">
      <c r="E113" s="362"/>
    </row>
    <row r="114" spans="5:5" ht="15" customHeight="1">
      <c r="E114" s="362"/>
    </row>
    <row r="115" spans="5:5" ht="15" customHeight="1">
      <c r="E115" s="362"/>
    </row>
    <row r="116" spans="5:5" ht="15" customHeight="1">
      <c r="E116" s="362"/>
    </row>
    <row r="117" spans="5:5" ht="15" customHeight="1">
      <c r="E117" s="362"/>
    </row>
    <row r="118" spans="5:5" ht="15" customHeight="1">
      <c r="E118" s="362"/>
    </row>
    <row r="119" spans="5:5" ht="15" customHeight="1">
      <c r="E119" s="362"/>
    </row>
    <row r="120" spans="5:5">
      <c r="E120" s="362"/>
    </row>
  </sheetData>
  <mergeCells count="3">
    <mergeCell ref="C3:V4"/>
    <mergeCell ref="C6:J6"/>
    <mergeCell ref="C7:J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3">
        <v>1</v>
      </c>
    </row>
    <row r="2" spans="1:11" ht="48" customHeight="1">
      <c r="A2" s="383">
        <v>3</v>
      </c>
    </row>
    <row r="4" spans="1:11" ht="48" customHeight="1">
      <c r="C4" s="383">
        <v>1</v>
      </c>
    </row>
    <row r="5" spans="1:11" ht="48" customHeight="1">
      <c r="C5" s="383">
        <v>3</v>
      </c>
    </row>
    <row r="7" spans="1:11" ht="48" customHeight="1">
      <c r="E7" s="383">
        <v>1</v>
      </c>
    </row>
    <row r="8" spans="1:11" ht="48" customHeight="1">
      <c r="E8" s="383">
        <v>3</v>
      </c>
    </row>
    <row r="10" spans="1:11" ht="48" customHeight="1">
      <c r="G10" s="383">
        <v>3</v>
      </c>
    </row>
    <row r="11" spans="1:11" ht="48" customHeight="1">
      <c r="G11" s="383">
        <v>1</v>
      </c>
    </row>
    <row r="13" spans="1:11" ht="48" customHeight="1">
      <c r="I13" s="383">
        <v>3</v>
      </c>
    </row>
    <row r="14" spans="1:11" ht="48" customHeight="1">
      <c r="I14" s="383">
        <v>1</v>
      </c>
    </row>
    <row r="16" spans="1:11" ht="48" customHeight="1">
      <c r="K16" s="383">
        <v>3</v>
      </c>
    </row>
    <row r="17" spans="11:21" ht="48" customHeight="1">
      <c r="K17" s="383">
        <v>1</v>
      </c>
    </row>
    <row r="19" spans="11:21" ht="48" customHeight="1">
      <c r="M19" s="383">
        <v>3</v>
      </c>
    </row>
    <row r="20" spans="11:21" ht="48" customHeight="1">
      <c r="M20" s="383">
        <v>1</v>
      </c>
    </row>
    <row r="22" spans="11:21" ht="48" customHeight="1">
      <c r="O22" s="383">
        <v>3</v>
      </c>
    </row>
    <row r="23" spans="11:21" ht="48" customHeight="1">
      <c r="O23" s="383">
        <v>1</v>
      </c>
    </row>
    <row r="25" spans="11:21" ht="57" customHeight="1">
      <c r="Q25" s="383">
        <v>3</v>
      </c>
    </row>
    <row r="26" spans="11:21" ht="57" customHeight="1">
      <c r="Q26" s="383">
        <v>1</v>
      </c>
    </row>
    <row r="28" spans="11:21" ht="57" customHeight="1">
      <c r="S28" s="383">
        <v>3</v>
      </c>
    </row>
    <row r="29" spans="11:21" ht="57" customHeight="1">
      <c r="S29" s="383">
        <v>1</v>
      </c>
    </row>
    <row r="31" spans="11:21" ht="57" customHeight="1">
      <c r="U31" s="383">
        <v>3</v>
      </c>
    </row>
    <row r="32" spans="11:21" ht="57" customHeight="1">
      <c r="U32" s="38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2023-12-07T05:20:52Z</cp:lastPrinted>
  <dcterms:created xsi:type="dcterms:W3CDTF">2011-02-06T11:57:38Z</dcterms:created>
  <dcterms:modified xsi:type="dcterms:W3CDTF">2024-02-01T02:29:37Z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2023-10-30T09:29:08Z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280e457f-2b40-425f-9f7a-072a6b563234</vt:lpwstr>
  </property>
  <property fmtid="{D5CDD505-2E9C-101B-9397-08002B2CF9AE}" pid="8" name="MSIP_Label_defa4170-0d19-0005-0004-bc88714345d2_ContentBits">
    <vt:lpwstr>0</vt:lpwstr>
  </property>
</Properties>
</file>