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RUMAH POMPA LOIRENG\"/>
    </mc:Choice>
  </mc:AlternateContent>
  <xr:revisionPtr revIDLastSave="0" documentId="13_ncr:1_{E1E3C88B-4061-4700-BB43-8C488B1A1DB2}" xr6:coauthVersionLast="47" xr6:coauthVersionMax="47" xr10:uidLastSave="{00000000-0000-0000-0000-000000000000}"/>
  <bookViews>
    <workbookView xWindow="-120" yWindow="-120" windowWidth="24240" windowHeight="1314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G82" i="11" l="1"/>
  <c r="G83" i="11"/>
  <c r="D82" i="11"/>
  <c r="H82" i="11" s="1"/>
  <c r="E82" i="11"/>
  <c r="D83" i="11"/>
  <c r="J83" i="11" s="1"/>
  <c r="E83" i="11"/>
  <c r="D78" i="11"/>
  <c r="J78" i="11" s="1"/>
  <c r="E78" i="11"/>
  <c r="G78" i="11"/>
  <c r="D79" i="11"/>
  <c r="E79" i="11"/>
  <c r="G79" i="11"/>
  <c r="D80" i="11"/>
  <c r="H80" i="11" s="1"/>
  <c r="E80" i="11"/>
  <c r="G80" i="11"/>
  <c r="D81" i="11"/>
  <c r="H81" i="11" s="1"/>
  <c r="E81" i="11"/>
  <c r="G81" i="11"/>
  <c r="D84" i="11"/>
  <c r="J84" i="11" s="1"/>
  <c r="E84" i="11"/>
  <c r="G84" i="11"/>
  <c r="G67" i="11"/>
  <c r="D67" i="11"/>
  <c r="H67" i="11" s="1"/>
  <c r="E67" i="11"/>
  <c r="F67" i="11"/>
  <c r="F66" i="11"/>
  <c r="F65" i="11"/>
  <c r="F64" i="11"/>
  <c r="F63" i="11"/>
  <c r="F58" i="11"/>
  <c r="F57" i="11"/>
  <c r="F56" i="11"/>
  <c r="F55" i="11"/>
  <c r="F54" i="11"/>
  <c r="F53" i="11"/>
  <c r="F52" i="11"/>
  <c r="F51" i="11"/>
  <c r="F50" i="11"/>
  <c r="D51" i="11"/>
  <c r="H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29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E31" i="11"/>
  <c r="G31" i="11"/>
  <c r="D32" i="11"/>
  <c r="J32" i="11" s="1"/>
  <c r="E32" i="11"/>
  <c r="G32" i="11"/>
  <c r="D33" i="11"/>
  <c r="J33" i="11" s="1"/>
  <c r="E33" i="11"/>
  <c r="G33" i="11"/>
  <c r="D34" i="11"/>
  <c r="E34" i="11"/>
  <c r="G34" i="11"/>
  <c r="D35" i="11"/>
  <c r="H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26" i="11"/>
  <c r="J26" i="11" s="1"/>
  <c r="E26" i="11"/>
  <c r="G26" i="11"/>
  <c r="I83" i="11" l="1"/>
  <c r="J82" i="11"/>
  <c r="H83" i="11"/>
  <c r="I82" i="11"/>
  <c r="J80" i="11"/>
  <c r="J79" i="11"/>
  <c r="I78" i="11"/>
  <c r="I84" i="11"/>
  <c r="I80" i="11"/>
  <c r="H78" i="11"/>
  <c r="H84" i="11"/>
  <c r="I81" i="11"/>
  <c r="K80" i="11"/>
  <c r="I79" i="11"/>
  <c r="J81" i="11"/>
  <c r="H79" i="11"/>
  <c r="J67" i="11"/>
  <c r="I67" i="11"/>
  <c r="I54" i="11"/>
  <c r="J59" i="11"/>
  <c r="I60" i="11"/>
  <c r="H55" i="11"/>
  <c r="I59" i="11"/>
  <c r="J58" i="11"/>
  <c r="I57" i="11"/>
  <c r="I55" i="11"/>
  <c r="J51" i="11"/>
  <c r="J39" i="11"/>
  <c r="J27" i="11"/>
  <c r="I53" i="11"/>
  <c r="I51" i="11"/>
  <c r="K51" i="11" s="1"/>
  <c r="H57" i="11"/>
  <c r="I56" i="11"/>
  <c r="H54" i="11"/>
  <c r="J53" i="11"/>
  <c r="I58" i="11"/>
  <c r="I52" i="11"/>
  <c r="J38" i="11"/>
  <c r="I37" i="11"/>
  <c r="H31" i="11"/>
  <c r="I29" i="11"/>
  <c r="H60" i="11"/>
  <c r="H56" i="11"/>
  <c r="H52" i="11"/>
  <c r="H33" i="11"/>
  <c r="I32" i="11"/>
  <c r="J31" i="11"/>
  <c r="I33" i="11"/>
  <c r="J43" i="11"/>
  <c r="J35" i="11"/>
  <c r="J49" i="11"/>
  <c r="I31" i="11"/>
  <c r="H29" i="11"/>
  <c r="K29" i="11" s="1"/>
  <c r="I28" i="11"/>
  <c r="H34" i="11"/>
  <c r="I27" i="11"/>
  <c r="I49" i="11"/>
  <c r="J47" i="11"/>
  <c r="J45" i="11"/>
  <c r="H47" i="11"/>
  <c r="I43" i="11"/>
  <c r="I47" i="11"/>
  <c r="J41" i="11"/>
  <c r="I45" i="11"/>
  <c r="I40" i="11"/>
  <c r="J37" i="11"/>
  <c r="I48" i="11"/>
  <c r="I41" i="11"/>
  <c r="I39" i="11"/>
  <c r="I38" i="11"/>
  <c r="I34" i="11"/>
  <c r="I30" i="11"/>
  <c r="I35" i="11"/>
  <c r="I44" i="11"/>
  <c r="I36" i="11"/>
  <c r="J50" i="11"/>
  <c r="H48" i="11"/>
  <c r="J46" i="11"/>
  <c r="H44" i="11"/>
  <c r="J42" i="11"/>
  <c r="H40" i="11"/>
  <c r="H36" i="11"/>
  <c r="J34" i="11"/>
  <c r="H32" i="11"/>
  <c r="J30" i="11"/>
  <c r="H28" i="11"/>
  <c r="I50" i="11"/>
  <c r="I46" i="11"/>
  <c r="I42" i="11"/>
  <c r="H26" i="11"/>
  <c r="I26" i="11"/>
  <c r="K82" i="11" l="1"/>
  <c r="K83" i="11"/>
  <c r="K58" i="11"/>
  <c r="K81" i="11"/>
  <c r="K84" i="11"/>
  <c r="K78" i="11"/>
  <c r="K79" i="11"/>
  <c r="K60" i="11"/>
  <c r="K67" i="11"/>
  <c r="K54" i="11"/>
  <c r="K48" i="11"/>
  <c r="K49" i="11"/>
  <c r="K30" i="11"/>
  <c r="K59" i="11"/>
  <c r="K45" i="11"/>
  <c r="K27" i="11"/>
  <c r="K57" i="11"/>
  <c r="K44" i="11"/>
  <c r="K56" i="11"/>
  <c r="K55" i="11"/>
  <c r="K50" i="11"/>
  <c r="K42" i="11"/>
  <c r="K38" i="11"/>
  <c r="K53" i="11"/>
  <c r="K32" i="11"/>
  <c r="K35" i="11"/>
  <c r="K39" i="11"/>
  <c r="K37" i="11"/>
  <c r="K52" i="11"/>
  <c r="K40" i="11"/>
  <c r="K46" i="11"/>
  <c r="K33" i="11"/>
  <c r="K31" i="11"/>
  <c r="K34" i="11"/>
  <c r="K43" i="11"/>
  <c r="K41" i="11"/>
  <c r="K28" i="11"/>
  <c r="K36" i="11"/>
  <c r="K47" i="11"/>
  <c r="K26" i="11"/>
  <c r="F76" i="11" l="1"/>
  <c r="F75" i="11"/>
  <c r="F74" i="11"/>
  <c r="F73" i="11"/>
  <c r="F72" i="11"/>
  <c r="F71" i="11"/>
  <c r="F70" i="11"/>
  <c r="D69" i="11" l="1"/>
  <c r="J69" i="11" s="1"/>
  <c r="E69" i="11"/>
  <c r="G69" i="11"/>
  <c r="D70" i="11"/>
  <c r="J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J77" i="11" s="1"/>
  <c r="E77" i="11"/>
  <c r="G77" i="11"/>
  <c r="D61" i="11"/>
  <c r="J61" i="11" s="1"/>
  <c r="E61" i="11"/>
  <c r="G61" i="11"/>
  <c r="G25" i="11"/>
  <c r="D25" i="11"/>
  <c r="H25" i="11" s="1"/>
  <c r="E25" i="11"/>
  <c r="F24" i="11"/>
  <c r="F23" i="11"/>
  <c r="F22" i="11"/>
  <c r="F21" i="11"/>
  <c r="F20" i="11"/>
  <c r="D21" i="59"/>
  <c r="K6" i="60"/>
  <c r="D62" i="11"/>
  <c r="H62" i="11" s="1"/>
  <c r="E62" i="11"/>
  <c r="G62" i="11"/>
  <c r="D63" i="11"/>
  <c r="I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E66" i="11"/>
  <c r="G66" i="11"/>
  <c r="D18" i="11"/>
  <c r="H18" i="11" s="1"/>
  <c r="E18" i="11"/>
  <c r="G18" i="11"/>
  <c r="D19" i="11"/>
  <c r="J19" i="11" s="1"/>
  <c r="E19" i="11"/>
  <c r="G19" i="11"/>
  <c r="D20" i="11"/>
  <c r="H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H24" i="11" s="1"/>
  <c r="E24" i="11"/>
  <c r="G24" i="11"/>
  <c r="I71" i="11" l="1"/>
  <c r="I73" i="11"/>
  <c r="I77" i="11"/>
  <c r="J76" i="11"/>
  <c r="I72" i="11"/>
  <c r="I69" i="11"/>
  <c r="J75" i="11"/>
  <c r="H73" i="11"/>
  <c r="J72" i="11"/>
  <c r="I76" i="11"/>
  <c r="I75" i="11"/>
  <c r="J71" i="11"/>
  <c r="H69" i="11"/>
  <c r="H77" i="11"/>
  <c r="I70" i="11"/>
  <c r="H74" i="11"/>
  <c r="H70" i="11"/>
  <c r="I74" i="11"/>
  <c r="H61" i="11"/>
  <c r="I61" i="11"/>
  <c r="I25" i="11"/>
  <c r="J25" i="11"/>
  <c r="I64" i="11"/>
  <c r="H66" i="11"/>
  <c r="I66" i="11"/>
  <c r="I62" i="11"/>
  <c r="J66" i="11"/>
  <c r="H64" i="11"/>
  <c r="J62" i="11"/>
  <c r="I65" i="11"/>
  <c r="H63" i="11"/>
  <c r="H65" i="11"/>
  <c r="J63" i="11"/>
  <c r="I21" i="11"/>
  <c r="J24" i="11"/>
  <c r="J23" i="11"/>
  <c r="J18" i="11"/>
  <c r="J21" i="11"/>
  <c r="I24" i="11"/>
  <c r="J20" i="11"/>
  <c r="I19" i="11"/>
  <c r="I18" i="11"/>
  <c r="I23" i="11"/>
  <c r="I22" i="11"/>
  <c r="H19" i="11"/>
  <c r="I20" i="11"/>
  <c r="H22" i="11"/>
  <c r="K71" i="11" l="1"/>
  <c r="K77" i="11"/>
  <c r="K75" i="11"/>
  <c r="K73" i="11"/>
  <c r="K76" i="11"/>
  <c r="K69" i="11"/>
  <c r="K72" i="11"/>
  <c r="K70" i="11"/>
  <c r="K74" i="11"/>
  <c r="K24" i="11"/>
  <c r="K61" i="11"/>
  <c r="K25" i="11"/>
  <c r="K62" i="11"/>
  <c r="K64" i="11"/>
  <c r="K65" i="11"/>
  <c r="K63" i="11"/>
  <c r="K66" i="11"/>
  <c r="K18" i="11"/>
  <c r="K20" i="11"/>
  <c r="K23" i="11"/>
  <c r="K21" i="11"/>
  <c r="K19" i="11"/>
  <c r="K22" i="11"/>
  <c r="D15" i="11" l="1"/>
  <c r="H15" i="11" s="1"/>
  <c r="E15" i="11"/>
  <c r="G15" i="11"/>
  <c r="D16" i="11"/>
  <c r="J16" i="11" s="1"/>
  <c r="E16" i="11"/>
  <c r="G16" i="11"/>
  <c r="D17" i="11"/>
  <c r="J17" i="11" s="1"/>
  <c r="E17" i="11"/>
  <c r="G17" i="11"/>
  <c r="D16" i="60"/>
  <c r="J15" i="11" l="1"/>
  <c r="I15" i="11"/>
  <c r="I17" i="11"/>
  <c r="I16" i="11"/>
  <c r="H17" i="11"/>
  <c r="H16" i="11"/>
  <c r="K15" i="11" l="1"/>
  <c r="K17" i="11"/>
  <c r="K16" i="11"/>
  <c r="D14" i="11" l="1"/>
  <c r="J14" i="11" s="1"/>
  <c r="J85" i="11" s="1"/>
  <c r="E14" i="11"/>
  <c r="G14" i="11"/>
  <c r="K19" i="60"/>
  <c r="D19" i="60"/>
  <c r="H14" i="11" l="1"/>
  <c r="H85" i="11" s="1"/>
  <c r="I14" i="11"/>
  <c r="I85" i="11" s="1"/>
  <c r="K85" i="11" l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17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8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5" i="11"/>
  <c r="D86" i="11"/>
  <c r="H86" i="11" s="1"/>
  <c r="E8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8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3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66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6" i="11"/>
  <c r="I86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94" i="29"/>
  <c r="F289" i="29"/>
  <c r="E299" i="29"/>
  <c r="E268" i="29"/>
  <c r="E273" i="29"/>
  <c r="E236" i="29"/>
  <c r="F308" i="29"/>
  <c r="F293" i="29"/>
  <c r="E264" i="29"/>
  <c r="E261" i="29"/>
  <c r="F270" i="29"/>
  <c r="E276" i="29"/>
  <c r="F256" i="29"/>
  <c r="E251" i="29"/>
  <c r="F250" i="29"/>
  <c r="F298" i="29"/>
  <c r="F271" i="29"/>
  <c r="F27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86" i="11"/>
  <c r="E267" i="29" l="1"/>
  <c r="E227" i="29"/>
  <c r="F246" i="29"/>
  <c r="F244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17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8" i="11"/>
  <c r="H89" i="11" s="1"/>
  <c r="I88" i="11"/>
  <c r="I89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62" i="39"/>
  <c r="F352" i="29"/>
  <c r="E352" i="29"/>
  <c r="E9" i="54"/>
  <c r="L9" i="54" s="1"/>
  <c r="M9" i="54" s="1"/>
  <c r="I10" i="54"/>
  <c r="H10" i="54"/>
  <c r="C11" i="54"/>
  <c r="D10" i="54"/>
  <c r="F291" i="29" l="1"/>
  <c r="F287" i="2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90" i="11"/>
  <c r="I90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88" i="11"/>
  <c r="K89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88" i="11"/>
  <c r="J8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90" i="11"/>
  <c r="B91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1" i="41"/>
  <c r="F77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<sst xmlns="http://schemas.openxmlformats.org/spreadsheetml/2006/main" count="4760" uniqueCount="1638">
  <si>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</si>
  <si>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</si>
  <si>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</si>
  <si>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</si>
  <si>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</si>
  <si>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</si>
  <si>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</si>
  <si>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</si>
  <si>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</si>
  <si>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</si>
  <si>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</si>
  <si>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</si>
  <si>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</si>
  <si>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</si>
  <si>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</si>
  <si>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</si>
  <si>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</si>
  <si>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</si>
  <si>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</si>
  <si>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</si>
  <si>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</si>
  <si>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</si>
  <si>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</si>
  <si>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</si>
  <si>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</si>
  <si>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</si>
  <si>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</si>
  <si>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</si>
  <si>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</si>
  <si>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</si>
  <si>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</si>
  <si>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</si>
  <si>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</si>
  <si>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</si>
  <si>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</si>
  <si>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</si>
  <si>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</si>
  <si>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</si>
  <si>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</si>
  <si>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</si>
  <si>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</si>
  <si>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</si>
  <si>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</si>
  <si>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</si>
  <si>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</si>
  <si>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</si>
  <si>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</si>
  <si>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</si>
  <si>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</si>
  <si>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</si>
  <si>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</si>
  <si>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</si>
  <si>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</si>
  <si>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</si>
  <si>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</si>
  <si>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</si>
  <si>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</si>
  <si>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</si>
  <si>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</si>
  <si>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</si>
  <si>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</si>
  <si>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</si>
  <si>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</si>
  <si>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</si>
  <si>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</si>
  <si>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</si>
  <si>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</si>
  <si>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</si>
  <si>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</si>
  <si>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</si>
  <si>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</si>
  <si>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</si>
  <si>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</si>
  <si>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</si>
  <si>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</si>
  <si>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</si>
  <si>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</si>
  <si>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</si>
  <si>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</si>
  <si>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</si>
  <si>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</si>
  <si>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</si>
  <si>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</si>
  <si>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</si>
  <si>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</si>
  <si>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</si>
  <si>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</si>
  <si>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</si>
  <si>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</si>
  <si>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</si>
  <si>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</si>
  <si>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</si>
  <si>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</si>
  <si>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</si>
  <si>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</si>
  <si>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</si>
  <si>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</si>
  <si>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</si>
  <si>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</si>
  <si>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</si>
  <si>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</si>
  <si>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</si>
  <si>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</si>
  <si>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</si>
  <si>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</si>
  <si>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</si>
  <si>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</si>
  <si>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</si>
  <si>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</si>
  <si>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</si>
  <si>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</si>
  <si>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</si>
  <si>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</si>
  <si>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</si>
  <si>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</si>
  <si>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</si>
  <si>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</si>
  <si>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</si>
  <si>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</si>
  <si>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</si>
  <si>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</si>
  <si>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</si>
  <si>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</si>
  <si>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</si>
  <si>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</si>
  <si>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</si>
  <si>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</si>
  <si>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</si>
  <si>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</si>
  <si>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</si>
  <si>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</si>
  <si>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</si>
  <si>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</si>
  <si>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</si>
  <si>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</si>
  <si>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</si>
  <si>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</si>
  <si>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</si>
  <si>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</si>
  <si>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</si>
  <si>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</si>
  <si>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</si>
  <si>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</si>
  <si>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</si>
  <si>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</si>
  <si>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</si>
  <si>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</si>
  <si>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</si>
  <si>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</si>
  <si>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</si>
  <si>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</si>
  <si>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</si>
  <si>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</si>
  <si>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</si>
  <si>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</si>
  <si>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</si>
  <si>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</si>
  <si>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</si>
  <si>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</si>
  <si>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</si>
  <si>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</si>
  <si>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</si>
  <si>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</si>
  <si>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</si>
  <si>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</si>
  <si>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</si>
  <si>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</si>
  <si>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</si>
  <si>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</si>
  <si>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</si>
  <si>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</si>
  <si>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</si>
  <si>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</si>
  <si>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</si>
  <si>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</si>
  <si>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</si>
  <si>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</si>
  <si>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</si>
  <si>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</si>
  <si>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</si>
  <si>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</si>
  <si>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</si>
  <si>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</si>
  <si>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</si>
  <si>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</si>
  <si>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</si>
  <si>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</si>
  <si>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</si>
  <si>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</si>
  <si>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</si>
  <si>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</si>
  <si>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</si>
  <si>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</si>
  <si>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</si>
  <si>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</si>
  <si>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</si>
  <si>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</si>
  <si>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</si>
  <si>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</si>
  <si>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</si>
  <si>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</si>
  <si>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</si>
  <si>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</si>
  <si>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</si>
  <si>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</si>
  <si>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</si>
  <si>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</si>
  <si>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</si>
  <si>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</si>
  <si>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</si>
  <si>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</si>
  <si>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</si>
  <si>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</si>
  <si>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</si>
  <si>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</si>
  <si>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</si>
  <si>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</si>
  <si>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</si>
  <si>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</si>
  <si>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</si>
  <si>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</si>
  <si>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</si>
  <si>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</si>
  <si>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</si>
  <si>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</si>
  <si>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</si>
  <si>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</si>
  <si>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</si>
  <si>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</si>
  <si>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</si>
  <si>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</si>
  <si>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</si>
  <si>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</si>
  <si>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</si>
  <si>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</si>
  <si>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</si>
  <si>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</si>
  <si>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</si>
  <si>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</si>
  <si>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</si>
  <si>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</si>
  <si>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</si>
  <si>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</si>
  <si>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</si>
  <si>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</si>
  <si>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</si>
  <si>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</si>
  <si>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</si>
  <si>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</si>
  <si>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</si>
  <si>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</si>
  <si>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</si>
  <si>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</si>
  <si>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</si>
  <si>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</si>
  <si>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</si>
  <si>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</si>
  <si>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</si>
  <si>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</si>
  <si>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</si>
  <si>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</si>
  <si>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</si>
  <si>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</si>
  <si>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</si>
  <si>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</si>
  <si>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</si>
  <si>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</si>
  <si>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</si>
  <si>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</si>
  <si>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</si>
  <si>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</si>
  <si>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</si>
  <si>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</si>
  <si>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</si>
  <si>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</si>
  <si>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</si>
  <si>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</si>
  <si>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</si>
  <si>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</si>
  <si>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</si>
  <si>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</si>
  <si>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</si>
  <si>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</si>
  <si>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</si>
  <si>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</si>
  <si>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</si>
  <si>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</si>
  <si>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</si>
  <si>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</si>
  <si>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</si>
  <si>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</si>
  <si>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</si>
  <si>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</si>
  <si>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</si>
  <si>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</si>
  <si>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</si>
  <si>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</si>
  <si>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</si>
  <si>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</si>
  <si>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</si>
  <si>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</si>
  <si>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</si>
  <si>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</si>
  <si>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</si>
  <si>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</si>
  <si>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</si>
  <si>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</si>
  <si>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</si>
  <si>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</si>
  <si>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</si>
  <si>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</si>
  <si>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</si>
  <si>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</si>
  <si>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</si>
  <si>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</si>
  <si>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</si>
  <si>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</si>
  <si>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</si>
  <si>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</si>
  <si>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</si>
  <si>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</si>
  <si>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</si>
  <si>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</si>
  <si>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</si>
  <si>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</si>
  <si>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</si>
  <si>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</si>
  <si>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</si>
  <si>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</si>
  <si>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</si>
  <si>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</si>
  <si>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</si>
  <si>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</si>
  <si>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</si>
  <si>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</si>
  <si>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</si>
  <si>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</si>
  <si>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</si>
  <si>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</si>
  <si>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</si>
  <si>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</si>
  <si>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</si>
  <si>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</si>
  <si>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</si>
  <si>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</si>
  <si>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</si>
  <si>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</si>
  <si>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</si>
  <si>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</si>
  <si>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</si>
  <si>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</si>
  <si>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</si>
  <si>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</si>
  <si>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</si>
  <si>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</si>
  <si>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</si>
  <si>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</si>
  <si>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</si>
  <si>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</si>
  <si>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</si>
  <si>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</si>
  <si>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</si>
  <si>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</si>
  <si>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</si>
  <si>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</si>
  <si>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</si>
  <si>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</si>
  <si>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</si>
  <si>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</si>
  <si>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</si>
  <si>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</si>
  <si>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</si>
  <si>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</si>
  <si>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</si>
  <si>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</si>
  <si>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</si>
  <si>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</si>
  <si>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</si>
  <si>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</si>
  <si>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</si>
  <si>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</si>
  <si>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</si>
  <si>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</si>
  <si>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</si>
  <si>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</si>
  <si>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</si>
  <si>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</si>
  <si>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</si>
  <si>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</si>
  <si>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</si>
  <si>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</si>
  <si>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</si>
  <si>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</si>
  <si>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</si>
  <si>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</si>
  <si>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</si>
  <si>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</si>
  <si>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</si>
  <si>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</si>
  <si>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</si>
  <si>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</si>
  <si>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</si>
  <si>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</si>
  <si>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</si>
  <si>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</si>
  <si>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</si>
  <si>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</si>
  <si>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</si>
  <si>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</si>
  <si>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</si>
  <si>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</si>
  <si>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</si>
  <si>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</si>
  <si>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</si>
  <si>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</si>
  <si>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</si>
  <si>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</si>
  <si>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</si>
  <si>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</si>
  <si>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</si>
  <si>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</si>
  <si>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</si>
  <si>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</si>
  <si>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</si>
  <si>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</si>
  <si>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</si>
  <si>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</si>
  <si>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</si>
  <si>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</si>
  <si>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</si>
  <si>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</si>
  <si>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</si>
  <si>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</si>
  <si>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</si>
  <si>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</si>
  <si>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</si>
  <si>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</si>
  <si>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</si>
  <si>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</si>
  <si>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</si>
  <si>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</si>
  <si>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</si>
  <si>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</si>
  <si>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</si>
  <si>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</si>
  <si>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</si>
  <si>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</si>
  <si>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</si>
  <si>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</si>
  <si>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</si>
  <si>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</si>
  <si>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</si>
  <si>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</si>
  <si>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</si>
  <si>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</si>
  <si>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</si>
  <si>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</si>
  <si>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</si>
  <si>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</si>
  <si>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</si>
  <si>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</si>
  <si>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</si>
  <si>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</si>
  <si>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</si>
  <si>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</si>
  <si>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</si>
  <si>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</si>
  <si>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</si>
  <si>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</si>
  <si>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</si>
  <si>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</si>
  <si>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</si>
  <si>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</si>
  <si>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</si>
  <si>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</si>
  <si>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</si>
  <si>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</si>
  <si>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</si>
  <si>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</si>
  <si>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</si>
  <si>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</si>
  <si>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</si>
  <si>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</si>
  <si>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</si>
  <si>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</si>
  <si>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</si>
  <si>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</si>
  <si>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</si>
  <si>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</si>
  <si>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</si>
  <si>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</si>
  <si>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</si>
  <si>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</si>
  <si>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</si>
  <si>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</si>
  <si>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</si>
  <si>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</si>
  <si>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</si>
  <si>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</si>
  <si>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</si>
  <si>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</si>
  <si>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</si>
  <si>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</si>
  <si>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</si>
  <si>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</si>
  <si>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</si>
  <si>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</si>
  <si>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</si>
  <si>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</si>
  <si>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</si>
  <si>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</si>
  <si>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</si>
  <si>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</si>
  <si>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</si>
  <si>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</si>
  <si>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</si>
  <si>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</si>
  <si>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</si>
  <si>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</si>
  <si>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</si>
  <si>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</si>
  <si>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</si>
  <si>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</si>
  <si>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</si>
  <si>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</si>
  <si>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</si>
  <si>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</si>
  <si>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</si>
  <si>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</si>
  <si>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</si>
  <si>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</si>
  <si>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</si>
  <si>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</si>
  <si>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</si>
  <si>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</si>
  <si>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</si>
  <si>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</si>
  <si>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</si>
  <si>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</si>
  <si>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</si>
  <si>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</si>
  <si>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</si>
  <si>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</si>
  <si>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</si>
  <si>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</si>
  <si>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</si>
  <si>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</si>
  <si>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</si>
  <si>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</si>
  <si>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</si>
  <si>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</si>
  <si>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</si>
  <si>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</si>
  <si>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</si>
  <si>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</si>
  <si>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</si>
  <si>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</si>
  <si>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</si>
  <si>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</si>
  <si>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</si>
  <si>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</si>
  <si>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</si>
  <si>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</si>
  <si>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</si>
  <si>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</si>
  <si>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</si>
  <si>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</si>
  <si>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</si>
  <si>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</si>
  <si>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</si>
  <si>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</si>
  <si>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</si>
  <si>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</si>
  <si>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</si>
  <si>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</si>
  <si>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</si>
  <si>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</si>
  <si>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</si>
  <si>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</si>
  <si>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</si>
  <si>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</si>
  <si>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</si>
  <si>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</si>
  <si>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</si>
  <si>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</si>
  <si>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</si>
  <si>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</si>
  <si>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</si>
  <si>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</si>
  <si>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</si>
  <si>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</si>
  <si>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</si>
  <si>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</si>
  <si>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</si>
  <si>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</si>
  <si>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</si>
  <si>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</si>
  <si>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</si>
  <si>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</si>
  <si>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</si>
  <si>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</si>
  <si>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</si>
  <si>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</si>
  <si>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</si>
  <si>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</si>
  <si>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</si>
  <si>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</si>
  <si>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</si>
  <si>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</si>
  <si>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</si>
  <si>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</si>
  <si>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</si>
  <si>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</si>
  <si>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</si>
  <si>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</si>
  <si>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</si>
  <si>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</si>
  <si>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</si>
  <si>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</si>
  <si>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</si>
  <si>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</si>
  <si>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</si>
  <si>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</si>
  <si>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</si>
  <si>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</si>
  <si>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</si>
  <si>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</si>
  <si>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</si>
  <si>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</si>
  <si>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</si>
  <si>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</si>
  <si>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</si>
  <si>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</si>
  <si>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</si>
  <si>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</si>
  <si>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</si>
  <si>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</si>
  <si>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</si>
  <si>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</si>
  <si>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</si>
  <si>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</si>
  <si>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</si>
  <si>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</si>
  <si>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</si>
  <si>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</si>
  <si>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</si>
  <si>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</si>
  <si>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</si>
  <si>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</si>
  <si>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</si>
  <si>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</si>
  <si>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</si>
  <si>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</si>
  <si>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</si>
  <si>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</si>
  <si>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</si>
  <si>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</si>
  <si>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</si>
  <si>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</si>
  <si>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</si>
  <si>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</si>
  <si>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</si>
  <si>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</si>
  <si>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</si>
  <si>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</si>
  <si>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</si>
  <si>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</si>
  <si>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</si>
  <si>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</si>
  <si>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</si>
  <si>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</si>
  <si>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</si>
  <si>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</si>
  <si>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</si>
  <si>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</si>
  <si>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</si>
  <si>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</si>
  <si>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</si>
  <si>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</si>
  <si>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</si>
  <si>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</si>
  <si>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</si>
  <si>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</si>
  <si>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</si>
  <si>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</si>
  <si>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</si>
  <si>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</si>
  <si>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</si>
  <si>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</si>
  <si>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</si>
  <si>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</si>
  <si>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</si>
  <si>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</si>
  <si>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</si>
  <si>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</si>
  <si>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</si>
  <si>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</si>
  <si>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</si>
  <si>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</si>
  <si>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</si>
  <si>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</si>
  <si>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</si>
  <si>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</si>
  <si>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</si>
  <si>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</si>
  <si>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</si>
  <si>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</si>
  <si>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</si>
  <si>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</si>
  <si>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</si>
  <si>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</si>
  <si>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</si>
  <si>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</si>
  <si>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</si>
  <si>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</si>
  <si>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</si>
  <si>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</si>
  <si>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</si>
  <si>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</si>
  <si>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</si>
  <si>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</si>
  <si>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</si>
  <si>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</si>
  <si>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</si>
  <si>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</si>
  <si>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</si>
  <si>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</si>
  <si>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</si>
  <si>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</si>
  <si>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</si>
  <si>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</si>
  <si>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</si>
  <si>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</si>
  <si>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</si>
  <si>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</si>
  <si>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</si>
  <si>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</si>
  <si>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</si>
  <si>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</si>
  <si>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</si>
  <si>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</si>
  <si>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</si>
  <si>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</si>
  <si>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</si>
  <si>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</si>
  <si>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</si>
  <si>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</si>
  <si>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</si>
  <si>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</si>
  <si>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</si>
  <si>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</si>
  <si>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</si>
  <si>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</si>
  <si>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</si>
  <si>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</si>
  <si>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</si>
  <si>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</si>
  <si>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</si>
  <si>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</si>
  <si>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</si>
  <si>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</si>
  <si>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</si>
  <si>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</si>
  <si>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</si>
  <si>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</si>
  <si>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</si>
  <si>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</si>
  <si>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</si>
  <si>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</si>
  <si>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</si>
  <si>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</si>
  <si>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</si>
  <si>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</si>
  <si>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</si>
  <si>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</si>
  <si>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</si>
  <si>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</si>
  <si>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</si>
  <si>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</si>
  <si>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</si>
  <si>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</si>
  <si>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</si>
  <si>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</si>
  <si>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</si>
  <si>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</si>
  <si>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</si>
  <si>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</si>
  <si>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</si>
  <si>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</si>
  <si>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</si>
  <si>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</si>
  <si>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</si>
  <si>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</si>
  <si>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</si>
  <si>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</si>
  <si>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</si>
  <si>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</si>
  <si>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</si>
  <si>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</si>
  <si>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</si>
  <si>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</si>
  <si>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</si>
  <si>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</si>
  <si>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</si>
  <si>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</si>
  <si>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</si>
  <si>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</si>
  <si>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</si>
  <si>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</si>
  <si>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</si>
  <si>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</si>
  <si>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</si>
  <si>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</si>
  <si>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</si>
  <si>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</si>
  <si>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</si>
  <si>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</si>
  <si>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</si>
  <si>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</si>
  <si>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</si>
  <si>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</si>
  <si>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</si>
  <si>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</si>
  <si>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</si>
  <si>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</si>
  <si>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</si>
  <si>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</si>
  <si>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</si>
  <si>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</si>
  <si>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</si>
  <si>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</si>
  <si>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</si>
  <si>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</si>
  <si>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</si>
  <si>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</si>
  <si>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</si>
  <si>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</si>
  <si>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</si>
  <si>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</si>
  <si>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</si>
  <si>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</si>
  <si>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</si>
  <si>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</si>
  <si>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</si>
  <si>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</si>
  <si>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</si>
  <si>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</si>
  <si>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</si>
  <si>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</si>
  <si>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</si>
  <si>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</si>
  <si>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</si>
  <si>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</si>
  <si>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</si>
  <si>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</si>
  <si>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</si>
  <si>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</si>
  <si>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</si>
  <si>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</si>
  <si>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</si>
  <si>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</si>
  <si>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</si>
  <si>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</si>
  <si>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</si>
  <si>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</si>
  <si>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</si>
  <si>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</si>
  <si>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</si>
  <si>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</si>
  <si>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</si>
  <si>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</si>
  <si>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</si>
  <si>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</si>
  <si>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</si>
  <si>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</si>
  <si>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</si>
  <si>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</si>
  <si>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</si>
  <si>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</si>
  <si>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</si>
  <si>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</si>
  <si>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</si>
  <si>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</si>
  <si>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</si>
  <si>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</si>
  <si>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</si>
  <si>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</si>
  <si>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</si>
  <si>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</si>
  <si>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</si>
  <si>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</si>
  <si>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</si>
  <si>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</si>
  <si>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</si>
  <si>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</si>
  <si>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</si>
  <si>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</si>
  <si>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</si>
  <si>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</si>
  <si>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</si>
  <si>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</si>
  <si>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</si>
  <si>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</si>
  <si>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</si>
  <si>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</si>
  <si>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</si>
  <si>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</si>
  <si>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</si>
  <si>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</si>
  <si>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</si>
  <si>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</si>
  <si>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</si>
  <si>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</si>
  <si>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</si>
  <si>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</si>
  <si>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</si>
  <si>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</si>
  <si>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</si>
  <si>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</si>
  <si>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</si>
  <si>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</si>
  <si>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</si>
  <si>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</si>
  <si>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</si>
  <si>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</si>
  <si>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</si>
  <si>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</si>
  <si>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</si>
  <si>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</si>
  <si>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</si>
  <si>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</si>
  <si>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</si>
  <si>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</si>
  <si>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</si>
  <si>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</si>
  <si>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</si>
  <si>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</si>
  <si>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</si>
  <si>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</si>
  <si>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</si>
  <si>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</si>
  <si>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</si>
  <si>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</si>
  <si>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</si>
  <si>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</si>
  <si>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</si>
  <si>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</si>
  <si>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</si>
  <si>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</si>
  <si>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</si>
  <si>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</si>
  <si>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</si>
  <si>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</si>
  <si>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</si>
  <si>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</si>
  <si>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</si>
  <si>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</si>
  <si>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</si>
  <si>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</si>
  <si>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</si>
  <si>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</si>
  <si>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</si>
  <si>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</si>
  <si>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</si>
  <si>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</si>
  <si>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</si>
  <si>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</si>
  <si>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</si>
  <si>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</si>
  <si>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</si>
  <si>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</si>
  <si>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</si>
  <si>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</si>
  <si>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</si>
  <si>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</si>
  <si>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</si>
  <si>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</si>
  <si>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</si>
  <si>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</si>
  <si>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</si>
  <si>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</si>
  <si>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</si>
  <si>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</si>
  <si>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</si>
  <si>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</si>
  <si>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</si>
  <si>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</si>
  <si>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</si>
  <si>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</si>
  <si>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</si>
  <si>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</si>
  <si>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</si>
  <si>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</si>
  <si>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</si>
  <si>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</si>
  <si>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</si>
  <si>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</si>
  <si>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</si>
  <si>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</si>
  <si>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</si>
  <si>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</si>
  <si>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</si>
  <si>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</si>
  <si>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</si>
  <si>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</si>
  <si>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</si>
  <si>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</si>
  <si>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</si>
  <si>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</si>
  <si>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</si>
  <si>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</si>
  <si>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</si>
  <si>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</si>
  <si>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</si>
  <si>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</si>
  <si>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</si>
  <si>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</si>
  <si>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</si>
  <si>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</si>
  <si>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</si>
  <si>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</si>
  <si>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</si>
  <si>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</si>
  <si>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</si>
  <si>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</si>
  <si>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</si>
  <si>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</si>
  <si>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</si>
  <si>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</si>
  <si>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</si>
  <si>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</si>
  <si>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</si>
  <si>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</si>
  <si>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</si>
  <si>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</si>
  <si>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</si>
  <si>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</si>
  <si>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</si>
  <si>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</si>
  <si>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</si>
  <si>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</si>
  <si>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</si>
  <si>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</si>
  <si>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</si>
  <si>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</si>
  <si>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</si>
  <si>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</si>
  <si>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</si>
  <si>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</si>
  <si>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</si>
  <si>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</si>
  <si>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</si>
  <si>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</si>
  <si>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</si>
  <si>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</si>
  <si>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</si>
  <si>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</si>
  <si>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</si>
  <si>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</si>
  <si>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</si>
  <si>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</si>
  <si>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</si>
  <si>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</si>
  <si>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</si>
  <si>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</si>
  <si>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</si>
  <si>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</si>
  <si>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</si>
  <si>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</si>
  <si>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</si>
  <si>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</si>
  <si>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</si>
  <si>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</si>
  <si>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</si>
  <si>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</si>
  <si>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</si>
  <si>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</si>
  <si>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</si>
  <si>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</si>
  <si>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</si>
  <si>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</si>
  <si>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</si>
  <si>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</si>
  <si>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</si>
  <si>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</si>
  <si>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</si>
  <si>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</si>
  <si>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</si>
  <si>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</si>
  <si>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</si>
  <si>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</si>
  <si>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</si>
  <si>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</si>
  <si>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</si>
  <si>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</si>
  <si>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</si>
  <si>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</si>
  <si>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</si>
  <si>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</si>
  <si>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</si>
  <si>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</si>
  <si>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</si>
  <si>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</si>
  <si>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</si>
  <si>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</si>
  <si>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</si>
  <si>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</si>
  <si>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</si>
  <si>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</si>
  <si>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</si>
  <si>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</si>
  <si>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</si>
  <si>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</si>
  <si>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</si>
  <si>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</si>
  <si>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</si>
  <si>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</si>
  <si>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</si>
  <si>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</si>
  <si>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</si>
  <si>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</si>
  <si>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</si>
  <si>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</si>
  <si>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</si>
  <si>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</si>
  <si>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</si>
  <si>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</si>
  <si>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</si>
  <si>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</si>
  <si>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</si>
  <si>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</si>
  <si>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</si>
  <si>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</si>
  <si>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</si>
  <si>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</si>
  <si>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</si>
  <si>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</si>
  <si>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</si>
  <si>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</si>
  <si>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</si>
  <si>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</si>
  <si>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</si>
  <si>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</si>
  <si>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</si>
  <si>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</si>
  <si>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</si>
  <si>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</si>
  <si>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</si>
  <si>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</si>
  <si>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</si>
  <si>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</si>
  <si>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</si>
  <si>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</si>
  <si>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</si>
  <si>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</si>
  <si>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</si>
  <si>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</si>
  <si>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</si>
  <si>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</si>
  <si>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</si>
  <si>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</si>
  <si>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</si>
  <si>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</si>
  <si>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</si>
  <si>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</si>
  <si>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</si>
  <si>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</si>
  <si>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</si>
  <si>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</si>
  <si>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</si>
  <si>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</si>
  <si>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</si>
  <si>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</si>
  <si>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</si>
  <si>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</si>
  <si>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</si>
  <si>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</si>
  <si>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</si>
  <si>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</si>
  <si>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</si>
  <si>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</si>
  <si>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</si>
  <si>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</si>
  <si>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</si>
  <si>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</si>
  <si>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</si>
  <si>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</si>
  <si>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</si>
  <si>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</si>
  <si>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</si>
  <si>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</si>
  <si>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</si>
  <si>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</si>
  <si>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</si>
  <si>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</si>
  <si>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</si>
  <si>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</si>
  <si>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</si>
  <si>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</si>
  <si>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</si>
  <si>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</si>
  <si>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</si>
  <si>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</si>
  <si>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</si>
  <si>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</si>
  <si>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</si>
  <si>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</si>
  <si>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</si>
  <si>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</si>
  <si>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</si>
  <si>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</si>
  <si>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</si>
  <si>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</si>
  <si>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</si>
  <si>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</si>
  <si>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</si>
  <si>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</si>
  <si>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</si>
  <si>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</si>
  <si>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</si>
  <si>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</si>
  <si>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</si>
  <si>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</si>
  <si>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</si>
  <si>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</si>
  <si>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</si>
  <si>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</si>
  <si>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</si>
  <si>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</si>
  <si>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</si>
  <si>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</si>
  <si>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</si>
  <si>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</si>
  <si>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</si>
  <si>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</si>
  <si>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</si>
  <si>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</si>
  <si>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</si>
  <si>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</si>
  <si>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</si>
  <si>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</si>
  <si>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</si>
  <si>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</si>
  <si>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</si>
  <si>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</si>
  <si>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</si>
  <si>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</si>
  <si>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</si>
  <si>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</si>
  <si>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</si>
  <si>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</si>
  <si>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</si>
  <si>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</si>
  <si>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</si>
  <si>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</si>
  <si>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</si>
  <si>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</si>
  <si>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</si>
  <si>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</si>
  <si>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</si>
  <si>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</si>
  <si>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</si>
  <si>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</si>
  <si>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</si>
  <si>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</si>
  <si>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</si>
  <si>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</si>
  <si>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</si>
  <si>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</si>
  <si>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</si>
  <si>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</si>
  <si>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</si>
  <si>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</si>
  <si>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</si>
  <si>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</si>
  <si>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</si>
  <si>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</si>
  <si>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</si>
  <si>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</si>
  <si>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</si>
  <si>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</si>
  <si>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</si>
  <si>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</si>
  <si>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</si>
  <si>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</si>
  <si>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</si>
  <si>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</si>
  <si>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</si>
  <si>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</si>
  <si>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</si>
  <si>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</si>
  <si>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</si>
  <si>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</si>
  <si>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</si>
  <si>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</si>
  <si>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</si>
  <si>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</si>
  <si>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</si>
  <si>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</si>
  <si>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</si>
  <si>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</si>
  <si>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</si>
  <si>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</si>
  <si>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</si>
  <si>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</si>
  <si>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</si>
  <si>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</si>
  <si>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</si>
  <si>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</si>
  <si>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</si>
  <si>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</si>
  <si>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</si>
  <si>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</si>
  <si>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</si>
  <si>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</si>
  <si>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</si>
  <si>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</si>
  <si>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</si>
  <si>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</si>
  <si>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</si>
  <si>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</si>
  <si>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</si>
  <si>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</si>
  <si>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</si>
  <si>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</si>
  <si>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</si>
  <si>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</si>
  <si>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</si>
  <si>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</si>
  <si>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</si>
  <si>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</si>
  <si>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</si>
  <si>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</si>
  <si>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</si>
  <si>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</si>
  <si>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</si>
  <si>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</si>
  <si>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</si>
  <si>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</si>
  <si>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</si>
  <si>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</si>
  <si>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</si>
  <si>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</si>
  <si>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</si>
  <si>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</si>
  <si>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</si>
  <si>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</si>
  <si>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</si>
  <si>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</si>
  <si>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</si>
  <si>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</si>
  <si>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</si>
  <si>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</si>
  <si>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</si>
  <si>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</si>
  <si>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</si>
  <si>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</si>
  <si>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</si>
  <si>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</si>
  <si>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</si>
  <si>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</si>
  <si>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</si>
  <si>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</si>
  <si>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</si>
  <si>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</si>
  <si>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</si>
  <si>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</si>
  <si>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</si>
  <si>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</si>
  <si>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</si>
  <si>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</si>
  <si>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</si>
  <si>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</si>
  <si>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</si>
  <si>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</si>
  <si>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</si>
  <si>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</si>
  <si>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</si>
  <si>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</si>
  <si>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</si>
  <si>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</si>
  <si>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</si>
  <si>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</si>
  <si>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</si>
  <si>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</si>
  <si>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</si>
  <si>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</si>
  <si>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</si>
  <si>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</si>
  <si>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</si>
  <si>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</si>
  <si>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</si>
  <si>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</si>
  <si>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</si>
  <si>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</si>
  <si>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</si>
  <si>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</si>
  <si>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</si>
  <si>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</si>
  <si>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</si>
  <si>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</si>
  <si>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</si>
  <si>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</si>
  <si>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</si>
  <si>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</si>
  <si>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</si>
  <si>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</si>
  <si>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</si>
  <si>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</si>
  <si>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</si>
  <si>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</si>
  <si>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</si>
  <si>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</si>
  <si>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</si>
  <si>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</si>
  <si>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</si>
  <si>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</si>
  <si>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</si>
  <si>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</si>
  <si>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</si>
  <si>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</si>
  <si>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</si>
  <si>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</si>
  <si>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</si>
  <si>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</si>
  <si>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</si>
  <si>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</si>
  <si>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</si>
  <si>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</si>
  <si>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</si>
  <si>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</si>
  <si>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</si>
  <si>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</si>
  <si>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</si>
  <si>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</si>
  <si>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</si>
  <si>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</si>
  <si>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</si>
  <si>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</si>
  <si>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</si>
  <si>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</si>
  <si>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</si>
  <si>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</si>
  <si>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</si>
  <si>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</si>
  <si>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</si>
  <si>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</si>
  <si>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</si>
  <si>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</si>
  <si>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</si>
  <si>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</si>
  <si>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</si>
  <si>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</si>
  <si>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</si>
  <si>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</si>
  <si>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</si>
  <si>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</si>
  <si>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</si>
  <si>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</si>
  <si>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</si>
  <si>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</si>
  <si>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</si>
  <si>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</si>
  <si>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</si>
  <si>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</si>
  <si>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</si>
  <si>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</si>
  <si>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</si>
  <si>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</si>
  <si>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</si>
  <si>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</si>
  <si>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</si>
  <si>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</si>
  <si>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</si>
  <si>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</si>
  <si>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</si>
  <si>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</si>
  <si>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</si>
  <si>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</si>
  <si>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</si>
  <si>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</si>
  <si>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</si>
  <si>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</si>
  <si>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</si>
  <si>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</si>
  <si>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</si>
  <si>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</si>
  <si>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</si>
  <si>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</si>
  <si>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</si>
  <si>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</si>
  <si>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</si>
  <si>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</si>
  <si>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</si>
  <si>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</si>
  <si>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</si>
  <si>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</si>
  <si>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</si>
  <si>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</si>
  <si>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</si>
  <si>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</si>
  <si>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</si>
  <si>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</si>
  <si>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</si>
  <si>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</si>
  <si>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</si>
  <si>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</si>
  <si>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</si>
  <si>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</si>
  <si>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</si>
  <si>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</si>
  <si>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</si>
  <si>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</si>
  <si>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</si>
  <si>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</si>
  <si>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</si>
  <si>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</si>
  <si>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</si>
  <si>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</si>
  <si>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</si>
  <si>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</si>
  <si>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</si>
  <si>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</si>
  <si>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</si>
  <si>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</si>
  <si>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</si>
  <si>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</si>
  <si>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</si>
  <si>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</si>
  <si>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</si>
  <si>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</si>
  <si>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</si>
  <si>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</si>
  <si>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</si>
  <si>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</si>
  <si>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</si>
  <si>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</si>
  <si>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</si>
  <si>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</si>
  <si>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</si>
  <si>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</si>
  <si>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</si>
  <si>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</si>
  <si>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</si>
  <si>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</si>
  <si>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</si>
  <si>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</si>
  <si>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</si>
  <si>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</si>
  <si>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</si>
  <si>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</si>
  <si>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</si>
  <si>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</si>
  <si>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</si>
  <si>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</si>
  <si>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</si>
  <si>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</si>
  <si>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</si>
  <si>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</si>
  <si>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</si>
  <si>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</si>
  <si>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</si>
  <si>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</si>
  <si>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</si>
  <si>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</si>
  <si>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</si>
  <si>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</si>
  <si>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</si>
  <si>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</si>
  <si>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</si>
  <si>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</si>
  <si>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</si>
  <si>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</si>
  <si>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</si>
  <si>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</si>
  <si>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</si>
  <si>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</si>
  <si>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</si>
  <si>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</si>
  <si>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</si>
  <si>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</si>
  <si>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</si>
  <si>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</si>
  <si>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</si>
  <si>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</si>
  <si>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</si>
  <si>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</si>
  <si>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</si>
  <si>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</si>
  <si>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</si>
  <si>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</si>
  <si>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</si>
  <si>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</si>
  <si>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</si>
  <si>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</si>
  <si>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</si>
  <si>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</si>
  <si>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</si>
  <si>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</si>
  <si>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</si>
  <si>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</si>
  <si>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</si>
  <si>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</si>
  <si>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</si>
  <si>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</si>
  <si>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</si>
  <si>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</si>
  <si>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</si>
  <si>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</si>
  <si>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</si>
  <si>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</si>
  <si>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UPAH LAIN-LAIN</t>
  </si>
  <si>
    <t>PEMASANGAN TRAFO</t>
  </si>
  <si>
    <t>CJ5-T</t>
  </si>
  <si>
    <t>CJ6-T</t>
  </si>
  <si>
    <t>MJ6-T</t>
  </si>
  <si>
    <t>PEMBANGUNAN JARINGAN TR</t>
  </si>
  <si>
    <t>Pemasangan APP 1 Fasa Di Bangunan</t>
  </si>
  <si>
    <t>DPU-POMPA AIR LOIRENG</t>
  </si>
  <si>
    <t>KOORDINAT : -6.936508, 110.542413</t>
  </si>
  <si>
    <t>https://goo.gl/maps/MxXpoCT4nTUC1wo48</t>
  </si>
  <si>
    <t>DS LOIRENG KEC. SAYUNG</t>
  </si>
  <si>
    <t>SYG 5 - 32</t>
  </si>
  <si>
    <t>SYG 05</t>
  </si>
  <si>
    <t>Trafo 3 Fasa 50 KVA 1 Tiang (G312-A)</t>
  </si>
  <si>
    <t xml:space="preserve">Jumper Wire : </t>
  </si>
  <si>
    <t>CM2-11M</t>
  </si>
  <si>
    <t>Stainless Steel Strap 20 X 0.7 mm</t>
  </si>
  <si>
    <t>Daya 33.000 VA</t>
  </si>
  <si>
    <t>P1</t>
  </si>
  <si>
    <t>Staf teknik</t>
  </si>
  <si>
    <t>TL Teknik</t>
  </si>
  <si>
    <t>Manager ULP</t>
  </si>
  <si>
    <t>Manager Perencanaan</t>
  </si>
  <si>
    <t>Demak, 31 Januari 2024</t>
  </si>
  <si>
    <t>MANAGER ULP</t>
  </si>
  <si>
    <t>ACHMAD SUHENDRO</t>
  </si>
  <si>
    <t>RUMAH POMPA LOIRENG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</si>
</sst>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17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1" fillId="0" borderId="21" xfId="1652" applyFont="1" applyBorder="1" applyAlignment="1">
      <alignment vertical="center" wrapText="1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37" fontId="149" fillId="0" borderId="0" xfId="1614" applyNumberFormat="1" applyFont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0" xfId="1614" applyNumberFormat="1" applyFont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48" fillId="0" borderId="0" xfId="1614" applyFont="1" applyAlignment="1">
      <alignment horizontal="center" vertic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9" fillId="0" borderId="99" xfId="1450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75" fillId="33" borderId="0" xfId="2678" applyFill="1"/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43" fillId="0" borderId="21" xfId="1450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19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4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4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329626</xdr:colOff>
      <xdr:row>1</xdr:row>
      <xdr:rowOff>78441</xdr:rowOff>
    </xdr:from>
    <xdr:to>
      <xdr:col>21</xdr:col>
      <xdr:colOff>44925</xdr:colOff>
      <xdr:row>6</xdr:row>
      <xdr:rowOff>76911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AAFD724-B75A-47C3-9399-441148F7BB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39391" y="235323"/>
          <a:ext cx="858299" cy="782882"/>
        </a:xfrm>
        <a:prstGeom prst="rect">
          <a:avLst/>
        </a:prstGeom>
      </xdr:spPr>
    </xdr:pic>
    <xdr:clientData/>
  </xdr:twoCellAnchor>
  <xdr:twoCellAnchor>
    <xdr:from>
      <xdr:col>26</xdr:col>
      <xdr:colOff>11987</xdr:colOff>
      <xdr:row>5</xdr:row>
      <xdr:rowOff>28195</xdr:rowOff>
    </xdr:from>
    <xdr:to>
      <xdr:col>29</xdr:col>
      <xdr:colOff>298573</xdr:colOff>
      <xdr:row>16</xdr:row>
      <xdr:rowOff>88920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45BE0520-4E5A-4245-B259-DA32F71DB8DC}"/>
            </a:ext>
          </a:extLst>
        </xdr:cNvPr>
        <xdr:cNvGrpSpPr/>
      </xdr:nvGrpSpPr>
      <xdr:grpSpPr>
        <a:xfrm>
          <a:off x="9512139" y="806760"/>
          <a:ext cx="1487564" cy="1717247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9412D9AA-5951-4E10-BEC5-7109B30BFE4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AF206DC6-6406-4918-B6F1-BAE64D7D59E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E83BC8C5-4828-4EA8-8419-9B2555EF752E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7">
              <a:extLst>
                <a:ext uri="{FF2B5EF4-FFF2-40B4-BE49-F238E27FC236}">
                  <a16:creationId xmlns:a16="http://schemas.microsoft.com/office/drawing/2014/main" id="{B4FED70A-C867-4B9A-8B26-B6A9B8A5CA93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F5F01811-1A60-4F9B-99C3-EE39BDC92F73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3" name="Group 132">
            <a:extLst>
              <a:ext uri="{FF2B5EF4-FFF2-40B4-BE49-F238E27FC236}">
                <a16:creationId xmlns:a16="http://schemas.microsoft.com/office/drawing/2014/main" id="{786485FE-823A-4AA5-A10A-929A5E9D4217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BF5D4B79-1AEC-4989-97DD-47BF1FAF4D3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8CE540F6-9455-4DD4-92BA-6D712E2E666C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39BC90A-F074-4140-A64C-F1530AFB977C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70266B81-2C26-43E5-A4F2-AFFC4124490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F24A3AE0-2794-4C47-839A-2C6FE73B6698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54315F1A-D0B3-4121-9BC0-F87769F8B388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8C108C54-148B-4915-976D-BF88FDA15332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18076C5C-FA00-4E1B-AD3E-3B93F9DD421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F062578B-CCE0-4F26-817E-4BA749E8A23B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728C744B-F48E-4BCB-B147-E4AFC65F700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2467518C-BE84-4A1B-A0EE-5D053B3481B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DA9D9325-A801-43A6-BB30-0B0C40688D3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D817108B-5C33-4B1D-A007-6BBACFF9B1C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F854F61D-B960-4137-ADDE-9B23AB4A999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9B31F27C-02BB-4170-878D-B77D5C3E647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302E65E-9ACE-47BF-B56B-21A54C01FD9D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17EC2D06-3D11-4143-B213-9A0915ED8A8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9CBA07D0-0E21-4202-BA83-A10E261AD82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A1378599-2CC7-4EFC-AF96-DD4F7C038826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0D3607A8-871E-4A5B-8D82-E6121E6FA1DB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166F0B55-DF94-4CD4-A86D-263D3409857C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E5ABBE26-8929-4C9D-99AD-6402A40E249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948FC064-0283-4242-AB1F-5BA6A20409D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2A82C516-63FF-4E37-BC7C-7D60C5961ED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9B5273B3-A9FC-4E02-BFDC-5FF0E9F7E20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610C6822-F36C-4086-9E75-D60936884043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E4033C22-3F2E-40DD-839E-E564E48CD38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A17B6CA2-B7E4-484B-961D-60451A02047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F34E2CB1-DDA7-4D9E-9FBF-90DE817E5ED9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85" name="TextBox 184">
              <a:extLst>
                <a:ext uri="{FF2B5EF4-FFF2-40B4-BE49-F238E27FC236}">
                  <a16:creationId xmlns:a16="http://schemas.microsoft.com/office/drawing/2014/main" id="{69DF00D0-96DB-4322-98E1-48337680F97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0030C649-8FC8-4581-8C23-A15AB52A8418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BC56B58B-304B-4F01-A8BC-602053B22DD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182">
              <a:extLst>
                <a:ext uri="{FF2B5EF4-FFF2-40B4-BE49-F238E27FC236}">
                  <a16:creationId xmlns:a16="http://schemas.microsoft.com/office/drawing/2014/main" id="{C2E72D68-CC5A-43DD-9A3B-4EF804453E0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EB9674B9-AD53-4BC7-95ED-CF335F21ECE9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9B24793-2F73-4404-82E0-FBD94E64D8EF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9F3ABF18-E81B-435F-A861-7B8E29A6CEE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E01FC15D-D3E7-420A-8A44-1D44F332C9B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C8524247-49F9-4C93-BB42-300D51C4DA7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F64AB99B-647D-452F-8ABC-F1D8A20AAD5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BEEDC45C-1AF9-4661-A8DF-88562FDFA54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6354A39A-6B36-499F-ACE8-B375DCBC248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93A935C9-A72F-4595-A71C-A6D1404DC40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2363C326-01BA-46AF-AE25-F2FA7E5E9BE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3787295C-D691-486F-9DE1-DD7706C7337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159C1259-84FE-4CA5-BE4F-82C1DF99C73C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EC9D32EC-3133-4EC7-93C3-899095342127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42E6A92-E02B-4BBF-B492-E619FC28BF4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4CF0C972-CF48-42C2-BD85-C4E43B67036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768108EF-083D-442F-AEDF-772DB88AD25D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4CC685D9-FF2C-4026-8A28-EB1D8E3DC56C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B24CF195-46CC-408B-ABC9-B33898B23D6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FA1A4C52-6671-4036-8CD8-910D427B02A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F9745F95-DD3A-4728-85F9-F55D8BD46A2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E74B8469-0BEE-4B9C-8ED4-6A1BD19A0B79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A87E6555-21A5-4BA9-80F7-910B4BC51D8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557F8A8-6C36-4616-A6E5-9A8207897F4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36403</xdr:colOff>
      <xdr:row>17</xdr:row>
      <xdr:rowOff>79460</xdr:rowOff>
    </xdr:from>
    <xdr:to>
      <xdr:col>11</xdr:col>
      <xdr:colOff>227153</xdr:colOff>
      <xdr:row>19</xdr:row>
      <xdr:rowOff>40901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DDCDE8D5-6E0F-44DD-B4CF-B6B3E3728F6F}"/>
            </a:ext>
          </a:extLst>
        </xdr:cNvPr>
        <xdr:cNvCxnSpPr>
          <a:cxnSpLocks/>
          <a:stCxn id="215" idx="2"/>
          <a:endCxn id="240" idx="0"/>
        </xdr:cNvCxnSpPr>
      </xdr:nvCxnSpPr>
      <xdr:spPr>
        <a:xfrm flipH="1" flipV="1">
          <a:off x="3774144" y="2687339"/>
          <a:ext cx="190750" cy="26361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235578</xdr:colOff>
      <xdr:row>29</xdr:row>
      <xdr:rowOff>136968</xdr:rowOff>
    </xdr:from>
    <xdr:to>
      <xdr:col>12</xdr:col>
      <xdr:colOff>181984</xdr:colOff>
      <xdr:row>31</xdr:row>
      <xdr:rowOff>113328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D77B64AF-B90B-4DD6-A775-1618BF2906A7}"/>
            </a:ext>
          </a:extLst>
        </xdr:cNvPr>
        <xdr:cNvCxnSpPr/>
      </xdr:nvCxnSpPr>
      <xdr:spPr>
        <a:xfrm flipH="1">
          <a:off x="2073343" y="4686556"/>
          <a:ext cx="2232406" cy="278919"/>
        </a:xfrm>
        <a:prstGeom prst="line">
          <a:avLst/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252401</xdr:colOff>
      <xdr:row>10</xdr:row>
      <xdr:rowOff>10978</xdr:rowOff>
    </xdr:from>
    <xdr:to>
      <xdr:col>11</xdr:col>
      <xdr:colOff>252401</xdr:colOff>
      <xdr:row>33</xdr:row>
      <xdr:rowOff>144744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C15A4883-036F-469D-9EB5-54BF20E2E5D2}"/>
            </a:ext>
          </a:extLst>
        </xdr:cNvPr>
        <xdr:cNvCxnSpPr/>
      </xdr:nvCxnSpPr>
      <xdr:spPr>
        <a:xfrm flipV="1">
          <a:off x="3990142" y="1548116"/>
          <a:ext cx="0" cy="3615318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123369</xdr:colOff>
      <xdr:row>10</xdr:row>
      <xdr:rowOff>7060</xdr:rowOff>
    </xdr:from>
    <xdr:to>
      <xdr:col>12</xdr:col>
      <xdr:colOff>138248</xdr:colOff>
      <xdr:row>33</xdr:row>
      <xdr:rowOff>111481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CD70414F-030C-4295-9412-8F1C31BDA75A}"/>
            </a:ext>
          </a:extLst>
        </xdr:cNvPr>
        <xdr:cNvCxnSpPr/>
      </xdr:nvCxnSpPr>
      <xdr:spPr>
        <a:xfrm flipH="1">
          <a:off x="4247134" y="1575884"/>
          <a:ext cx="14879" cy="370150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67057</xdr:colOff>
      <xdr:row>29</xdr:row>
      <xdr:rowOff>9530</xdr:rowOff>
    </xdr:from>
    <xdr:to>
      <xdr:col>10</xdr:col>
      <xdr:colOff>131430</xdr:colOff>
      <xdr:row>31</xdr:row>
      <xdr:rowOff>73805</xdr:rowOff>
    </xdr:to>
    <xdr:sp macro="" textlink="">
      <xdr:nvSpPr>
        <xdr:cNvPr id="200" name="Arc 199">
          <a:extLst>
            <a:ext uri="{FF2B5EF4-FFF2-40B4-BE49-F238E27FC236}">
              <a16:creationId xmlns:a16="http://schemas.microsoft.com/office/drawing/2014/main" id="{CF12B4BC-2E0B-4BA3-865E-C8F421B65D63}"/>
            </a:ext>
          </a:extLst>
        </xdr:cNvPr>
        <xdr:cNvSpPr/>
      </xdr:nvSpPr>
      <xdr:spPr>
        <a:xfrm rot="21512589">
          <a:off x="3047822" y="4559118"/>
          <a:ext cx="445373" cy="366834"/>
        </a:xfrm>
        <a:prstGeom prst="arc">
          <a:avLst>
            <a:gd name="adj1" fmla="val 16200000"/>
            <a:gd name="adj2" fmla="val 17467"/>
          </a:avLst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 u="sng"/>
        </a:p>
      </xdr:txBody>
    </xdr:sp>
    <xdr:clientData/>
  </xdr:twoCellAnchor>
  <xdr:twoCellAnchor>
    <xdr:from>
      <xdr:col>6</xdr:col>
      <xdr:colOff>56029</xdr:colOff>
      <xdr:row>27</xdr:row>
      <xdr:rowOff>65244</xdr:rowOff>
    </xdr:from>
    <xdr:to>
      <xdr:col>9</xdr:col>
      <xdr:colOff>245800</xdr:colOff>
      <xdr:row>31</xdr:row>
      <xdr:rowOff>103089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26BCE26B-4CEF-4FD1-8C8B-D1055C304C1D}"/>
            </a:ext>
          </a:extLst>
        </xdr:cNvPr>
        <xdr:cNvCxnSpPr/>
      </xdr:nvCxnSpPr>
      <xdr:spPr>
        <a:xfrm rot="1226917" flipH="1">
          <a:off x="1893794" y="4301068"/>
          <a:ext cx="1332771" cy="654168"/>
        </a:xfrm>
        <a:prstGeom prst="line">
          <a:avLst/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47765</xdr:colOff>
      <xdr:row>15</xdr:row>
      <xdr:rowOff>123703</xdr:rowOff>
    </xdr:from>
    <xdr:to>
      <xdr:col>13</xdr:col>
      <xdr:colOff>256342</xdr:colOff>
      <xdr:row>20</xdr:row>
      <xdr:rowOff>111672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EA6319A8-F4CC-4A9C-989D-50732BA5FD9E}"/>
            </a:ext>
          </a:extLst>
        </xdr:cNvPr>
        <xdr:cNvSpPr txBox="1"/>
      </xdr:nvSpPr>
      <xdr:spPr>
        <a:xfrm>
          <a:off x="4166506" y="2429410"/>
          <a:ext cx="589577" cy="7434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SYG05-32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8</xdr:col>
      <xdr:colOff>27148</xdr:colOff>
      <xdr:row>31</xdr:row>
      <xdr:rowOff>143244</xdr:rowOff>
    </xdr:from>
    <xdr:to>
      <xdr:col>9</xdr:col>
      <xdr:colOff>284660</xdr:colOff>
      <xdr:row>35</xdr:row>
      <xdr:rowOff>102576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88EF708C-B88F-429A-8EC2-A41A92EF7070}"/>
            </a:ext>
          </a:extLst>
        </xdr:cNvPr>
        <xdr:cNvSpPr txBox="1"/>
      </xdr:nvSpPr>
      <xdr:spPr>
        <a:xfrm>
          <a:off x="2620879" y="4927725"/>
          <a:ext cx="638512" cy="57479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C12-350 DAN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CA5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9</xdr:col>
      <xdr:colOff>309341</xdr:colOff>
      <xdr:row>13</xdr:row>
      <xdr:rowOff>17051</xdr:rowOff>
    </xdr:from>
    <xdr:to>
      <xdr:col>11</xdr:col>
      <xdr:colOff>109588</xdr:colOff>
      <xdr:row>16</xdr:row>
      <xdr:rowOff>79080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64C76258-D93E-47C8-A98B-42335C5C844D}"/>
            </a:ext>
          </a:extLst>
        </xdr:cNvPr>
        <xdr:cNvSpPr txBox="1"/>
      </xdr:nvSpPr>
      <xdr:spPr>
        <a:xfrm>
          <a:off x="3285082" y="2020585"/>
          <a:ext cx="562247" cy="51528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11</xdr:col>
      <xdr:colOff>238878</xdr:colOff>
      <xdr:row>26</xdr:row>
      <xdr:rowOff>95685</xdr:rowOff>
    </xdr:from>
    <xdr:to>
      <xdr:col>11</xdr:col>
      <xdr:colOff>349396</xdr:colOff>
      <xdr:row>27</xdr:row>
      <xdr:rowOff>50672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AD2D6225-7422-41B4-BAE3-79DFD5BA7492}"/>
            </a:ext>
          </a:extLst>
        </xdr:cNvPr>
        <xdr:cNvGrpSpPr/>
      </xdr:nvGrpSpPr>
      <xdr:grpSpPr>
        <a:xfrm>
          <a:off x="3982617" y="4021642"/>
          <a:ext cx="110518" cy="1040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7" name="Oval 206">
            <a:extLst>
              <a:ext uri="{FF2B5EF4-FFF2-40B4-BE49-F238E27FC236}">
                <a16:creationId xmlns:a16="http://schemas.microsoft.com/office/drawing/2014/main" id="{352CDD8F-18A0-430A-82EB-D7A0C9B36F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F78DFC67-7935-4A1C-8507-8F42000D8FC3}"/>
              </a:ext>
            </a:extLst>
          </xdr:cNvPr>
          <xdr:cNvCxnSpPr>
            <a:stCxn id="207" idx="1"/>
            <a:endCxn id="2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5024AE6E-DAF1-436C-BCD0-044073074F6D}"/>
              </a:ext>
            </a:extLst>
          </xdr:cNvPr>
          <xdr:cNvCxnSpPr>
            <a:stCxn id="207" idx="3"/>
            <a:endCxn id="2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238878</xdr:colOff>
      <xdr:row>22</xdr:row>
      <xdr:rowOff>55015</xdr:rowOff>
    </xdr:from>
    <xdr:to>
      <xdr:col>11</xdr:col>
      <xdr:colOff>349396</xdr:colOff>
      <xdr:row>23</xdr:row>
      <xdr:rowOff>16614</xdr:rowOff>
    </xdr:to>
    <xdr:grpSp>
      <xdr:nvGrpSpPr>
        <xdr:cNvPr id="210" name="Group 209">
          <a:extLst>
            <a:ext uri="{FF2B5EF4-FFF2-40B4-BE49-F238E27FC236}">
              <a16:creationId xmlns:a16="http://schemas.microsoft.com/office/drawing/2014/main" id="{135E77CA-D697-4D09-B4BC-66C12CFAB4D3}"/>
            </a:ext>
          </a:extLst>
        </xdr:cNvPr>
        <xdr:cNvGrpSpPr/>
      </xdr:nvGrpSpPr>
      <xdr:grpSpPr>
        <a:xfrm>
          <a:off x="3982617" y="3384624"/>
          <a:ext cx="110518" cy="1106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1" name="Oval 210">
            <a:extLst>
              <a:ext uri="{FF2B5EF4-FFF2-40B4-BE49-F238E27FC236}">
                <a16:creationId xmlns:a16="http://schemas.microsoft.com/office/drawing/2014/main" id="{7F5584FF-41B5-46B0-B6C7-8E9727C412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AAF6AEA6-0FDD-4E7E-A255-323DE2C42ADC}"/>
              </a:ext>
            </a:extLst>
          </xdr:cNvPr>
          <xdr:cNvCxnSpPr>
            <a:stCxn id="211" idx="1"/>
            <a:endCxn id="2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121A32D0-A501-4091-A0AC-4F30D97E8297}"/>
              </a:ext>
            </a:extLst>
          </xdr:cNvPr>
          <xdr:cNvCxnSpPr>
            <a:stCxn id="211" idx="3"/>
            <a:endCxn id="2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227153</xdr:colOff>
      <xdr:row>18</xdr:row>
      <xdr:rowOff>138950</xdr:rowOff>
    </xdr:from>
    <xdr:to>
      <xdr:col>11</xdr:col>
      <xdr:colOff>337671</xdr:colOff>
      <xdr:row>19</xdr:row>
      <xdr:rowOff>93937</xdr:rowOff>
    </xdr:to>
    <xdr:grpSp>
      <xdr:nvGrpSpPr>
        <xdr:cNvPr id="214" name="Group 213">
          <a:extLst>
            <a:ext uri="{FF2B5EF4-FFF2-40B4-BE49-F238E27FC236}">
              <a16:creationId xmlns:a16="http://schemas.microsoft.com/office/drawing/2014/main" id="{E1195F7C-64CD-4976-9350-F9C721262BA7}"/>
            </a:ext>
          </a:extLst>
        </xdr:cNvPr>
        <xdr:cNvGrpSpPr/>
      </xdr:nvGrpSpPr>
      <xdr:grpSpPr>
        <a:xfrm>
          <a:off x="3970892" y="2872211"/>
          <a:ext cx="110518" cy="104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89BC831D-B542-4D26-88C3-BF35890F243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42F463AF-788A-403E-BC09-8501D1361761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AD1DE3C2-08D2-4578-AAC9-75DD3B3E7AEB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221291</xdr:colOff>
      <xdr:row>15</xdr:row>
      <xdr:rowOff>66002</xdr:rowOff>
    </xdr:from>
    <xdr:to>
      <xdr:col>11</xdr:col>
      <xdr:colOff>331809</xdr:colOff>
      <xdr:row>16</xdr:row>
      <xdr:rowOff>20989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6F6BED5B-518E-407C-8C24-79A5031CDC82}"/>
            </a:ext>
          </a:extLst>
        </xdr:cNvPr>
        <xdr:cNvGrpSpPr/>
      </xdr:nvGrpSpPr>
      <xdr:grpSpPr>
        <a:xfrm>
          <a:off x="3965030" y="2352002"/>
          <a:ext cx="110518" cy="104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9" name="Oval 218">
            <a:extLst>
              <a:ext uri="{FF2B5EF4-FFF2-40B4-BE49-F238E27FC236}">
                <a16:creationId xmlns:a16="http://schemas.microsoft.com/office/drawing/2014/main" id="{45B78114-24DD-4D87-9AAF-84C1B48E171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87F30B01-F81D-4A21-BA09-D74D2D823CE9}"/>
              </a:ext>
            </a:extLst>
          </xdr:cNvPr>
          <xdr:cNvCxnSpPr>
            <a:stCxn id="219" idx="1"/>
            <a:endCxn id="2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8A9CAA1E-02F0-4FE2-8247-6ED268499380}"/>
              </a:ext>
            </a:extLst>
          </xdr:cNvPr>
          <xdr:cNvCxnSpPr>
            <a:stCxn id="219" idx="3"/>
            <a:endCxn id="2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221291</xdr:colOff>
      <xdr:row>10</xdr:row>
      <xdr:rowOff>100901</xdr:rowOff>
    </xdr:from>
    <xdr:to>
      <xdr:col>11</xdr:col>
      <xdr:colOff>331809</xdr:colOff>
      <xdr:row>11</xdr:row>
      <xdr:rowOff>55889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5D3A91C0-70CB-4133-B7EF-6D9A17141959}"/>
            </a:ext>
          </a:extLst>
        </xdr:cNvPr>
        <xdr:cNvGrpSpPr/>
      </xdr:nvGrpSpPr>
      <xdr:grpSpPr>
        <a:xfrm>
          <a:off x="3965030" y="1624901"/>
          <a:ext cx="110518" cy="104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3" name="Oval 222">
            <a:extLst>
              <a:ext uri="{FF2B5EF4-FFF2-40B4-BE49-F238E27FC236}">
                <a16:creationId xmlns:a16="http://schemas.microsoft.com/office/drawing/2014/main" id="{C6CD76F6-783D-4BE9-B0D4-6C975B9EA31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ABF31E22-B418-4521-B984-A5064DAC7FC9}"/>
              </a:ext>
            </a:extLst>
          </xdr:cNvPr>
          <xdr:cNvCxnSpPr>
            <a:stCxn id="223" idx="1"/>
            <a:endCxn id="2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90E0C338-171F-4949-B69E-DAE756D1C269}"/>
              </a:ext>
            </a:extLst>
          </xdr:cNvPr>
          <xdr:cNvCxnSpPr>
            <a:stCxn id="223" idx="3"/>
            <a:endCxn id="2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198931</xdr:colOff>
      <xdr:row>31</xdr:row>
      <xdr:rowOff>68821</xdr:rowOff>
    </xdr:from>
    <xdr:to>
      <xdr:col>10</xdr:col>
      <xdr:colOff>310119</xdr:colOff>
      <xdr:row>32</xdr:row>
      <xdr:rowOff>23809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18DB6730-E86C-4E7F-B2C9-F12F5B6BAA1F}"/>
            </a:ext>
          </a:extLst>
        </xdr:cNvPr>
        <xdr:cNvGrpSpPr/>
      </xdr:nvGrpSpPr>
      <xdr:grpSpPr>
        <a:xfrm>
          <a:off x="3561670" y="4731930"/>
          <a:ext cx="111188" cy="104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7" name="Oval 226">
            <a:extLst>
              <a:ext uri="{FF2B5EF4-FFF2-40B4-BE49-F238E27FC236}">
                <a16:creationId xmlns:a16="http://schemas.microsoft.com/office/drawing/2014/main" id="{AF5C5C7B-8885-4C49-A39A-C0460273E2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4249834D-92E9-407B-8E4E-F3B2B5422380}"/>
              </a:ext>
            </a:extLst>
          </xdr:cNvPr>
          <xdr:cNvCxnSpPr>
            <a:stCxn id="227" idx="1"/>
            <a:endCxn id="2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F49952DD-018E-489D-A8BF-1E8EF149DC0F}"/>
              </a:ext>
            </a:extLst>
          </xdr:cNvPr>
          <xdr:cNvCxnSpPr>
            <a:stCxn id="227" idx="3"/>
            <a:endCxn id="2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291069</xdr:colOff>
      <xdr:row>31</xdr:row>
      <xdr:rowOff>56046</xdr:rowOff>
    </xdr:from>
    <xdr:to>
      <xdr:col>11</xdr:col>
      <xdr:colOff>249201</xdr:colOff>
      <xdr:row>31</xdr:row>
      <xdr:rowOff>93076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04340386-B73A-4176-8ACF-460E314D4F9B}"/>
            </a:ext>
          </a:extLst>
        </xdr:cNvPr>
        <xdr:cNvCxnSpPr>
          <a:endCxn id="248" idx="1"/>
        </xdr:cNvCxnSpPr>
      </xdr:nvCxnSpPr>
      <xdr:spPr>
        <a:xfrm flipV="1">
          <a:off x="3652834" y="4908193"/>
          <a:ext cx="339132" cy="37030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25803</xdr:colOff>
      <xdr:row>32</xdr:row>
      <xdr:rowOff>49064</xdr:rowOff>
    </xdr:from>
    <xdr:to>
      <xdr:col>10</xdr:col>
      <xdr:colOff>175575</xdr:colOff>
      <xdr:row>33</xdr:row>
      <xdr:rowOff>29511</xdr:rowOff>
    </xdr:to>
    <xdr:sp macro="" textlink="">
      <xdr:nvSpPr>
        <xdr:cNvPr id="231" name="Isosceles Triangle 230">
          <a:extLst>
            <a:ext uri="{FF2B5EF4-FFF2-40B4-BE49-F238E27FC236}">
              <a16:creationId xmlns:a16="http://schemas.microsoft.com/office/drawing/2014/main" id="{294AFACB-1010-4677-B7F5-40CB4402DE9F}"/>
            </a:ext>
          </a:extLst>
        </xdr:cNvPr>
        <xdr:cNvSpPr/>
      </xdr:nvSpPr>
      <xdr:spPr>
        <a:xfrm>
          <a:off x="3387568" y="5058093"/>
          <a:ext cx="149772" cy="13733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111673</xdr:colOff>
      <xdr:row>25</xdr:row>
      <xdr:rowOff>116064</xdr:rowOff>
    </xdr:from>
    <xdr:to>
      <xdr:col>11</xdr:col>
      <xdr:colOff>193955</xdr:colOff>
      <xdr:row>28</xdr:row>
      <xdr:rowOff>139210</xdr:rowOff>
    </xdr:to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0BE8C2DA-40E8-4736-841E-9F685CA8547E}"/>
            </a:ext>
          </a:extLst>
        </xdr:cNvPr>
        <xdr:cNvSpPr txBox="1"/>
      </xdr:nvSpPr>
      <xdr:spPr>
        <a:xfrm>
          <a:off x="3468414" y="3932633"/>
          <a:ext cx="463282" cy="4764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12</xdr:col>
      <xdr:colOff>16227</xdr:colOff>
      <xdr:row>8</xdr:row>
      <xdr:rowOff>139212</xdr:rowOff>
    </xdr:from>
    <xdr:to>
      <xdr:col>13</xdr:col>
      <xdr:colOff>197887</xdr:colOff>
      <xdr:row>11</xdr:row>
      <xdr:rowOff>118516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6B67F536-7096-49D5-B71E-06A5B77EBEE2}"/>
            </a:ext>
          </a:extLst>
        </xdr:cNvPr>
        <xdr:cNvSpPr txBox="1"/>
      </xdr:nvSpPr>
      <xdr:spPr>
        <a:xfrm>
          <a:off x="4133958" y="1384789"/>
          <a:ext cx="562660" cy="4409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12</xdr:col>
      <xdr:colOff>70250</xdr:colOff>
      <xdr:row>31</xdr:row>
      <xdr:rowOff>13078</xdr:rowOff>
    </xdr:from>
    <xdr:to>
      <xdr:col>13</xdr:col>
      <xdr:colOff>183932</xdr:colOff>
      <xdr:row>33</xdr:row>
      <xdr:rowOff>144517</xdr:rowOff>
    </xdr:to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AB10357-6E7C-40D1-AFCF-9DA8BC76DE04}"/>
            </a:ext>
          </a:extLst>
        </xdr:cNvPr>
        <xdr:cNvSpPr txBox="1"/>
      </xdr:nvSpPr>
      <xdr:spPr>
        <a:xfrm>
          <a:off x="4188991" y="4729595"/>
          <a:ext cx="494682" cy="43361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CC1-N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10</xdr:col>
      <xdr:colOff>100975</xdr:colOff>
      <xdr:row>16</xdr:row>
      <xdr:rowOff>18725</xdr:rowOff>
    </xdr:from>
    <xdr:to>
      <xdr:col>11</xdr:col>
      <xdr:colOff>36403</xdr:colOff>
      <xdr:row>18</xdr:row>
      <xdr:rowOff>140191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D10A831-4047-4E5B-AEFA-DB525FFA36A5}"/>
            </a:ext>
          </a:extLst>
        </xdr:cNvPr>
        <xdr:cNvSpPr txBox="1"/>
      </xdr:nvSpPr>
      <xdr:spPr>
        <a:xfrm rot="5400000">
          <a:off x="3404110" y="2529124"/>
          <a:ext cx="423639" cy="3164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POMPA</a:t>
          </a:r>
          <a:endParaRPr lang="en-US" sz="2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233016</xdr:colOff>
      <xdr:row>31</xdr:row>
      <xdr:rowOff>39178</xdr:rowOff>
    </xdr:from>
    <xdr:to>
      <xdr:col>11</xdr:col>
      <xdr:colOff>343534</xdr:colOff>
      <xdr:row>31</xdr:row>
      <xdr:rowOff>151048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606AD011-BA69-49C2-9D9D-9A350C4F96C9}"/>
            </a:ext>
          </a:extLst>
        </xdr:cNvPr>
        <xdr:cNvGrpSpPr/>
      </xdr:nvGrpSpPr>
      <xdr:grpSpPr>
        <a:xfrm>
          <a:off x="3976755" y="4702287"/>
          <a:ext cx="110518" cy="1118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8" name="Oval 247">
            <a:extLst>
              <a:ext uri="{FF2B5EF4-FFF2-40B4-BE49-F238E27FC236}">
                <a16:creationId xmlns:a16="http://schemas.microsoft.com/office/drawing/2014/main" id="{BBCE038E-9190-4548-9224-83AFB6776A6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D922B0A8-B28E-43AE-90F1-FBA897E4F1DA}"/>
              </a:ext>
            </a:extLst>
          </xdr:cNvPr>
          <xdr:cNvCxnSpPr>
            <a:stCxn id="248" idx="1"/>
            <a:endCxn id="2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0881105A-6650-4FDD-9376-414DF71BA83E}"/>
              </a:ext>
            </a:extLst>
          </xdr:cNvPr>
          <xdr:cNvCxnSpPr>
            <a:stCxn id="248" idx="3"/>
            <a:endCxn id="2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11</xdr:col>
      <xdr:colOff>285749</xdr:colOff>
      <xdr:row>40</xdr:row>
      <xdr:rowOff>106007</xdr:rowOff>
    </xdr:from>
    <xdr:to>
      <xdr:col>21</xdr:col>
      <xdr:colOff>260661</xdr:colOff>
      <xdr:row>54</xdr:row>
      <xdr:rowOff>51644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7292FA-BBA6-431F-AF9F-2721F3E82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4312" y="5940070"/>
          <a:ext cx="3784912" cy="2088762"/>
        </a:xfrm>
        <a:prstGeom prst="rect">
          <a:avLst/>
        </a:prstGeom>
      </xdr:spPr>
    </xdr:pic>
    <xdr:clientData/>
  </xdr:twoCellAnchor>
  <xdr:twoCellAnchor>
    <xdr:from>
      <xdr:col>11</xdr:col>
      <xdr:colOff>337671</xdr:colOff>
      <xdr:row>19</xdr:row>
      <xdr:rowOff>40901</xdr:rowOff>
    </xdr:from>
    <xdr:to>
      <xdr:col>11</xdr:col>
      <xdr:colOff>343534</xdr:colOff>
      <xdr:row>31</xdr:row>
      <xdr:rowOff>95113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CC1A6E9F-2DFB-4E33-A6CA-5455B0F9934A}"/>
            </a:ext>
          </a:extLst>
        </xdr:cNvPr>
        <xdr:cNvCxnSpPr>
          <a:stCxn id="248" idx="6"/>
          <a:endCxn id="215" idx="6"/>
        </xdr:cNvCxnSpPr>
      </xdr:nvCxnSpPr>
      <xdr:spPr>
        <a:xfrm flipH="1" flipV="1">
          <a:off x="4075412" y="2950953"/>
          <a:ext cx="5863" cy="186067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229914</xdr:colOff>
      <xdr:row>20</xdr:row>
      <xdr:rowOff>13137</xdr:rowOff>
    </xdr:from>
    <xdr:to>
      <xdr:col>12</xdr:col>
      <xdr:colOff>99330</xdr:colOff>
      <xdr:row>22</xdr:row>
      <xdr:rowOff>116165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EEDAE1D-8256-4463-9457-73CBB38659CD}"/>
            </a:ext>
          </a:extLst>
        </xdr:cNvPr>
        <xdr:cNvSpPr txBox="1"/>
      </xdr:nvSpPr>
      <xdr:spPr>
        <a:xfrm rot="16200000">
          <a:off x="3890263" y="3151667"/>
          <a:ext cx="405200" cy="250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243052</xdr:colOff>
      <xdr:row>23</xdr:row>
      <xdr:rowOff>105103</xdr:rowOff>
    </xdr:from>
    <xdr:to>
      <xdr:col>12</xdr:col>
      <xdr:colOff>112468</xdr:colOff>
      <xdr:row>26</xdr:row>
      <xdr:rowOff>57045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DA0B40A-F3A1-40D4-A539-1A4E90BD49F4}"/>
            </a:ext>
          </a:extLst>
        </xdr:cNvPr>
        <xdr:cNvSpPr txBox="1"/>
      </xdr:nvSpPr>
      <xdr:spPr>
        <a:xfrm rot="16200000">
          <a:off x="3903401" y="3696892"/>
          <a:ext cx="405200" cy="250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243052</xdr:colOff>
      <xdr:row>28</xdr:row>
      <xdr:rowOff>0</xdr:rowOff>
    </xdr:from>
    <xdr:to>
      <xdr:col>12</xdr:col>
      <xdr:colOff>112468</xdr:colOff>
      <xdr:row>30</xdr:row>
      <xdr:rowOff>109597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7561746-667D-436E-BA6C-96873713880E}"/>
            </a:ext>
          </a:extLst>
        </xdr:cNvPr>
        <xdr:cNvSpPr txBox="1"/>
      </xdr:nvSpPr>
      <xdr:spPr>
        <a:xfrm rot="16200000">
          <a:off x="3903401" y="4347220"/>
          <a:ext cx="405200" cy="250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12</xdr:col>
      <xdr:colOff>72258</xdr:colOff>
      <xdr:row>21</xdr:row>
      <xdr:rowOff>85397</xdr:rowOff>
    </xdr:from>
    <xdr:to>
      <xdr:col>13</xdr:col>
      <xdr:colOff>154540</xdr:colOff>
      <xdr:row>24</xdr:row>
      <xdr:rowOff>108543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88C36C5-192E-4E66-AC67-E4127E4208F3}"/>
            </a:ext>
          </a:extLst>
        </xdr:cNvPr>
        <xdr:cNvSpPr txBox="1"/>
      </xdr:nvSpPr>
      <xdr:spPr>
        <a:xfrm>
          <a:off x="4190999" y="3297621"/>
          <a:ext cx="463282" cy="4764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11</xdr:col>
      <xdr:colOff>275899</xdr:colOff>
      <xdr:row>20</xdr:row>
      <xdr:rowOff>78828</xdr:rowOff>
    </xdr:from>
    <xdr:to>
      <xdr:col>11</xdr:col>
      <xdr:colOff>374433</xdr:colOff>
      <xdr:row>21</xdr:row>
      <xdr:rowOff>118242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2C1AE4C3-E59F-9F44-34C8-093ED1E4C1D2}"/>
            </a:ext>
          </a:extLst>
        </xdr:cNvPr>
        <xdr:cNvGrpSpPr/>
      </xdr:nvGrpSpPr>
      <xdr:grpSpPr>
        <a:xfrm>
          <a:off x="4019638" y="3110263"/>
          <a:ext cx="98534" cy="188501"/>
          <a:chOff x="2161190" y="2910052"/>
          <a:chExt cx="270891" cy="263614"/>
        </a:xfrm>
      </xdr:grpSpPr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F54CCB63-C944-4ED2-8CE9-9BEB443A93A8}"/>
              </a:ext>
            </a:extLst>
          </xdr:cNvPr>
          <xdr:cNvCxnSpPr>
            <a:cxnSpLocks/>
          </xdr:cNvCxnSpPr>
        </xdr:nvCxnSpPr>
        <xdr:spPr>
          <a:xfrm flipH="1" flipV="1">
            <a:off x="2213741" y="2910052"/>
            <a:ext cx="190750" cy="263614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8A7F3AED-22E0-4D55-8DBC-1F7CE010AAF7}"/>
              </a:ext>
            </a:extLst>
          </xdr:cNvPr>
          <xdr:cNvCxnSpPr>
            <a:cxnSpLocks/>
          </xdr:cNvCxnSpPr>
        </xdr:nvCxnSpPr>
        <xdr:spPr>
          <a:xfrm flipH="1">
            <a:off x="2161190" y="2958204"/>
            <a:ext cx="270891" cy="201468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282465</xdr:colOff>
      <xdr:row>24</xdr:row>
      <xdr:rowOff>124810</xdr:rowOff>
    </xdr:from>
    <xdr:to>
      <xdr:col>11</xdr:col>
      <xdr:colOff>380999</xdr:colOff>
      <xdr:row>26</xdr:row>
      <xdr:rowOff>13138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6BB0D48B-2A8D-482F-8024-9CE6E884CD41}"/>
            </a:ext>
          </a:extLst>
        </xdr:cNvPr>
        <xdr:cNvGrpSpPr/>
      </xdr:nvGrpSpPr>
      <xdr:grpSpPr>
        <a:xfrm>
          <a:off x="4026204" y="3752593"/>
          <a:ext cx="98534" cy="186502"/>
          <a:chOff x="2161190" y="2910052"/>
          <a:chExt cx="270891" cy="263614"/>
        </a:xfrm>
      </xdr:grpSpPr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A223FCC0-2D4A-E50E-3B0C-BC109FD5DD43}"/>
              </a:ext>
            </a:extLst>
          </xdr:cNvPr>
          <xdr:cNvCxnSpPr>
            <a:cxnSpLocks/>
          </xdr:cNvCxnSpPr>
        </xdr:nvCxnSpPr>
        <xdr:spPr>
          <a:xfrm flipH="1" flipV="1">
            <a:off x="2213741" y="2910052"/>
            <a:ext cx="190750" cy="263614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155A2C38-A9AB-31C6-3671-C1FBB6EC9E12}"/>
              </a:ext>
            </a:extLst>
          </xdr:cNvPr>
          <xdr:cNvCxnSpPr>
            <a:cxnSpLocks/>
          </xdr:cNvCxnSpPr>
        </xdr:nvCxnSpPr>
        <xdr:spPr>
          <a:xfrm flipH="1">
            <a:off x="2161190" y="2958204"/>
            <a:ext cx="270891" cy="201468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289034</xdr:colOff>
      <xdr:row>27</xdr:row>
      <xdr:rowOff>131380</xdr:rowOff>
    </xdr:from>
    <xdr:to>
      <xdr:col>12</xdr:col>
      <xdr:colOff>6568</xdr:colOff>
      <xdr:row>29</xdr:row>
      <xdr:rowOff>19707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784C85BC-11D7-4446-A1B4-E42F6ABE0D2D}"/>
            </a:ext>
          </a:extLst>
        </xdr:cNvPr>
        <xdr:cNvGrpSpPr/>
      </xdr:nvGrpSpPr>
      <xdr:grpSpPr>
        <a:xfrm>
          <a:off x="4032773" y="4206423"/>
          <a:ext cx="98534" cy="186501"/>
          <a:chOff x="2161190" y="2910052"/>
          <a:chExt cx="270891" cy="263614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D7F461FF-C95A-EF12-4DCB-CD061EEC29C8}"/>
              </a:ext>
            </a:extLst>
          </xdr:cNvPr>
          <xdr:cNvCxnSpPr>
            <a:cxnSpLocks/>
          </xdr:cNvCxnSpPr>
        </xdr:nvCxnSpPr>
        <xdr:spPr>
          <a:xfrm flipH="1" flipV="1">
            <a:off x="2213741" y="2910052"/>
            <a:ext cx="190750" cy="263614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64E8ED85-39E7-3958-CBD7-BC0FB1AA346B}"/>
              </a:ext>
            </a:extLst>
          </xdr:cNvPr>
          <xdr:cNvCxnSpPr>
            <a:cxnSpLocks/>
          </xdr:cNvCxnSpPr>
        </xdr:nvCxnSpPr>
        <xdr:spPr>
          <a:xfrm flipH="1">
            <a:off x="2161190" y="2958204"/>
            <a:ext cx="270891" cy="201468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17</xdr:row>
      <xdr:rowOff>38100</xdr:rowOff>
    </xdr:from>
    <xdr:to>
      <xdr:col>21</xdr:col>
      <xdr:colOff>152400</xdr:colOff>
      <xdr:row>53</xdr:row>
      <xdr:rowOff>112415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A64F0-13E0-41C3-834D-20CAC983D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2667000"/>
          <a:ext cx="8991600" cy="5560715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155864</xdr:colOff>
      <xdr:row>18</xdr:row>
      <xdr:rowOff>34636</xdr:rowOff>
    </xdr:from>
    <xdr:to>
      <xdr:col>13</xdr:col>
      <xdr:colOff>363682</xdr:colOff>
      <xdr:row>18</xdr:row>
      <xdr:rowOff>34636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6719455" y="2805545"/>
          <a:ext cx="20781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17</xdr:row>
      <xdr:rowOff>103909</xdr:rowOff>
    </xdr:from>
    <xdr:to>
      <xdr:col>13</xdr:col>
      <xdr:colOff>190499</xdr:colOff>
      <xdr:row>19</xdr:row>
      <xdr:rowOff>34635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6494318" y="2718954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goo.gl/maps/MxXpoCT4nTUC1wo48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1134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1135</v>
      </c>
      <c r="G7" s="530" t="s">
        <v>41</v>
      </c>
      <c r="H7" s="526" t="s">
        <v>1042</v>
      </c>
      <c r="I7" s="526" t="s">
        <v>1137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33 kVA MCCB 50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50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42757200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3</v>
      </c>
      <c r="G14" s="41">
        <f ca="1">IF(ISERROR(OFFSET('HARGA SATUAN'!$I$6,MATCH(C14,'HARGA SATUAN'!$C$7:$C$1492,0),0)),"",OFFSET('HARGA SATUAN'!$I$6,MATCH(C14,'HARGA SATUAN'!$C$7:$C$1492,0),0))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9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KWH MPB; 3P; 4W; 230/400 V; 5(80) A; Class 1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38">
        <f t="shared" ca="1" si="2"/>
        <v>1</v>
      </c>
      <c r="G18" s="41">
        <f ca="1">IF(ISERROR(OFFSET('HARGA SATUAN'!$I$6,MATCH(C18,'HARGA SATUAN'!$C$7:$C$1492,0),0)),"",OFFSET('HARGA SATUAN'!$I$6,MATCH(C18,'HARGA SATUAN'!$C$7:$C$1492,0),0))</f>
        <v>1719200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SUMIFS(RAB!$F$14:$F$84,RAB!$C$14:$C$84,C714)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SUMIFS(RAB!$F$14:$F$84,RAB!$C$14:$C$84,C715)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SUMIFS(RAB!$F$14:$F$84,RAB!$C$14:$C$84,C716)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SUMIFS(RAB!$F$14:$F$84,RAB!$C$14:$C$84,C717)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SUMIFS(RAB!$F$14:$F$84,RAB!$C$14:$C$84,C718)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SUMIFS(RAB!$F$14:$F$84,RAB!$C$14:$C$84,C719)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SUMIFS(RAB!$F$14:$F$84,RAB!$C$14:$C$84,C720)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SUMIFS(RAB!$F$14:$F$84,RAB!$C$14:$C$84,C721)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SUMIFS(RAB!$F$14:$F$84,RAB!$C$14:$C$84,C722)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SUMIFS(RAB!$F$14:$F$84,RAB!$C$14:$C$84,C723)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SUMIFS(RAB!$F$14:$F$84,RAB!$C$14:$C$84,C724)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SUMIFS(RAB!$F$14:$F$84,RAB!$C$14:$C$84,C725)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SUMIFS(RAB!$F$14:$F$84,RAB!$C$14:$C$84,C726)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SUMIFS(RAB!$F$14:$F$84,RAB!$C$14:$C$84,C727)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SUMIFS(RAB!$F$14:$F$84,RAB!$C$14:$C$84,C728)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SUMIFS(RAB!$F$14:$F$84,RAB!$C$14:$C$84,C729)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SUMIFS(RAB!$F$14:$F$84,RAB!$C$14:$C$84,C730)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SUMIFS(RAB!$F$14:$F$84,RAB!$C$14:$C$84,C731)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SUMIFS(RAB!$F$14:$F$84,RAB!$C$14:$C$84,C732)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SUMIFS(RAB!$F$14:$F$84,RAB!$C$14:$C$84,C733)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SUMIFS(RAB!$F$14:$F$84,RAB!$C$14:$C$84,C734)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SUMIFS(RAB!$F$14:$F$84,RAB!$C$14:$C$84,C735)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SUMIFS(RAB!$F$14:$F$84,RAB!$C$14:$C$84,C736)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SUMIFS(RAB!$F$14:$F$84,RAB!$C$14:$C$84,C737)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SUMIFS(RAB!$F$14:$F$84,RAB!$C$14:$C$84,C738)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SUMIFS(RAB!$F$14:$F$84,RAB!$C$14:$C$84,C739)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SUMIFS(RAB!$F$14:$F$84,RAB!$C$14:$C$84,C740)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SUMIFS(RAB!$F$14:$F$84,RAB!$C$14:$C$84,C741)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SUMIFS(RAB!$F$14:$F$84,RAB!$C$14:$C$84,C742)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SUMIFS(RAB!$F$14:$F$84,RAB!$C$14:$C$84,C743)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SUMIFS(RAB!$F$14:$F$84,RAB!$C$14:$C$84,C744)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SUMIFS(RAB!$F$14:$F$84,RAB!$C$14:$C$84,C745)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SUMIFS(RAB!$F$14:$F$84,RAB!$C$14:$C$84,C746)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SUMIFS(RAB!$F$14:$F$84,RAB!$C$14:$C$84,C747)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SUMIFS(RAB!$F$14:$F$84,RAB!$C$14:$C$84,C748)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SUMIFS(RAB!$F$14:$F$84,RAB!$C$14:$C$84,C749)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SUMIFS(RAB!$F$14:$F$84,RAB!$C$14:$C$84,C750)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SUMIFS(RAB!$F$14:$F$84,RAB!$C$14:$C$84,C751)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SUMIFS(RAB!$F$14:$F$84,RAB!$C$14:$C$84,C752)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SUMIFS(RAB!$F$14:$F$84,RAB!$C$14:$C$84,C753)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SUMIFS(RAB!$F$14:$F$84,RAB!$C$14:$C$84,C754)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SUMIFS(RAB!$F$14:$F$84,RAB!$C$14:$C$84,C755)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SUMIFS(RAB!$F$14:$F$84,RAB!$C$14:$C$84,C756)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SUMIFS(RAB!$F$14:$F$84,RAB!$C$14:$C$84,C757)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SUMIFS(RAB!$F$14:$F$84,RAB!$C$14:$C$84,C758)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SUMIFS(RAB!$F$14:$F$84,RAB!$C$14:$C$84,C759)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SUMIFS(RAB!$F$14:$F$84,RAB!$C$14:$C$84,C760)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SUMIFS(RAB!$F$14:$F$84,RAB!$C$14:$C$84,C761)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SUMIFS(RAB!$F$14:$F$84,RAB!$C$14:$C$84,C762)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SUMIFS(RAB!$F$14:$F$84,RAB!$C$14:$C$84,C763)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SUMIFS(RAB!$F$14:$F$84,RAB!$C$14:$C$84,C764)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SUMIFS(RAB!$F$14:$F$84,RAB!$C$14:$C$84,C765)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SUMIFS(RAB!$F$14:$F$84,RAB!$C$14:$C$84,C766)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SUMIFS(RAB!$F$14:$F$84,RAB!$C$14:$C$84,C767)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SUMIFS(RAB!$F$14:$F$84,RAB!$C$14:$C$84,C768)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SUMIFS(RAB!$F$14:$F$84,RAB!$C$14:$C$84,C769)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SUMIFS(RAB!$F$14:$F$84,RAB!$C$14:$C$84,C770)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SUMIFS(RAB!$F$14:$F$84,RAB!$C$14:$C$84,C771)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SUMIFS(RAB!$F$14:$F$84,RAB!$C$14:$C$84,C772)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SUMIFS(RAB!$F$14:$F$84,RAB!$C$14:$C$84,C773)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SUMIFS(RAB!$F$14:$F$84,RAB!$C$14:$C$84,C774)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SUMIFS(RAB!$F$14:$F$84,RAB!$C$14:$C$84,C775)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SUMIFS(RAB!$F$14:$F$84,RAB!$C$14:$C$84,C776)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SUMIFS(RAB!$F$14:$F$84,RAB!$C$14:$C$84,C777)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SUMIFS(RAB!$F$14:$F$84,RAB!$C$14:$C$84,C778)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SUMIFS(RAB!$F$14:$F$84,RAB!$C$14:$C$84,C779)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SUMIFS(RAB!$F$14:$F$84,RAB!$C$14:$C$84,C780)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SUMIFS(RAB!$F$14:$F$84,RAB!$C$14:$C$84,C781)</f>
        <v>1</v>
      </c>
      <c r="E781" s="26">
        <f t="shared" ca="1" si="34"/>
        <v>1</v>
      </c>
      <c r="F781" s="26">
        <f ca="1">IF(D781=0,0,SUM($E$713:E781))</f>
        <v>1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SUMIFS(RAB!$F$14:$F$84,RAB!$C$14:$C$84,C782)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SUMIFS(RAB!$F$14:$F$84,RAB!$C$14:$C$84,C783)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SUMIFS(RAB!$F$14:$F$84,RAB!$C$14:$C$84,C784)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SUMIFS(RAB!$F$14:$F$84,RAB!$C$14:$C$84,C785)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SUMIFS(RAB!$F$14:$F$84,RAB!$C$14:$C$84,C786)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SUMIFS(RAB!$F$14:$F$84,RAB!$C$14:$C$84,C787)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SUMIFS(RAB!$F$14:$F$84,RAB!$C$14:$C$84,C788)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SUMIFS(RAB!$F$14:$F$84,RAB!$C$14:$C$84,C789)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SUMIFS(RAB!$F$14:$F$84,RAB!$C$14:$C$84,C790)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SUMIFS(RAB!$F$14:$F$84,RAB!$C$14:$C$84,C791)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SUMIFS(RAB!$F$14:$F$84,RAB!$C$14:$C$84,C792)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SUMIFS(RAB!$F$14:$F$84,RAB!$C$14:$C$84,C793)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SUMIFS(RAB!$F$14:$F$84,RAB!$C$14:$C$84,C794)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SUMIFS(RAB!$F$14:$F$84,RAB!$C$14:$C$84,C795)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SUMIFS(RAB!$F$14:$F$84,RAB!$C$14:$C$84,C796)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SUMIFS(RAB!$F$14:$F$84,RAB!$C$14:$C$84,C797)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SUMIFS(RAB!$F$14:$F$84,RAB!$C$14:$C$84,C798)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SUMIFS(RAB!$F$14:$F$84,RAB!$C$14:$C$84,C799)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SUMIFS(RAB!$F$14:$F$84,RAB!$C$14:$C$84,C800)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SUMIFS(RAB!$F$14:$F$84,RAB!$C$14:$C$84,C801)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SUMIFS(RAB!$F$14:$F$84,RAB!$C$14:$C$84,C802)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SUMIFS(RAB!$F$14:$F$84,RAB!$C$14:$C$84,C803)</f>
        <v>1</v>
      </c>
      <c r="E803" s="26">
        <f t="shared" ca="1" si="34"/>
        <v>1</v>
      </c>
      <c r="F803" s="26">
        <f ca="1">IF(D803=0,0,SUM($E$713:E803))</f>
        <v>2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SUMIFS(RAB!$F$14:$F$84,RAB!$C$14:$C$84,C804)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SUMIFS(RAB!$F$14:$F$84,RAB!$C$14:$C$84,C805)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SUMIFS(RAB!$F$14:$F$84,RAB!$C$14:$C$84,C806)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SUMIFS(RAB!$F$14:$F$84,RAB!$C$14:$C$84,C807)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SUMIFS(RAB!$F$14:$F$84,RAB!$C$14:$C$84,C808)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SUMIFS(RAB!$F$14:$F$84,RAB!$C$14:$C$84,C809)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SUMIFS(RAB!$F$14:$F$84,RAB!$C$14:$C$84,C810)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SUMIFS(RAB!$F$14:$F$84,RAB!$C$14:$C$84,C811)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SUMIFS(RAB!$F$14:$F$84,RAB!$C$14:$C$84,C812)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SUMIFS(RAB!$F$14:$F$84,RAB!$C$14:$C$84,C813)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SUMIFS(RAB!$F$14:$F$84,RAB!$C$14:$C$84,C814)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SUMIFS(RAB!$F$14:$F$84,RAB!$C$14:$C$84,C815)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SUMIFS(RAB!$F$14:$F$84,RAB!$C$14:$C$84,C816)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SUMIFS(RAB!$F$14:$F$84,RAB!$C$14:$C$84,C817)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SUMIFS(RAB!$F$14:$F$84,RAB!$C$14:$C$84,C818)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SUMIFS(RAB!$F$14:$F$84,RAB!$C$14:$C$84,C819)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SUMIFS(RAB!$F$14:$F$84,RAB!$C$14:$C$84,C820)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SUMIFS(RAB!$F$14:$F$84,RAB!$C$14:$C$84,C821)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SUMIFS(RAB!$F$14:$F$84,RAB!$C$14:$C$84,C822)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SUMIFS(RAB!$F$14:$F$84,RAB!$C$14:$C$84,C823)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SUMIFS(RAB!$F$14:$F$84,RAB!$C$14:$C$84,C824)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SUMIFS(RAB!$F$14:$F$84,RAB!$C$14:$C$84,C825)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SUMIFS(RAB!$F$14:$F$84,RAB!$C$14:$C$84,C826)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SUMIFS(RAB!$F$14:$F$84,RAB!$C$14:$C$84,C827)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SUMIFS(RAB!$F$14:$F$84,RAB!$C$14:$C$84,C828)</f>
        <v>9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SUMIFS(RAB!$F$14:$F$84,RAB!$C$14:$C$84,C829)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SUMIFS(RAB!$F$14:$F$84,RAB!$C$14:$C$84,C830)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SUMIFS(RAB!$F$14:$F$84,RAB!$C$14:$C$84,C831)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SUMIFS(RAB!$F$14:$F$84,RAB!$C$14:$C$84,C832)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SUMIFS(RAB!$F$14:$F$84,RAB!$C$14:$C$84,C833)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SUMIFS(RAB!$F$14:$F$84,RAB!$C$14:$C$84,C834)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SUMIFS(RAB!$F$14:$F$84,RAB!$C$14:$C$84,C835)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SUMIFS(RAB!$F$14:$F$84,RAB!$C$14:$C$84,C836)</f>
        <v>3</v>
      </c>
      <c r="E836" s="26">
        <f t="shared" ca="1" si="34"/>
        <v>1</v>
      </c>
      <c r="F836" s="26">
        <f ca="1">IF(D836=0,0,SUM($E$713:E836))</f>
        <v>6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SUMIFS(RAB!$F$14:$F$84,RAB!$C$14:$C$84,C837)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SUMIFS(RAB!$F$14:$F$84,RAB!$C$14:$C$84,C838)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SUMIFS(RAB!$F$14:$F$84,RAB!$C$14:$C$84,C839)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SUMIFS(RAB!$F$14:$F$84,RAB!$C$14:$C$84,C840)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SUMIFS(RAB!$F$14:$F$84,RAB!$C$14:$C$84,C841)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SUMIFS(RAB!$F$14:$F$84,RAB!$C$14:$C$84,C842)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SUMIFS(RAB!$F$14:$F$84,RAB!$C$14:$C$84,C843)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SUMIFS(RAB!$F$14:$F$84,RAB!$C$14:$C$84,C844)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SUMIFS(RAB!$F$14:$F$84,RAB!$C$14:$C$84,C845)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SUMIFS(RAB!$F$14:$F$84,RAB!$C$14:$C$84,C846)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SUMIFS(RAB!$F$14:$F$84,RAB!$C$14:$C$84,C847)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SUMIFS(RAB!$F$14:$F$84,RAB!$C$14:$C$84,C848)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SUMIFS(RAB!$F$14:$F$84,RAB!$C$14:$C$84,C849)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SUMIFS(RAB!$F$14:$F$84,RAB!$C$14:$C$84,C850)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SUMIFS(RAB!$F$14:$F$84,RAB!$C$14:$C$84,C851)</f>
        <v>1</v>
      </c>
      <c r="E851" s="26">
        <f t="shared" ca="1" si="35"/>
        <v>1</v>
      </c>
      <c r="F851" s="26">
        <f ca="1">IF(D851=0,0,SUM($E$713:E851))</f>
        <v>7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SUMIFS(RAB!$F$14:$F$84,RAB!$C$14:$C$84,C852)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SUMIFS(RAB!$F$14:$F$84,RAB!$C$14:$C$84,C853)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SUMIFS(RAB!$F$14:$F$84,RAB!$C$14:$C$84,C854)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SUMIFS(RAB!$F$14:$F$84,RAB!$C$14:$C$84,C855)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SUMIFS(RAB!$F$14:$F$84,RAB!$C$14:$C$84,C856)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SUMIFS(RAB!$F$14:$F$84,RAB!$C$14:$C$84,C857)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SUMIFS(RAB!$F$14:$F$84,RAB!$C$14:$C$84,C858)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SUMIFS(RAB!$F$14:$F$84,RAB!$C$14:$C$84,C859)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SUMIFS(RAB!$F$14:$F$84,RAB!$C$14:$C$84,C860)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SUMIFS(RAB!$F$14:$F$84,RAB!$C$14:$C$84,C861)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SUMIFS(RAB!$F$14:$F$84,RAB!$C$14:$C$84,C862)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SUMIFS(RAB!$F$14:$F$84,RAB!$C$14:$C$84,C863)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SUMIFS(RAB!$F$14:$F$84,RAB!$C$14:$C$84,C864)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SUMIFS(RAB!$F$14:$F$84,RAB!$C$14:$C$84,C865)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SUMIFS(RAB!$F$14:$F$84,RAB!$C$14:$C$84,C866)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SUMIFS(RAB!$F$14:$F$84,RAB!$C$14:$C$84,C867)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SUMIFS(RAB!$F$14:$F$84,RAB!$C$14:$C$84,C868)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SUMIFS(RAB!$F$14:$F$84,RAB!$C$14:$C$84,C869)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SUMIFS(RAB!$F$14:$F$84,RAB!$C$14:$C$84,C870)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SUMIFS(RAB!$F$14:$F$84,RAB!$C$14:$C$84,C871)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SUMIFS(RAB!$F$14:$F$84,RAB!$C$14:$C$84,C872)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SUMIFS(RAB!$F$14:$F$84,RAB!$C$14:$C$84,C873)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SUMIFS(RAB!$F$14:$F$84,RAB!$C$14:$C$84,C874)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SUMIFS(RAB!$F$14:$F$84,RAB!$C$14:$C$84,C875)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SUMIFS(RAB!$F$14:$F$84,RAB!$C$14:$C$84,C876)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SUMIFS(RAB!$F$14:$F$84,RAB!$C$14:$C$84,C877)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SUMIFS(RAB!$F$14:$F$84,RAB!$C$14:$C$84,C878)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SUMIFS(RAB!$F$14:$F$84,RAB!$C$14:$C$84,C879)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SUMIFS(RAB!$F$14:$F$84,RAB!$C$14:$C$84,C880)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SUMIFS(RAB!$F$14:$F$84,RAB!$C$14:$C$84,C881)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SUMIFS(RAB!$F$14:$F$84,RAB!$C$14:$C$84,C882)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SUMIFS(RAB!$F$14:$F$84,RAB!$C$14:$C$84,C883)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SUMIFS(RAB!$F$14:$F$84,RAB!$C$14:$C$84,C884)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SUMIFS(RAB!$F$14:$F$84,RAB!$C$14:$C$84,C885)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SUMIFS(RAB!$F$14:$F$84,RAB!$C$14:$C$84,C886)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SUMIFS(RAB!$F$14:$F$84,RAB!$C$14:$C$84,C887)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SUMIFS(RAB!$F$14:$F$84,RAB!$C$14:$C$84,C888)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SUMIFS(RAB!$F$14:$F$84,RAB!$C$14:$C$84,C889)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SUMIFS(RAB!$F$14:$F$84,RAB!$C$14:$C$84,C890)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SUMIFS(RAB!$F$14:$F$84,RAB!$C$14:$C$84,C891)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SUMIFS(RAB!$F$14:$F$84,RAB!$C$14:$C$84,C892)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SUMIFS(RAB!$F$14:$F$84,RAB!$C$14:$C$84,C893)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SUMIFS(RAB!$F$14:$F$84,RAB!$C$14:$C$84,C894)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SUMIFS(RAB!$F$14:$F$84,RAB!$C$14:$C$84,C895)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SUMIFS(RAB!$F$14:$F$84,RAB!$C$14:$C$84,C896)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SUMIFS(RAB!$F$14:$F$84,RAB!$C$14:$C$84,C897)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SUMIFS(RAB!$F$14:$F$84,RAB!$C$14:$C$84,C898)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SUMIFS(RAB!$F$14:$F$84,RAB!$C$14:$C$84,C899)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SUMIFS(RAB!$F$14:$F$84,RAB!$C$14:$C$84,C900)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SUMIFS(RAB!$F$14:$F$84,RAB!$C$14:$C$84,C901)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SUMIFS(RAB!$F$14:$F$84,RAB!$C$14:$C$84,C902)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SUMIFS(RAB!$F$14:$F$84,RAB!$C$14:$C$84,C903)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SUMIFS(RAB!$F$14:$F$84,RAB!$C$14:$C$84,C904)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SUMIFS(RAB!$F$14:$F$84,RAB!$C$14:$C$84,C905)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SUMIFS(RAB!$F$14:$F$84,RAB!$C$14:$C$84,C906)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SUMIFS(RAB!$F$14:$F$84,RAB!$C$14:$C$84,C907)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SUMIFS(RAB!$F$14:$F$84,RAB!$C$14:$C$84,C908)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SUMIFS(RAB!$F$14:$F$84,RAB!$C$14:$C$84,C909)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SUMIFS(RAB!$F$14:$F$84,RAB!$C$14:$C$84,C910)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SUMIFS(RAB!$F$14:$F$84,RAB!$C$14:$C$84,C911)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SUMIFS(RAB!$F$14:$F$84,RAB!$C$14:$C$84,C912)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SUMIFS(RAB!$F$14:$F$84,RAB!$C$14:$C$84,C913)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SUMIFS(RAB!$F$14:$F$84,RAB!$C$14:$C$84,C914)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SUMIFS(RAB!$F$14:$F$84,RAB!$C$14:$C$84,C915)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SUMIFS(RAB!$F$14:$F$84,RAB!$C$14:$C$84,C916)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SUMIFS(RAB!$F$14:$F$84,RAB!$C$14:$C$84,C917)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SUMIFS(RAB!$F$14:$F$84,RAB!$C$14:$C$84,C918)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SUMIFS(RAB!$F$14:$F$84,RAB!$C$14:$C$84,C919)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SUMIFS(RAB!$F$14:$F$84,RAB!$C$14:$C$84,C920)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SUMIFS(RAB!$F$14:$F$84,RAB!$C$14:$C$84,C921)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SUMIFS(RAB!$F$14:$F$84,RAB!$C$14:$C$84,C922)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SUMIFS(RAB!$F$14:$F$84,RAB!$C$14:$C$84,C923)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SUMIFS(RAB!$F$14:$F$84,RAB!$C$14:$C$84,C924)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SUMIFS(RAB!$F$14:$F$84,RAB!$C$14:$C$84,C925)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SUMIFS(RAB!$F$14:$F$84,RAB!$C$14:$C$84,C926)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SUMIFS(RAB!$F$14:$F$84,RAB!$C$14:$C$84,C927)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SUMIFS(RAB!$F$14:$F$84,RAB!$C$14:$C$84,C928)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SUMIFS(RAB!$F$14:$F$84,RAB!$C$14:$C$84,C929)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SUMIFS(RAB!$F$14:$F$84,RAB!$C$14:$C$84,C930)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SUMIFS(RAB!$F$14:$F$84,RAB!$C$14:$C$84,C931)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SUMIFS(RAB!$F$14:$F$84,RAB!$C$14:$C$84,C932)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SUMIFS(RAB!$F$14:$F$84,RAB!$C$14:$C$84,C933)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SUMIFS(RAB!$F$14:$F$84,RAB!$C$14:$C$84,C934)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SUMIFS(RAB!$F$14:$F$84,RAB!$C$14:$C$84,C935)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SUMIFS(RAB!$F$14:$F$84,RAB!$C$14:$C$84,C936)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SUMIFS(RAB!$F$14:$F$84,RAB!$C$14:$C$84,C937)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SUMIFS(RAB!$F$14:$F$84,RAB!$C$14:$C$84,C938)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SUMIFS(RAB!$F$14:$F$84,RAB!$C$14:$C$84,C939)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SUMIFS(RAB!$F$14:$F$84,RAB!$C$14:$C$84,C940)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SUMIFS(RAB!$F$14:$F$84,RAB!$C$14:$C$84,C941)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SUMIFS(RAB!$F$14:$F$84,RAB!$C$14:$C$84,C942)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SUMIFS(RAB!$F$14:$F$84,RAB!$C$14:$C$84,C943)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SUMIFS(RAB!$F$14:$F$84,RAB!$C$14:$C$84,C944)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SUMIFS(RAB!$F$14:$F$84,RAB!$C$14:$C$84,C945)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SUMIFS(RAB!$F$14:$F$84,RAB!$C$14:$C$84,C946)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SUMIFS(RAB!$F$14:$F$84,RAB!$C$14:$C$84,C947)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SUMIFS(RAB!$F$14:$F$84,RAB!$C$14:$C$84,C948)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SUMIFS(RAB!$F$14:$F$84,RAB!$C$14:$C$84,C949)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SUMIFS(RAB!$F$14:$F$84,RAB!$C$14:$C$84,C950)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SUMIFS(RAB!$F$14:$F$84,RAB!$C$14:$C$84,C951)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SUMIFS(RAB!$F$14:$F$84,RAB!$C$14:$C$84,C952)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SUMIFS(RAB!$F$14:$F$84,RAB!$C$14:$C$84,C953)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SUMIFS(RAB!$F$14:$F$84,RAB!$C$14:$C$84,C954)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SUMIFS(RAB!$F$14:$F$84,RAB!$C$14:$C$84,C955)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SUMIFS(RAB!$F$14:$F$84,RAB!$C$14:$C$84,C956)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SUMIFS(RAB!$F$14:$F$84,RAB!$C$14:$C$84,C957)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SUMIFS(RAB!$F$14:$F$84,RAB!$C$14:$C$84,C958)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SUMIFS(RAB!$F$14:$F$84,RAB!$C$14:$C$84,C959)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SUMIFS(RAB!$F$14:$F$84,RAB!$C$14:$C$84,C960)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SUMIFS(RAB!$F$14:$F$84,RAB!$C$14:$C$84,C961)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SUMIFS(RAB!$F$14:$F$84,RAB!$C$14:$C$84,C962)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SUMIFS(RAB!$F$14:$F$84,RAB!$C$14:$C$84,C963)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SUMIFS(RAB!$F$14:$F$84,RAB!$C$14:$C$84,C964)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SUMIFS(RAB!$F$14:$F$84,RAB!$C$14:$C$84,C965)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SUMIFS(RAB!$F$14:$F$84,RAB!$C$14:$C$84,C966)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SUMIFS(RAB!$F$14:$F$84,RAB!$C$14:$C$84,C967)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SUMIFS(RAB!$F$14:$F$84,RAB!$C$14:$C$84,C968)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SUMIFS(RAB!$F$14:$F$84,RAB!$C$14:$C$84,C969)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SUMIFS(RAB!$F$14:$F$84,RAB!$C$14:$C$84,C970)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SUMIFS(RAB!$F$14:$F$84,RAB!$C$14:$C$84,C971)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SUMIFS(RAB!$F$14:$F$84,RAB!$C$14:$C$84,C972)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SUMIFS(RAB!$F$14:$F$84,RAB!$C$14:$C$84,C973)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SUMIFS(RAB!$F$14:$F$84,RAB!$C$14:$C$84,C974)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SUMIFS(RAB!$F$14:$F$84,RAB!$C$14:$C$84,C975)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SUMIFS(RAB!$F$14:$F$84,RAB!$C$14:$C$84,C976)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SUMIFS(RAB!$F$14:$F$84,RAB!$C$14:$C$84,C977)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SUMIFS(RAB!$F$14:$F$84,RAB!$C$14:$C$84,C978)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SUMIFS(RAB!$F$14:$F$84,RAB!$C$14:$C$84,C979)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SUMIFS(RAB!$F$14:$F$84,RAB!$C$14:$C$84,C980)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SUMIFS(RAB!$F$14:$F$84,RAB!$C$14:$C$84,C981)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SUMIFS(RAB!$F$14:$F$84,RAB!$C$14:$C$84,C982)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SUMIFS(RAB!$F$14:$F$84,RAB!$C$14:$C$84,C983)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SUMIFS(RAB!$F$14:$F$84,RAB!$C$14:$C$84,C984)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SUMIFS(RAB!$F$14:$F$84,RAB!$C$14:$C$84,C985)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SUMIFS(RAB!$F$14:$F$84,RAB!$C$14:$C$84,C986)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SUMIFS(RAB!$F$14:$F$84,RAB!$C$14:$C$84,C987)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SUMIFS(RAB!$F$14:$F$84,RAB!$C$14:$C$84,C988)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SUMIFS(RAB!$F$14:$F$84,RAB!$C$14:$C$84,C989)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SUMIFS(RAB!$F$14:$F$84,RAB!$C$14:$C$84,C990)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SUMIFS(RAB!$F$14:$F$84,RAB!$C$14:$C$84,C991)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SUMIFS(RAB!$F$14:$F$84,RAB!$C$14:$C$84,C992)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SUMIFS(RAB!$F$14:$F$84,RAB!$C$14:$C$84,C993)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SUMIFS(RAB!$F$14:$F$84,RAB!$C$14:$C$84,C994)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SUMIFS(RAB!$F$14:$F$84,RAB!$C$14:$C$84,C995)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SUMIFS(RAB!$F$14:$F$84,RAB!$C$14:$C$84,C996)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SUMIFS(RAB!$F$14:$F$84,RAB!$C$14:$C$84,C997)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SUMIFS(RAB!$F$14:$F$84,RAB!$C$14:$C$84,C998)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SUMIFS(RAB!$F$14:$F$84,RAB!$C$14:$C$84,C999)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SUMIFS(RAB!$F$14:$F$84,RAB!$C$14:$C$84,C1000)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SUMIFS(RAB!$F$14:$F$84,RAB!$C$14:$C$84,C1001)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SUMIFS(RAB!$F$14:$F$84,RAB!$C$14:$C$84,C1002)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SUMIFS(RAB!$F$14:$F$84,RAB!$C$14:$C$84,C1003)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SUMIFS(RAB!$F$14:$F$84,RAB!$C$14:$C$84,C1004)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SUMIFS(RAB!$F$14:$F$84,RAB!$C$14:$C$84,C1005)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SUMIFS(RAB!$F$14:$F$84,RAB!$C$14:$C$84,C1006)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SUMIFS(RAB!$F$14:$F$84,RAB!$C$14:$C$84,C1007)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SUMIFS(RAB!$F$14:$F$84,RAB!$C$14:$C$84,C1008)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SUMIFS(RAB!$F$14:$F$84,RAB!$C$14:$C$84,C1009)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SUMIFS(RAB!$F$14:$F$84,RAB!$C$14:$C$84,C1010)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SUMIFS(RAB!$F$14:$F$84,RAB!$C$14:$C$84,C1011)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SUMIFS(RAB!$F$14:$F$84,RAB!$C$14:$C$84,C1012)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SUMIFS(RAB!$F$14:$F$84,RAB!$C$14:$C$84,C1013)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SUMIFS(RAB!$F$14:$F$84,RAB!$C$14:$C$84,C1014)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SUMIFS(RAB!$F$14:$F$84,RAB!$C$14:$C$84,C1015)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SUMIFS(RAB!$F$14:$F$84,RAB!$C$14:$C$84,C1016)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SUMIFS(RAB!$F$14:$F$84,RAB!$C$14:$C$84,C1017)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SUMIFS(RAB!$F$14:$F$84,RAB!$C$14:$C$84,C1018)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SUMIFS(RAB!$F$14:$F$84,RAB!$C$14:$C$84,C1019)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SUMIFS(RAB!$F$14:$F$84,RAB!$C$14:$C$84,C1020)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SUMIFS(RAB!$F$14:$F$84,RAB!$C$14:$C$84,C1021)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SUMIFS(RAB!$F$14:$F$84,RAB!$C$14:$C$84,C1022)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SUMIFS(RAB!$F$14:$F$84,RAB!$C$14:$C$84,C1023)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SUMIFS(RAB!$F$14:$F$84,RAB!$C$14:$C$84,C1024)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SUMIFS(RAB!$F$14:$F$84,RAB!$C$14:$C$84,C1025)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SUMIFS(RAB!$F$14:$F$84,RAB!$C$14:$C$84,C1026)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SUMIFS(RAB!$F$14:$F$84,RAB!$C$14:$C$84,C1027)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SUMIFS(RAB!$F$14:$F$84,RAB!$C$14:$C$84,C1028)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SUMIFS(RAB!$F$14:$F$84,RAB!$C$14:$C$84,C1029)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SUMIFS(RAB!$F$14:$F$84,RAB!$C$14:$C$84,C1030)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SUMIFS(RAB!$F$14:$F$84,RAB!$C$14:$C$84,C1031)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SUMIFS(RAB!$F$14:$F$84,RAB!$C$14:$C$84,C1032)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SUMIFS(RAB!$F$14:$F$84,RAB!$C$14:$C$84,C1033)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SUMIFS(RAB!$F$14:$F$84,RAB!$C$14:$C$84,C1034)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SUMIFS(RAB!$F$14:$F$84,RAB!$C$14:$C$84,C1035)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SUMIFS(RAB!$F$14:$F$84,RAB!$C$14:$C$84,C1036)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SUMIFS(RAB!$F$14:$F$84,RAB!$C$14:$C$84,C1037)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SUMIFS(RAB!$F$14:$F$84,RAB!$C$14:$C$84,C1038)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SUMIFS(RAB!$F$14:$F$84,RAB!$C$14:$C$84,C1039)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SUMIFS(RAB!$F$14:$F$84,RAB!$C$14:$C$84,C1040)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SUMIFS(RAB!$F$14:$F$84,RAB!$C$14:$C$84,C1041)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SUMIFS(RAB!$F$14:$F$84,RAB!$C$14:$C$84,C1042)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SUMIFS(RAB!$F$14:$F$84,RAB!$C$14:$C$84,C1043)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SUMIFS(RAB!$F$14:$F$84,RAB!$C$14:$C$84,C1044)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SUMIFS(RAB!$F$14:$F$84,RAB!$C$14:$C$84,C1045)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SUMIFS(RAB!$F$14:$F$84,RAB!$C$14:$C$84,C1046)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SUMIFS(RAB!$F$14:$F$84,RAB!$C$14:$C$84,C1047)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SUMIFS(RAB!$F$14:$F$84,RAB!$C$14:$C$84,C1048)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SUMIFS(RAB!$F$14:$F$84,RAB!$C$14:$C$84,C1049)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SUMIFS(RAB!$F$14:$F$84,RAB!$C$14:$C$84,C1050)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SUMIFS(RAB!$F$14:$F$84,RAB!$C$14:$C$84,C1051)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SUMIFS(RAB!$F$14:$F$84,RAB!$C$14:$C$84,C1052)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SUMIFS(RAB!$F$14:$F$84,RAB!$C$14:$C$84,C1053)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SUMIFS(RAB!$F$14:$F$84,RAB!$C$14:$C$84,C1054)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SUMIFS(RAB!$F$14:$F$84,RAB!$C$14:$C$84,C1055)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SUMIFS(RAB!$F$14:$F$84,RAB!$C$14:$C$84,C1056)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SUMIFS(RAB!$F$14:$F$84,RAB!$C$14:$C$84,C1057)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SUMIFS(RAB!$F$14:$F$84,RAB!$C$14:$C$84,C1058)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SUMIFS(RAB!$F$14:$F$84,RAB!$C$14:$C$84,C1059)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SUMIFS(RAB!$F$14:$F$84,RAB!$C$14:$C$84,C1060)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SUMIFS(RAB!$F$14:$F$84,RAB!$C$14:$C$84,C1061)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SUMIFS(RAB!$F$14:$F$84,RAB!$C$14:$C$84,C1062)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SUMIFS(RAB!$F$14:$F$84,RAB!$C$14:$C$84,C1063)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SUMIFS(RAB!$F$14:$F$84,RAB!$C$14:$C$84,C1064)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SUMIFS(RAB!$F$14:$F$84,RAB!$C$14:$C$84,C1065)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SUMIFS(RAB!$F$14:$F$84,RAB!$C$14:$C$84,C1066)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SUMIFS(RAB!$F$14:$F$84,RAB!$C$14:$C$84,C1067)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SUMIFS(RAB!$F$14:$F$84,RAB!$C$14:$C$84,C1068)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SUMIFS(RAB!$F$14:$F$84,RAB!$C$14:$C$84,C1069)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SUMIFS(RAB!$F$14:$F$84,RAB!$C$14:$C$84,C1070)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SUMIFS(RAB!$F$14:$F$84,RAB!$C$14:$C$84,C1071)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SUMIFS(RAB!$F$14:$F$84,RAB!$C$14:$C$84,C1072)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SUMIFS(RAB!$F$14:$F$84,RAB!$C$14:$C$84,C1073)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SUMIFS(RAB!$F$14:$F$84,RAB!$C$14:$C$84,C1074)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SUMIFS(RAB!$F$14:$F$84,RAB!$C$14:$C$84,C1075)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SUMIFS(RAB!$F$14:$F$84,RAB!$C$14:$C$84,C1076)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SUMIFS(RAB!$F$14:$F$84,RAB!$C$14:$C$84,C1077)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SUMIFS(RAB!$F$14:$F$84,RAB!$C$14:$C$84,C1078)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SUMIFS(RAB!$F$14:$F$84,RAB!$C$14:$C$84,C1079)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SUMIFS(RAB!$F$14:$F$84,RAB!$C$14:$C$84,C1080)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SUMIFS(RAB!$F$14:$F$84,RAB!$C$14:$C$84,C1081)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SUMIFS(RAB!$F$14:$F$84,RAB!$C$14:$C$84,C1082)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SUMIFS(RAB!$F$14:$F$84,RAB!$C$14:$C$84,C1083)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SUMIFS(RAB!$F$14:$F$84,RAB!$C$14:$C$84,C1084)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SUMIFS(RAB!$F$14:$F$84,RAB!$C$14:$C$84,C1085)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SUMIFS(RAB!$F$14:$F$84,RAB!$C$14:$C$84,C1086)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SUMIFS(RAB!$F$14:$F$84,RAB!$C$14:$C$84,C1087)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SUMIFS(RAB!$F$14:$F$84,RAB!$C$14:$C$84,C1088)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SUMIFS(RAB!$F$14:$F$84,RAB!$C$14:$C$84,C1089)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SUMIFS(RAB!$F$14:$F$84,RAB!$C$14:$C$84,C1090)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SUMIFS(RAB!$F$14:$F$84,RAB!$C$14:$C$84,C1091)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SUMIFS(RAB!$F$14:$F$84,RAB!$C$14:$C$84,C1092)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SUMIFS(RAB!$F$14:$F$84,RAB!$C$14:$C$84,C1093)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SUMIFS(RAB!$F$14:$F$84,RAB!$C$14:$C$84,C1094)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SUMIFS(RAB!$F$14:$F$84,RAB!$C$14:$C$84,C1095)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SUMIFS(RAB!$F$14:$F$84,RAB!$C$14:$C$84,C1096)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SUMIFS(RAB!$F$14:$F$84,RAB!$C$14:$C$84,C1097)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SUMIFS(RAB!$F$14:$F$84,RAB!$C$14:$C$84,C1098)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SUMIFS(RAB!$F$14:$F$84,RAB!$C$14:$C$84,C1099)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SUMIFS(RAB!$F$14:$F$84,RAB!$C$14:$C$84,C1100)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SUMIFS(RAB!$F$14:$F$84,RAB!$C$14:$C$84,C1101)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SUMIFS(RAB!$F$14:$F$84,RAB!$C$14:$C$84,C1102)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SUMIFS(RAB!$F$14:$F$84,RAB!$C$14:$C$84,C1103)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SUMIFS(RAB!$F$14:$F$84,RAB!$C$14:$C$84,C1104)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SUMIFS(RAB!$F$14:$F$84,RAB!$C$14:$C$84,C1105)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SUMIFS(RAB!$F$14:$F$84,RAB!$C$14:$C$84,C1106)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SUMIFS(RAB!$F$14:$F$84,RAB!$C$14:$C$84,C1107)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SUMIFS(RAB!$F$14:$F$84,RAB!$C$14:$C$84,C1108)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SUMIFS(RAB!$F$14:$F$84,RAB!$C$14:$C$84,C1109)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SUMIFS(RAB!$F$14:$F$84,RAB!$C$14:$C$84,C1110)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SUMIFS(RAB!$F$14:$F$84,RAB!$C$14:$C$84,C1111)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SUMIFS(RAB!$F$14:$F$84,RAB!$C$14:$C$84,C1112)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SUMIFS(RAB!$F$14:$F$84,RAB!$C$14:$C$84,C1113)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SUMIFS(RAB!$F$14:$F$84,RAB!$C$14:$C$84,C1114)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SUMIFS(RAB!$F$14:$F$84,RAB!$C$14:$C$84,C1115)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SUMIFS(RAB!$F$14:$F$84,RAB!$C$14:$C$84,C1116)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SUMIFS(RAB!$F$14:$F$84,RAB!$C$14:$C$84,C1117)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SUMIFS(RAB!$F$14:$F$84,RAB!$C$14:$C$84,C1118)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SUMIFS(RAB!$F$14:$F$84,RAB!$C$14:$C$84,C1119)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SUMIFS(RAB!$F$14:$F$84,RAB!$C$14:$C$84,C1120)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SUMIFS(RAB!$F$14:$F$84,RAB!$C$14:$C$84,C1121)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SUMIFS(RAB!$F$14:$F$84,RAB!$C$14:$C$84,C1122)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SUMIFS(RAB!$F$14:$F$84,RAB!$C$14:$C$84,C1123)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SUMIFS(RAB!$F$14:$F$84,RAB!$C$14:$C$84,C1124)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SUMIFS(RAB!$F$14:$F$84,RAB!$C$14:$C$84,C1125)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SUMIFS(RAB!$F$14:$F$84,RAB!$C$14:$C$84,C1126)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SUMIFS(RAB!$F$14:$F$84,RAB!$C$14:$C$84,C1127)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SUMIFS(RAB!$F$14:$F$84,RAB!$C$14:$C$84,C1128)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SUMIFS(RAB!$F$14:$F$84,RAB!$C$14:$C$84,C1129)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SUMIFS(RAB!$F$14:$F$84,RAB!$C$14:$C$84,C1130)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SUMIFS(RAB!$F$14:$F$84,RAB!$C$14:$C$84,C1131)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SUMIFS(RAB!$F$14:$F$84,RAB!$C$14:$C$84,C1132)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SUMIFS(RAB!$F$14:$F$84,RAB!$C$14:$C$84,C1133)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SUMIFS(RAB!$F$14:$F$84,RAB!$C$14:$C$84,C1134)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SUMIFS(RAB!$F$14:$F$84,RAB!$C$14:$C$84,C1135)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SUMIFS(RAB!$F$14:$F$84,RAB!$C$14:$C$84,C1136)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SUMIFS(RAB!$F$14:$F$84,RAB!$C$14:$C$84,C1137)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SUMIFS(RAB!$F$14:$F$84,RAB!$C$14:$C$84,C1138)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SUMIFS(RAB!$F$14:$F$84,RAB!$C$14:$C$84,C1139)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SUMIFS(RAB!$F$14:$F$84,RAB!$C$14:$C$84,C1140)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SUMIFS(RAB!$F$14:$F$84,RAB!$C$14:$C$84,C1141)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SUMIFS(RAB!$F$14:$F$84,RAB!$C$14:$C$84,C1142)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SUMIFS(RAB!$F$14:$F$84,RAB!$C$14:$C$84,C1143)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SUMIFS(RAB!$F$14:$F$84,RAB!$C$14:$C$84,C1144)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SUMIFS(RAB!$F$14:$F$84,RAB!$C$14:$C$84,C1145)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SUMIFS(RAB!$F$14:$F$84,RAB!$C$14:$C$84,C1146)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SUMIFS(RAB!$F$14:$F$84,RAB!$C$14:$C$84,C1147)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SUMIFS(RAB!$F$14:$F$84,RAB!$C$14:$C$84,C1148)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SUMIFS(RAB!$F$14:$F$84,RAB!$C$14:$C$84,C1149)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SUMIFS(RAB!$F$14:$F$84,RAB!$C$14:$C$84,C1150)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SUMIFS(RAB!$F$14:$F$84,RAB!$C$14:$C$84,C1151)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SUMIFS(RAB!$F$14:$F$84,RAB!$C$14:$C$84,C1152)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SUMIFS(RAB!$F$14:$F$84,RAB!$C$14:$C$84,C1153)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SUMIFS(RAB!$F$14:$F$84,RAB!$C$14:$C$84,C1154)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SUMIFS(RAB!$F$14:$F$84,RAB!$C$14:$C$84,C1155)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SUMIFS(RAB!$F$14:$F$84,RAB!$C$14:$C$84,C1156)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SUMIFS(RAB!$F$14:$F$84,RAB!$C$14:$C$84,C1157)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SUMIFS(RAB!$F$14:$F$84,RAB!$C$14:$C$84,C1158)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SUMIFS(RAB!$F$14:$F$84,RAB!$C$14:$C$84,C1159)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SUMIFS(RAB!$F$14:$F$84,RAB!$C$14:$C$84,C1160)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SUMIFS(RAB!$F$14:$F$84,RAB!$C$14:$C$84,C1161)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SUMIFS(RAB!$F$14:$F$84,RAB!$C$14:$C$84,C1162)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SUMIFS(RAB!$F$14:$F$84,RAB!$C$14:$C$84,C1163)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SUMIFS(RAB!$F$14:$F$84,RAB!$C$14:$C$84,C1164)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SUMIFS(RAB!$F$14:$F$84,RAB!$C$14:$C$84,C1165)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SUMIFS(RAB!$F$14:$F$84,RAB!$C$14:$C$84,C1166)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SUMIFS(RAB!$F$14:$F$84,RAB!$C$14:$C$84,C1167)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SUMIFS(RAB!$F$14:$F$84,RAB!$C$14:$C$84,C1168)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SUMIFS(RAB!$F$14:$F$84,RAB!$C$14:$C$84,C1169)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SUMIFS(RAB!$F$14:$F$84,RAB!$C$14:$C$84,C1170)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SUMIFS(RAB!$F$14:$F$84,RAB!$C$14:$C$84,C1171)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SUMIFS(RAB!$F$14:$F$84,RAB!$C$14:$C$84,C1172)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SUMIFS(RAB!$F$14:$F$84,RAB!$C$14:$C$84,C1173)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SUMIFS(RAB!$F$14:$F$84,RAB!$C$14:$C$84,C1174)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SUMIFS(RAB!$F$14:$F$84,RAB!$C$14:$C$84,C1175)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SUMIFS(RAB!$F$14:$F$84,RAB!$C$14:$C$84,C1176)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SUMIFS(RAB!$F$14:$F$84,RAB!$C$14:$C$84,C1177)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SUMIFS(RAB!$F$14:$F$84,RAB!$C$14:$C$84,C1178)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SUMIFS(RAB!$F$14:$F$84,RAB!$C$14:$C$84,C1179)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SUMIFS(RAB!$F$14:$F$84,RAB!$C$14:$C$84,C1180)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SUMIFS(RAB!$F$14:$F$84,RAB!$C$14:$C$84,C1181)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SUMIFS(RAB!$F$14:$F$84,RAB!$C$14:$C$84,C1182)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SUMIFS(RAB!$F$14:$F$84,RAB!$C$14:$C$84,C1183)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SUMIFS(RAB!$F$14:$F$84,RAB!$C$14:$C$84,C1184)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SUMIFS(RAB!$F$14:$F$84,RAB!$C$14:$C$84,C1185)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SUMIFS(RAB!$F$14:$F$84,RAB!$C$14:$C$84,C1186)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SUMIFS(RAB!$F$14:$F$84,RAB!$C$14:$C$84,C1187)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SUMIFS(RAB!$F$14:$F$84,RAB!$C$14:$C$84,C1188)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SUMIFS(RAB!$F$14:$F$84,RAB!$C$14:$C$84,C1189)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SUMIFS(RAB!$F$14:$F$84,RAB!$C$14:$C$84,C1190)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SUMIFS(RAB!$F$14:$F$84,RAB!$C$14:$C$84,C1191)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SUMIFS(RAB!$F$14:$F$84,RAB!$C$14:$C$84,C1192)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SUMIFS(RAB!$F$14:$F$84,RAB!$C$14:$C$84,C1193)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SUMIFS(RAB!$F$14:$F$84,RAB!$C$14:$C$84,C1194)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SUMIFS(RAB!$F$14:$F$84,RAB!$C$14:$C$84,C1195)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SUMIFS(RAB!$F$14:$F$84,RAB!$C$14:$C$84,C1196)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SUMIFS(RAB!$F$14:$F$84,RAB!$C$14:$C$84,C1197)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SUMIFS(RAB!$F$14:$F$84,RAB!$C$14:$C$84,C1198)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SUMIFS(RAB!$F$14:$F$84,RAB!$C$14:$C$84,C1199)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SUMIFS(RAB!$F$14:$F$84,RAB!$C$14:$C$84,C1200)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SUMIFS(RAB!$F$14:$F$84,RAB!$C$14:$C$84,C1201)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SUMIFS(RAB!$F$14:$F$84,RAB!$C$14:$C$84,C1202)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SUMIFS(RAB!$F$14:$F$84,RAB!$C$14:$C$84,C1203)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SUMIFS(RAB!$F$14:$F$84,RAB!$C$14:$C$84,C1204)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SUMIFS(RAB!$F$14:$F$84,RAB!$C$14:$C$84,C1205)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SUMIFS(RAB!$F$14:$F$84,RAB!$C$14:$C$84,C1206)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SUMIFS(RAB!$F$14:$F$84,RAB!$C$14:$C$84,C1207)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SUMIFS(RAB!$F$14:$F$84,RAB!$C$14:$C$84,C1208)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SUMIFS(RAB!$F$14:$F$84,RAB!$C$14:$C$84,C1209)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SUMIFS(RAB!$F$14:$F$84,RAB!$C$14:$C$84,C1210)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SUMIFS(RAB!$F$14:$F$84,RAB!$C$14:$C$84,C1211)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SUMIFS(RAB!$F$14:$F$84,RAB!$C$14:$C$84,C1212)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SUMIFS(RAB!$F$14:$F$84,RAB!$C$14:$C$84,C1213)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SUMIFS(RAB!$F$14:$F$84,RAB!$C$14:$C$84,C1214)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SUMIFS(RAB!$F$14:$F$84,RAB!$C$14:$C$84,C1215)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SUMIFS(RAB!$F$14:$F$84,RAB!$C$14:$C$84,C1216)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SUMIFS(RAB!$F$14:$F$84,RAB!$C$14:$C$84,C1217)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SUMIFS(RAB!$F$14:$F$84,RAB!$C$14:$C$84,C1218)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SUMIFS(RAB!$F$14:$F$84,RAB!$C$14:$C$84,C1219)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SUMIFS(RAB!$F$14:$F$84,RAB!$C$14:$C$84,C1220)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SUMIFS(RAB!$F$14:$F$84,RAB!$C$14:$C$84,C1221)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SUMIFS(RAB!$F$14:$F$84,RAB!$C$14:$C$84,C1222)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SUMIFS(RAB!$F$14:$F$84,RAB!$C$14:$C$84,C1223)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SUMIFS(RAB!$F$14:$F$84,RAB!$C$14:$C$84,C1224)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SUMIFS(RAB!$F$14:$F$84,RAB!$C$14:$C$84,C1225)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SUMIFS(RAB!$F$14:$F$84,RAB!$C$14:$C$84,C1226)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SUMIFS(RAB!$F$14:$F$84,RAB!$C$14:$C$84,C1227)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SUMIFS(RAB!$F$14:$F$84,RAB!$C$14:$C$84,C1228)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SUMIFS(RAB!$F$14:$F$84,RAB!$C$14:$C$84,C1229)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SUMIFS(RAB!$F$14:$F$84,RAB!$C$14:$C$84,C1230)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SUMIFS(RAB!$F$14:$F$84,RAB!$C$14:$C$84,C1231)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SUMIFS(RAB!$F$14:$F$84,RAB!$C$14:$C$84,C1232)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SUMIFS(RAB!$F$14:$F$84,RAB!$C$14:$C$84,C1233)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SUMIFS(RAB!$F$14:$F$84,RAB!$C$14:$C$84,C1234)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SUMIFS(RAB!$F$14:$F$84,RAB!$C$14:$C$84,C1235)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SUMIFS(RAB!$F$14:$F$84,RAB!$C$14:$C$84,C1236)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SUMIFS(RAB!$F$14:$F$84,RAB!$C$14:$C$84,C1237)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SUMIFS(RAB!$F$14:$F$84,RAB!$C$14:$C$84,C1238)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SUMIFS(RAB!$F$14:$F$84,RAB!$C$14:$C$84,C1239)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SUMIFS(RAB!$F$14:$F$84,RAB!$C$14:$C$84,C1240)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SUMIFS(RAB!$F$14:$F$84,RAB!$C$14:$C$84,C1241)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SUMIFS(RAB!$F$14:$F$84,RAB!$C$14:$C$84,C1242)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SUMIFS(RAB!$F$14:$F$84,RAB!$C$14:$C$84,C1243)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SUMIFS(RAB!$F$14:$F$84,RAB!$C$14:$C$84,C1244)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SUMIFS(RAB!$F$14:$F$84,RAB!$C$14:$C$84,C1245)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SUMIFS(RAB!$F$14:$F$84,RAB!$C$14:$C$84,C1246)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SUMIFS(RAB!$F$14:$F$84,RAB!$C$14:$C$84,C1247)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SUMIFS(RAB!$F$14:$F$84,RAB!$C$14:$C$84,C1248)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SUMIFS(RAB!$F$14:$F$84,RAB!$C$14:$C$84,C1249)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SUMIFS(RAB!$F$14:$F$84,RAB!$C$14:$C$84,C1250)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SUMIFS(RAB!$F$14:$F$84,RAB!$C$14:$C$84,C1251)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SUMIFS(RAB!$F$14:$F$84,RAB!$C$14:$C$84,C1252)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SUMIFS(RAB!$F$14:$F$84,RAB!$C$14:$C$84,C1253)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SUMIFS(RAB!$F$14:$F$84,RAB!$C$14:$C$84,C1254)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SUMIFS(RAB!$F$14:$F$84,RAB!$C$14:$C$84,C1255)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SUMIFS(RAB!$F$14:$F$84,RAB!$C$14:$C$84,C1256)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SUMIFS(RAB!$F$14:$F$84,RAB!$C$14:$C$84,C1257)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SUMIFS(RAB!$F$14:$F$84,RAB!$C$14:$C$84,C1258)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SUMIFS(RAB!$F$14:$F$84,RAB!$C$14:$C$84,C1259)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SUMIFS(RAB!$F$14:$F$84,RAB!$C$14:$C$84,C1260)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SUMIFS(RAB!$F$14:$F$84,RAB!$C$14:$C$84,C1261)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SUMIFS(RAB!$F$14:$F$84,RAB!$C$14:$C$84,C1262)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SUMIFS(RAB!$F$14:$F$84,RAB!$C$14:$C$84,C1263)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SUMIFS(RAB!$F$14:$F$84,RAB!$C$14:$C$84,C1264)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SUMIFS(RAB!$F$14:$F$84,RAB!$C$14:$C$84,C1265)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SUMIFS(RAB!$F$14:$F$84,RAB!$C$14:$C$84,C1266)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SUMIFS(RAB!$F$14:$F$84,RAB!$C$14:$C$84,C1267)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SUMIFS(RAB!$F$14:$F$84,RAB!$C$14:$C$84,C1268)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SUMIFS(RAB!$F$14:$F$84,RAB!$C$14:$C$84,C1269)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SUMIFS(RAB!$F$14:$F$84,RAB!$C$14:$C$84,C1270)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SUMIFS(RAB!$F$14:$F$84,RAB!$C$14:$C$84,C1271)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SUMIFS(RAB!$F$14:$F$84,RAB!$C$14:$C$84,C1272)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SUMIFS(RAB!$F$14:$F$84,RAB!$C$14:$C$84,C1273)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SUMIFS(RAB!$F$14:$F$84,RAB!$C$14:$C$84,C1274)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SUMIFS(RAB!$F$14:$F$84,RAB!$C$14:$C$84,C1275)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SUMIFS(RAB!$F$14:$F$84,RAB!$C$14:$C$84,C1276)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SUMIFS(RAB!$F$14:$F$84,RAB!$C$14:$C$84,C1277)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SUMIFS(RAB!$F$14:$F$84,RAB!$C$14:$C$84,C1278)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SUMIFS(RAB!$F$14:$F$84,RAB!$C$14:$C$84,C1279)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SUMIFS(RAB!$F$14:$F$84,RAB!$C$14:$C$84,C1280)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SUMIFS(RAB!$F$14:$F$84,RAB!$C$14:$C$84,C1281)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SUMIFS(RAB!$F$14:$F$84,RAB!$C$14:$C$84,C1282)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SUMIFS(RAB!$F$14:$F$84,RAB!$C$14:$C$84,C1283)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SUMIFS(RAB!$F$14:$F$84,RAB!$C$14:$C$84,C1284)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SUMIFS(RAB!$F$14:$F$84,RAB!$C$14:$C$84,C1285)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SUMIFS(RAB!$F$14:$F$84,RAB!$C$14:$C$84,C1286)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SUMIFS(RAB!$F$14:$F$84,RAB!$C$14:$C$84,C1287)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SUMIFS(RAB!$F$14:$F$84,RAB!$C$14:$C$84,C1288)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SUMIFS(RAB!$F$14:$F$84,RAB!$C$14:$C$84,C1289)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SUMIFS(RAB!$F$14:$F$84,RAB!$C$14:$C$84,C1290)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SUMIFS(RAB!$F$14:$F$84,RAB!$C$14:$C$84,C1291)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SUMIFS(RAB!$F$14:$F$84,RAB!$C$14:$C$84,C1292)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SUMIFS(RAB!$F$14:$F$84,RAB!$C$14:$C$84,C1293)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SUMIFS(RAB!$F$14:$F$84,RAB!$C$14:$C$84,C1294)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SUMIFS(RAB!$F$14:$F$84,RAB!$C$14:$C$84,C1295)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SUMIFS(RAB!$F$14:$F$84,RAB!$C$14:$C$84,C1296)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SUMIFS(RAB!$F$14:$F$84,RAB!$C$14:$C$84,C1297)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SUMIFS(RAB!$F$14:$F$84,RAB!$C$14:$C$84,C1298)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SUMIFS(RAB!$F$14:$F$84,RAB!$C$14:$C$84,C1299)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SUMIFS(RAB!$F$14:$F$84,RAB!$C$14:$C$84,C1300)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SUMIFS(RAB!$F$14:$F$84,RAB!$C$14:$C$84,C1301)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SUMIFS(RAB!$F$14:$F$84,RAB!$C$14:$C$84,C1302)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SUMIFS(RAB!$F$14:$F$84,RAB!$C$14:$C$84,C1303)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SUMIFS(RAB!$F$14:$F$84,RAB!$C$14:$C$84,C1304)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SUMIFS(RAB!$F$14:$F$84,RAB!$C$14:$C$84,C1305)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SUMIFS(RAB!$F$14:$F$84,RAB!$C$14:$C$84,C1306)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SUMIFS(RAB!$F$14:$F$84,RAB!$C$14:$C$84,C1307)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SUMIFS(RAB!$F$14:$F$84,RAB!$C$14:$C$84,C1308)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SUMIFS(RAB!$F$14:$F$84,RAB!$C$14:$C$84,C1309)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SUMIFS(RAB!$F$14:$F$84,RAB!$C$14:$C$84,C1310)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SUMIFS(RAB!$F$14:$F$84,RAB!$C$14:$C$84,C1311)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SUMIFS(RAB!$F$14:$F$84,RAB!$C$14:$C$84,C1312)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SUMIFS(RAB!$F$14:$F$84,RAB!$C$14:$C$84,C1313)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SUMIFS(RAB!$F$14:$F$84,RAB!$C$14:$C$84,C1314)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SUMIFS(RAB!$F$14:$F$84,RAB!$C$14:$C$84,C1315)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SUMIFS(RAB!$F$14:$F$84,RAB!$C$14:$C$84,C1316)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SUMIFS(RAB!$F$14:$F$84,RAB!$C$14:$C$84,C1317)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SUMIFS(RAB!$F$14:$F$84,RAB!$C$14:$C$84,C1318)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SUMIFS(RAB!$F$14:$F$84,RAB!$C$14:$C$84,C1319)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SUMIFS(RAB!$F$14:$F$84,RAB!$C$14:$C$84,C1320)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7" t="s">
        <v>1127</v>
      </c>
      <c r="C4" s="547"/>
      <c r="D4" s="547"/>
      <c r="E4" s="547"/>
      <c r="F4" s="547"/>
      <c r="G4" s="547"/>
      <c r="H4" s="547"/>
      <c r="I4" s="547"/>
      <c r="J4" s="547"/>
      <c r="K4" s="54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0" t="str">
        <f>RAB!G6</f>
        <v>DPU-POMPA AIR LOIRENG</v>
      </c>
      <c r="H6" s="540"/>
      <c r="I6" s="540"/>
      <c r="J6" s="540"/>
      <c r="K6" s="54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LOIRENG KEC.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8" t="s">
        <v>0</v>
      </c>
      <c r="C11" s="550" t="s">
        <v>1</v>
      </c>
      <c r="D11" s="553" t="s">
        <v>42</v>
      </c>
      <c r="E11" s="553" t="s">
        <v>43</v>
      </c>
      <c r="F11" s="553" t="s">
        <v>2</v>
      </c>
      <c r="G11" s="554" t="s">
        <v>41</v>
      </c>
      <c r="H11" s="553" t="s">
        <v>3</v>
      </c>
      <c r="I11" s="553"/>
      <c r="J11" s="553"/>
      <c r="K11" s="557"/>
      <c r="M11" s="33"/>
      <c r="N11" s="33"/>
      <c r="O11" s="33"/>
      <c r="P11" s="33"/>
      <c r="R11" s="34"/>
      <c r="S11" s="74"/>
      <c r="T11" s="74"/>
    </row>
    <row r="12" spans="1:21" ht="15" customHeight="1">
      <c r="B12" s="549"/>
      <c r="C12" s="551"/>
      <c r="D12" s="543"/>
      <c r="E12" s="543"/>
      <c r="F12" s="543"/>
      <c r="G12" s="555"/>
      <c r="H12" s="545" t="s">
        <v>46</v>
      </c>
      <c r="I12" s="545" t="s">
        <v>5</v>
      </c>
      <c r="J12" s="543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9"/>
      <c r="C13" s="552"/>
      <c r="D13" s="543"/>
      <c r="E13" s="543"/>
      <c r="F13" s="543"/>
      <c r="G13" s="556"/>
      <c r="H13" s="546"/>
      <c r="I13" s="546"/>
      <c r="J13" s="543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1" t="s">
        <v>1008</v>
      </c>
      <c r="D38" s="541"/>
      <c r="E38" s="541"/>
      <c r="F38" s="541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2" t="s">
        <v>462</v>
      </c>
      <c r="D39" s="542"/>
      <c r="E39" s="542"/>
      <c r="F39" s="542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1" t="s">
        <v>463</v>
      </c>
      <c r="D40" s="531"/>
      <c r="E40" s="531"/>
      <c r="F40" s="53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4" t="e">
        <f ca="1">"Terbilang : ( "&amp;L42&amp;" Rupiah )"</f>
        <v>#NAME?</v>
      </c>
      <c r="C41" s="535"/>
      <c r="D41" s="535"/>
      <c r="E41" s="535"/>
      <c r="F41" s="535"/>
      <c r="G41" s="535"/>
      <c r="H41" s="535"/>
      <c r="I41" s="535"/>
      <c r="J41" s="535"/>
      <c r="K41" s="536"/>
      <c r="L41" s="44"/>
      <c r="R41" s="58"/>
      <c r="S41" s="58"/>
      <c r="T41" s="58"/>
    </row>
    <row r="42" spans="1:20" s="36" customFormat="1">
      <c r="A42" s="30"/>
      <c r="B42" s="537"/>
      <c r="C42" s="538"/>
      <c r="D42" s="538"/>
      <c r="E42" s="538"/>
      <c r="F42" s="538"/>
      <c r="G42" s="538"/>
      <c r="H42" s="538"/>
      <c r="I42" s="538"/>
      <c r="J42" s="538"/>
      <c r="K42" s="539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2"/>
      <c r="I45" s="532"/>
      <c r="J45" s="533"/>
      <c r="K45" s="53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2"/>
      <c r="I46" s="532"/>
      <c r="J46" s="533"/>
      <c r="K46" s="53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2"/>
      <c r="I47" s="532"/>
      <c r="J47" s="533"/>
      <c r="K47" s="53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2"/>
      <c r="I52" s="532"/>
      <c r="J52" s="533"/>
      <c r="K52" s="53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SUMIFS(RAB!$F$14:$F$84,RAB!$C$14:$C$84,'REKAP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SUMIFS(RAB!$F$14:$F$84,RAB!$C$14:$C$84,'REKAP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SUMIFS(RAB!$F$14:$F$84,RAB!$C$14:$C$84,'REKAP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SUMIFS(RAB!$F$14:$F$84,RAB!$C$14:$C$84,'REKAP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SUMIFS(RAB!$F$14:$F$84,RAB!$C$14:$C$84,'REKAP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SUMIFS(RAB!$F$14:$F$84,RAB!$C$14:$C$84,'REKAP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SUMIFS(RAB!$F$14:$F$84,RAB!$C$14:$C$84,'REKAP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SUMIFS(RAB!$F$14:$F$84,RAB!$C$14:$C$84,'REKAP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SUMIFS(RAB!$F$14:$F$84,RAB!$C$14:$C$84,'REKAP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SUMIFS(RAB!$F$14:$F$84,RAB!$C$14:$C$84,'REKAP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SUMIFS(RAB!$F$14:$F$84,RAB!$C$14:$C$84,'REKAP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SUMIFS(RAB!$F$14:$F$84,RAB!$C$14:$C$84,'REKAP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SUMIFS(RAB!$F$14:$F$84,RAB!$C$14:$C$84,'REKAP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SUMIFS(RAB!$F$14:$F$84,RAB!$C$14:$C$84,'REKAP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SUMIFS(RAB!$F$14:$F$84,RAB!$C$14:$C$84,'REKAP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SUMIFS(RAB!$F$14:$F$84,RAB!$C$14:$C$84,'REKAP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SUMIFS(RAB!$F$14:$F$84,RAB!$C$14:$C$84,'REKAP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SUMIFS(RAB!$F$14:$F$84,RAB!$C$14:$C$84,'REKAP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SUMIFS(RAB!$F$14:$F$84,RAB!$C$14:$C$84,'REKAP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SUMIFS(RAB!$F$14:$F$84,RAB!$C$14:$C$84,'REKAP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P26" sqref="P2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7" t="s">
        <v>1034</v>
      </c>
      <c r="C4" s="547"/>
      <c r="D4" s="547"/>
      <c r="E4" s="547"/>
      <c r="F4" s="547"/>
      <c r="G4" s="547"/>
      <c r="H4" s="547"/>
      <c r="I4" s="547"/>
      <c r="J4" s="547"/>
      <c r="K4" s="54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0" t="str">
        <f>RAB!G6</f>
        <v>DPU-POMPA AIR LOIRENG</v>
      </c>
      <c r="H6" s="540"/>
      <c r="I6" s="540"/>
      <c r="J6" s="540"/>
      <c r="K6" s="54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LOIRENG KEC.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8" t="s">
        <v>0</v>
      </c>
      <c r="C11" s="550" t="s">
        <v>1</v>
      </c>
      <c r="D11" s="553" t="s">
        <v>42</v>
      </c>
      <c r="E11" s="553" t="s">
        <v>43</v>
      </c>
      <c r="F11" s="553" t="s">
        <v>2</v>
      </c>
      <c r="G11" s="554" t="s">
        <v>41</v>
      </c>
      <c r="H11" s="553" t="s">
        <v>3</v>
      </c>
      <c r="I11" s="553"/>
      <c r="J11" s="553"/>
      <c r="K11" s="557"/>
      <c r="M11" s="33"/>
      <c r="N11" s="33"/>
      <c r="O11" s="33"/>
      <c r="P11" s="33"/>
      <c r="R11" s="34"/>
      <c r="S11" s="74"/>
      <c r="T11" s="74"/>
    </row>
    <row r="12" spans="1:21" ht="15" customHeight="1">
      <c r="B12" s="549"/>
      <c r="C12" s="551"/>
      <c r="D12" s="543"/>
      <c r="E12" s="543"/>
      <c r="F12" s="543"/>
      <c r="G12" s="555"/>
      <c r="H12" s="545" t="s">
        <v>46</v>
      </c>
      <c r="I12" s="545" t="s">
        <v>5</v>
      </c>
      <c r="J12" s="543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9"/>
      <c r="C13" s="552"/>
      <c r="D13" s="543"/>
      <c r="E13" s="543"/>
      <c r="F13" s="543"/>
      <c r="G13" s="556"/>
      <c r="H13" s="546"/>
      <c r="I13" s="546"/>
      <c r="J13" s="543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33 kVA MCCB 50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50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42757200</v>
      </c>
      <c r="H17" s="42">
        <f t="shared" ca="1" si="1"/>
        <v>42757200</v>
      </c>
      <c r="I17" s="42">
        <f t="shared" ca="1" si="2"/>
        <v>0</v>
      </c>
      <c r="J17" s="42">
        <f t="shared" ca="1" si="3"/>
        <v>0</v>
      </c>
      <c r="K17" s="43">
        <f t="shared" ca="1" si="0"/>
        <v>42757200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3</v>
      </c>
      <c r="G18" s="41">
        <f ca="1">IF(ISERROR(OFFSET('HARGA SATUAN'!$I$6,MATCH(C18,'HARGA SATUAN'!$C$7:$C$1492,0),0)),"",OFFSET('HARGA SATUAN'!$I$6,MATCH(C18,'HARGA SATUAN'!$C$7:$C$1492,0),0))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9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127800</v>
      </c>
      <c r="I20" s="42">
        <f t="shared" ca="1" si="2"/>
        <v>0</v>
      </c>
      <c r="J20" s="42">
        <f t="shared" ca="1" si="3"/>
        <v>0</v>
      </c>
      <c r="K20" s="43">
        <f t="shared" ca="1" si="0"/>
        <v>127800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54500</v>
      </c>
      <c r="H21" s="42">
        <f t="shared" ca="1" si="1"/>
        <v>163500</v>
      </c>
      <c r="I21" s="42">
        <f t="shared" ca="1" si="2"/>
        <v>0</v>
      </c>
      <c r="J21" s="42">
        <f t="shared" ca="1" si="3"/>
        <v>0</v>
      </c>
      <c r="K21" s="43">
        <f t="shared" ca="1" si="0"/>
        <v>163500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1" t="s">
        <v>1008</v>
      </c>
      <c r="D168" s="541"/>
      <c r="E168" s="541"/>
      <c r="F168" s="541"/>
      <c r="G168" s="77" t="s">
        <v>9</v>
      </c>
      <c r="H168" s="55">
        <f ca="1">SUM(H14:H167)</f>
        <v>51335850</v>
      </c>
      <c r="I168" s="55">
        <f ca="1">SUM(I14:I167)</f>
        <v>0</v>
      </c>
      <c r="J168" s="55">
        <f ca="1">SUM(J14:J167)</f>
        <v>0</v>
      </c>
      <c r="K168" s="55">
        <f ca="1">SUM(K14:K167)</f>
        <v>51335850</v>
      </c>
      <c r="L168" s="44"/>
      <c r="R168" s="99"/>
      <c r="S168" s="99"/>
      <c r="T168" s="99"/>
    </row>
    <row r="169" spans="1:20" s="36" customFormat="1">
      <c r="A169" s="30"/>
      <c r="B169" s="56"/>
      <c r="C169" s="542" t="s">
        <v>462</v>
      </c>
      <c r="D169" s="542"/>
      <c r="E169" s="542"/>
      <c r="F169" s="542"/>
      <c r="G169" s="59" t="s">
        <v>9</v>
      </c>
      <c r="H169" s="60">
        <f ca="1">H168*0.1</f>
        <v>5133585</v>
      </c>
      <c r="I169" s="60">
        <f ca="1">I168*0.1</f>
        <v>0</v>
      </c>
      <c r="J169" s="60">
        <f ca="1">J168*0.1</f>
        <v>0</v>
      </c>
      <c r="K169" s="60">
        <f ca="1">K168*0.1</f>
        <v>5133585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1" t="s">
        <v>463</v>
      </c>
      <c r="D170" s="531"/>
      <c r="E170" s="531"/>
      <c r="F170" s="531"/>
      <c r="G170" s="61" t="s">
        <v>9</v>
      </c>
      <c r="H170" s="78">
        <f ca="1">SUM(H168:H169)</f>
        <v>56469435</v>
      </c>
      <c r="I170" s="78">
        <f ca="1">SUM(I168:I169)</f>
        <v>0</v>
      </c>
      <c r="J170" s="61">
        <f ca="1">SUM(J168:J169)</f>
        <v>0</v>
      </c>
      <c r="K170" s="61">
        <f ca="1">SUM(K168:K169)</f>
        <v>56469435</v>
      </c>
      <c r="L170" s="44"/>
      <c r="R170" s="99"/>
      <c r="S170" s="99"/>
      <c r="T170" s="99"/>
    </row>
    <row r="171" spans="1:20" s="36" customFormat="1">
      <c r="A171" s="30"/>
      <c r="B171" s="534" t="e">
        <f ca="1">"Terbilang : ( "&amp;L172&amp;" Rupiah )"</f>
        <v>#NAME?</v>
      </c>
      <c r="C171" s="535"/>
      <c r="D171" s="535"/>
      <c r="E171" s="535"/>
      <c r="F171" s="535"/>
      <c r="G171" s="535"/>
      <c r="H171" s="535"/>
      <c r="I171" s="535"/>
      <c r="J171" s="535"/>
      <c r="K171" s="536"/>
      <c r="L171" s="44"/>
      <c r="R171" s="58"/>
      <c r="S171" s="58"/>
      <c r="T171" s="58"/>
    </row>
    <row r="172" spans="1:20" s="36" customFormat="1">
      <c r="A172" s="30"/>
      <c r="B172" s="537"/>
      <c r="C172" s="538"/>
      <c r="D172" s="538"/>
      <c r="E172" s="538"/>
      <c r="F172" s="538"/>
      <c r="G172" s="538"/>
      <c r="H172" s="538"/>
      <c r="I172" s="538"/>
      <c r="J172" s="538"/>
      <c r="K172" s="539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2"/>
      <c r="I175" s="532"/>
      <c r="J175" s="533"/>
      <c r="K175" s="53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2"/>
      <c r="I176" s="532"/>
      <c r="J176" s="533"/>
      <c r="K176" s="53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2"/>
      <c r="I177" s="532"/>
      <c r="J177" s="533"/>
      <c r="K177" s="53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2"/>
      <c r="I182" s="532"/>
      <c r="J182" s="533"/>
      <c r="K182" s="53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SUMIFS(RAB!$F$14:$F$84,RAB!$C$14:$C$84,C224)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SUMIFS(RAB!$F$14:$F$84,RAB!$C$14:$C$84,C225)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SUMIFS(RAB!$F$14:$F$84,RAB!$C$14:$C$84,C226)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SUMIFS(RAB!$F$14:$F$84,RAB!$C$14:$C$84,C227)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SUMIFS(RAB!$F$14:$F$84,RAB!$C$14:$C$84,C228)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SUMIFS(RAB!$F$14:$F$84,RAB!$C$14:$C$84,C229)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SUMIFS(RAB!$F$14:$F$84,RAB!$C$14:$C$84,C230)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SUMIFS(RAB!$F$14:$F$84,RAB!$C$14:$C$84,C231)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SUMIFS(RAB!$F$14:$F$84,RAB!$C$14:$C$84,C232)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SUMIFS(RAB!$F$14:$F$84,RAB!$C$14:$C$84,C233)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SUMIFS(RAB!$F$14:$F$84,RAB!$C$14:$C$84,C234)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SUMIFS(RAB!$F$14:$F$84,RAB!$C$14:$C$84,C235)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SUMIFS(RAB!$F$14:$F$84,RAB!$C$14:$C$84,C236)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SUMIFS(RAB!$F$14:$F$84,RAB!$C$14:$C$84,C237)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SUMIFS(RAB!$F$14:$F$84,RAB!$C$14:$C$84,C238)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SUMIFS(RAB!$F$14:$F$84,RAB!$C$14:$C$84,C239)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SUMIFS(RAB!$F$14:$F$84,RAB!$C$14:$C$84,C240)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SUMIFS(RAB!$F$14:$F$84,RAB!$C$14:$C$84,C241)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SUMIFS(RAB!$F$14:$F$84,RAB!$C$14:$C$84,C242)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SUMIFS(RAB!$F$14:$F$84,RAB!$C$14:$C$84,C243)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SUMIFS(RAB!$F$14:$F$84,RAB!$C$14:$C$84,C244)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SUMIFS(RAB!$F$14:$F$84,RAB!$C$14:$C$84,C245)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SUMIFS(RAB!$F$14:$F$84,RAB!$C$14:$C$84,C246)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SUMIFS(RAB!$F$14:$F$84,RAB!$C$14:$C$84,C247)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SUMIFS(RAB!$F$14:$F$84,RAB!$C$14:$C$84,C248)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SUMIFS(RAB!$F$14:$F$84,RAB!$C$14:$C$84,C249)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SUMIFS(RAB!$F$14:$F$84,RAB!$C$14:$C$84,C250)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SUMIFS(RAB!$F$14:$F$84,RAB!$C$14:$C$84,C251)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SUMIFS(RAB!$F$14:$F$84,RAB!$C$14:$C$84,C252)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SUMIFS(RAB!$F$14:$F$84,RAB!$C$14:$C$84,C253)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SUMIFS(RAB!$F$14:$F$84,RAB!$C$14:$C$84,C254)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SUMIFS(RAB!$F$14:$F$84,RAB!$C$14:$C$84,C255)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SUMIFS(RAB!$F$14:$F$84,RAB!$C$14:$C$84,C256)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SUMIFS(RAB!$F$14:$F$84,RAB!$C$14:$C$84,C257)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SUMIFS(RAB!$F$14:$F$84,RAB!$C$14:$C$84,C258)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SUMIFS(RAB!$F$14:$F$84,RAB!$C$14:$C$84,C259)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SUMIFS(RAB!$F$14:$F$84,RAB!$C$14:$C$84,C260)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SUMIFS(RAB!$F$14:$F$84,RAB!$C$14:$C$84,C261)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SUMIFS(RAB!$F$14:$F$84,RAB!$C$14:$C$84,C262)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SUMIFS(RAB!$F$14:$F$84,RAB!$C$14:$C$84,C263)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SUMIFS(RAB!$F$14:$F$84,RAB!$C$14:$C$84,C264)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SUMIFS(RAB!$F$14:$F$84,RAB!$C$14:$C$84,C265)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SUMIFS(RAB!$F$14:$F$84,RAB!$C$14:$C$84,C266)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SUMIFS(RAB!$F$14:$F$84,RAB!$C$14:$C$84,C267)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SUMIFS(RAB!$F$14:$F$84,RAB!$C$14:$C$84,C268)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SUMIFS(RAB!$F$14:$F$84,RAB!$C$14:$C$84,C269)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SUMIFS(RAB!$F$14:$F$84,RAB!$C$14:$C$84,C270)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SUMIFS(RAB!$F$14:$F$84,RAB!$C$14:$C$84,C271)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SUMIFS(RAB!$F$14:$F$84,RAB!$C$14:$C$84,C272)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SUMIFS(RAB!$F$14:$F$84,RAB!$C$14:$C$84,C273)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SUMIFS(RAB!$F$14:$F$84,RAB!$C$14:$C$84,C274)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SUMIFS(RAB!$F$14:$F$84,RAB!$C$14:$C$84,C275)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SUMIFS(RAB!$F$14:$F$84,RAB!$C$14:$C$84,C276)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SUMIFS(RAB!$F$14:$F$84,RAB!$C$14:$C$84,C277)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SUMIFS(RAB!$F$14:$F$84,RAB!$C$14:$C$84,C278)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SUMIFS(RAB!$F$14:$F$84,RAB!$C$14:$C$84,C279)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SUMIFS(RAB!$F$14:$F$84,RAB!$C$14:$C$84,C280)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SUMIFS(RAB!$F$14:$F$84,RAB!$C$14:$C$84,C281)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SUMIFS(RAB!$F$14:$F$84,RAB!$C$14:$C$84,C282)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SUMIFS(RAB!$F$14:$F$84,RAB!$C$14:$C$84,C283)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SUMIFS(RAB!$F$14:$F$84,RAB!$C$14:$C$84,C284)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SUMIFS(RAB!$F$14:$F$84,RAB!$C$14:$C$84,C285)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SUMIFS(RAB!$F$14:$F$84,RAB!$C$14:$C$84,C286)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SUMIFS(RAB!$F$14:$F$84,RAB!$C$14:$C$84,C287)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SUMIFS(RAB!$F$14:$F$84,RAB!$C$14:$C$84,C288)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SUMIFS(RAB!$F$14:$F$84,RAB!$C$14:$C$84,C289)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SUMIFS(RAB!$F$14:$F$84,RAB!$C$14:$C$84,C290)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SUMIFS(RAB!$F$14:$F$84,RAB!$C$14:$C$84,C291)</f>
        <v>1</v>
      </c>
      <c r="E291" s="24">
        <f t="shared" ca="1" si="22"/>
        <v>1</v>
      </c>
      <c r="F291" s="24">
        <f ca="1">IF(D291=0,0,SUM($E$223:E291))</f>
        <v>1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SUMIFS(RAB!$F$14:$F$84,RAB!$C$14:$C$84,C292)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SUMIFS(RAB!$F$14:$F$84,RAB!$C$14:$C$84,C293)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SUMIFS(RAB!$F$14:$F$84,RAB!$C$14:$C$84,C294)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SUMIFS(RAB!$F$14:$F$84,RAB!$C$14:$C$84,C295)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SUMIFS(RAB!$F$14:$F$84,RAB!$C$14:$C$84,C296)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SUMIFS(RAB!$F$14:$F$84,RAB!$C$14:$C$84,C297)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SUMIFS(RAB!$F$14:$F$84,RAB!$C$14:$C$84,C298)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SUMIFS(RAB!$F$14:$F$84,RAB!$C$14:$C$84,C299)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SUMIFS(RAB!$F$14:$F$84,RAB!$C$14:$C$84,C300)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SUMIFS(RAB!$F$14:$F$84,RAB!$C$14:$C$84,C301)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SUMIFS(RAB!$F$14:$F$84,RAB!$C$14:$C$84,C302)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SUMIFS(RAB!$F$14:$F$84,RAB!$C$14:$C$84,C303)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SUMIFS(RAB!$F$14:$F$84,RAB!$C$14:$C$84,C304)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SUMIFS(RAB!$F$14:$F$84,RAB!$C$14:$C$84,C305)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SUMIFS(RAB!$F$14:$F$84,RAB!$C$14:$C$84,C306)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SUMIFS(RAB!$F$14:$F$84,RAB!$C$14:$C$84,C307)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SUMIFS(RAB!$F$14:$F$84,RAB!$C$14:$C$84,C308)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SUMIFS(RAB!$F$14:$F$84,RAB!$C$14:$C$84,C309)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SUMIFS(RAB!$F$14:$F$84,RAB!$C$14:$C$84,C310)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SUMIFS(RAB!$F$14:$F$84,RAB!$C$14:$C$84,C311)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SUMIFS(RAB!$F$14:$F$84,RAB!$C$14:$C$84,C312)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SUMIFS(RAB!$F$14:$F$84,RAB!$C$14:$C$84,C313)</f>
        <v>1</v>
      </c>
      <c r="E313" s="24">
        <f t="shared" ca="1" si="22"/>
        <v>1</v>
      </c>
      <c r="F313" s="24">
        <f ca="1">IF(D313=0,0,SUM($E$223:E313))</f>
        <v>2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SUMIFS(RAB!$F$14:$F$84,RAB!$C$14:$C$84,C314)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SUMIFS(RAB!$F$14:$F$84,RAB!$C$14:$C$84,C315)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SUMIFS(RAB!$F$14:$F$84,RAB!$C$14:$C$84,C316)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SUMIFS(RAB!$F$14:$F$84,RAB!$C$14:$C$84,C317)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SUMIFS(RAB!$F$14:$F$84,RAB!$C$14:$C$84,C318)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SUMIFS(RAB!$F$14:$F$84,RAB!$C$14:$C$84,C319)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SUMIFS(RAB!$F$14:$F$84,RAB!$C$14:$C$84,C320)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SUMIFS(RAB!$F$14:$F$84,RAB!$C$14:$C$84,C321)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SUMIFS(RAB!$F$14:$F$84,RAB!$C$14:$C$84,C322)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SUMIFS(RAB!$F$14:$F$84,RAB!$C$14:$C$84,C323)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SUMIFS(RAB!$F$14:$F$84,RAB!$C$14:$C$84,C324)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SUMIFS(RAB!$F$14:$F$84,RAB!$C$14:$C$84,C325)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SUMIFS(RAB!$F$14:$F$84,RAB!$C$14:$C$84,C326)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SUMIFS(RAB!$F$14:$F$84,RAB!$C$14:$C$84,C327)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SUMIFS(RAB!$F$14:$F$84,RAB!$C$14:$C$84,C328)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SUMIFS(RAB!$F$14:$F$84,RAB!$C$14:$C$84,C329)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SUMIFS(RAB!$F$14:$F$84,RAB!$C$14:$C$84,C330)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SUMIFS(RAB!$F$14:$F$84,RAB!$C$14:$C$84,C331)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SUMIFS(RAB!$F$14:$F$84,RAB!$C$14:$C$84,C332)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SUMIFS(RAB!$F$14:$F$84,RAB!$C$14:$C$84,C333)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SUMIFS(RAB!$F$14:$F$84,RAB!$C$14:$C$84,C334)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SUMIFS(RAB!$F$14:$F$84,RAB!$C$14:$C$84,C335)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SUMIFS(RAB!$F$14:$F$84,RAB!$C$14:$C$84,C336)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SUMIFS(RAB!$F$14:$F$84,RAB!$C$14:$C$84,C337)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SUMIFS(RAB!$F$14:$F$84,RAB!$C$14:$C$84,C338)</f>
        <v>9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SUMIFS(RAB!$F$14:$F$84,RAB!$C$14:$C$84,C339)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SUMIFS(RAB!$F$14:$F$84,RAB!$C$14:$C$84,C340)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SUMIFS(RAB!$F$14:$F$84,RAB!$C$14:$C$84,C341)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SUMIFS(RAB!$F$14:$F$84,RAB!$C$14:$C$84,C342)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SUMIFS(RAB!$F$14:$F$84,RAB!$C$14:$C$84,C343)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SUMIFS(RAB!$F$14:$F$84,RAB!$C$14:$C$84,C344)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SUMIFS(RAB!$F$14:$F$84,RAB!$C$14:$C$84,C345)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SUMIFS(RAB!$F$14:$F$84,RAB!$C$14:$C$84,C346)</f>
        <v>3</v>
      </c>
      <c r="E346" s="24">
        <f t="shared" ca="1" si="22"/>
        <v>1</v>
      </c>
      <c r="F346" s="24">
        <f ca="1">IF(D346=0,0,SUM($E$223:E346))</f>
        <v>6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SUMIFS(RAB!$F$14:$F$84,RAB!$C$14:$C$84,C347)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SUMIFS(RAB!$F$14:$F$84,RAB!$C$14:$C$84,C348)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SUMIFS(RAB!$F$14:$F$84,RAB!$C$14:$C$84,C349)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SUMIFS(RAB!$F$14:$F$84,RAB!$C$14:$C$84,C350)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SUMIFS(RAB!$F$14:$F$84,RAB!$C$14:$C$84,C351)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SUMIFS(RAB!$F$14:$F$84,RAB!$C$14:$C$84,C352)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SUMIFS(RAB!$F$14:$F$84,RAB!$C$14:$C$84,C353)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SUMIFS(RAB!$F$14:$F$84,RAB!$C$14:$C$84,C354)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SUMIFS(RAB!$F$14:$F$84,RAB!$C$14:$C$84,C355)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SUMIFS(RAB!$F$14:$F$84,RAB!$C$14:$C$84,C356)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SUMIFS(RAB!$F$14:$F$84,RAB!$C$14:$C$84,C357)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SUMIFS(RAB!$F$14:$F$84,RAB!$C$14:$C$84,C358)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SUMIFS(RAB!$F$14:$F$84,RAB!$C$14:$C$84,C359)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SUMIFS(RAB!$F$14:$F$84,RAB!$C$14:$C$84,C360)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SUMIFS(RAB!$F$14:$F$84,RAB!$C$14:$C$84,C361)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SUMIFS(RAB!$F$14:$F$84,RAB!$C$14:$C$84,C362)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SUMIFS(RAB!$F$14:$F$84,RAB!$C$14:$C$84,C363)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SUMIFS(RAB!$F$14:$F$84,RAB!$C$14:$C$84,C364)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SUMIFS(RAB!$F$14:$F$84,RAB!$C$14:$C$84,C365)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SUMIFS(RAB!$F$14:$F$84,RAB!$C$14:$C$84,C366)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SUMIFS(RAB!$F$14:$F$84,RAB!$C$14:$C$84,C367)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SUMIFS(RAB!$F$14:$F$84,RAB!$C$14:$C$84,C368)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SUMIFS(RAB!$F$14:$F$84,RAB!$C$14:$C$84,C369)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SUMIFS(RAB!$F$14:$F$84,RAB!$C$14:$C$84,C370)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SUMIFS(RAB!$F$14:$F$84,RAB!$C$14:$C$84,C371)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SUMIFS(RAB!$F$14:$F$84,RAB!$C$14:$C$84,C372)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SUMIFS(RAB!$F$14:$F$84,RAB!$C$14:$C$84,C373)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5"/>
    </row>
    <row r="4" spans="4:4" ht="57" customHeight="1">
      <c r="D4" s="465">
        <v>3</v>
      </c>
    </row>
    <row r="5" spans="4:4" ht="57" customHeight="1">
      <c r="D5" s="46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1609</v>
      </c>
      <c r="G4" s="108" t="s">
        <v>1608</v>
      </c>
      <c r="H4" s="55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3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3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4">
        <v>2740</v>
      </c>
      <c r="G1433" s="49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5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5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5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5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5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O24" sqref="O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6" t="s">
        <v>1454</v>
      </c>
      <c r="C2" s="566"/>
      <c r="D2" s="566"/>
      <c r="E2" s="566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1" t="s">
        <v>1535</v>
      </c>
      <c r="C4" s="572"/>
      <c r="D4" s="572"/>
      <c r="E4" s="573"/>
      <c r="F4" s="447"/>
      <c r="G4" s="447"/>
      <c r="H4" s="448"/>
      <c r="I4" s="598" t="s">
        <v>1536</v>
      </c>
      <c r="J4" s="599"/>
      <c r="K4" s="599"/>
      <c r="L4" s="600"/>
    </row>
    <row r="5" spans="1:12" ht="34.5" customHeight="1">
      <c r="A5" s="204"/>
      <c r="B5" s="450" t="s">
        <v>1379</v>
      </c>
      <c r="C5" s="277" t="s">
        <v>9</v>
      </c>
      <c r="D5" s="567" t="str">
        <f>DATA!D14</f>
        <v>RUMAH POMPA LOIRENG</v>
      </c>
      <c r="E5" s="568"/>
      <c r="F5" s="208"/>
      <c r="G5" s="208"/>
      <c r="I5" s="451" t="s">
        <v>1379</v>
      </c>
      <c r="J5" s="277" t="s">
        <v>9</v>
      </c>
      <c r="K5" s="601" t="str">
        <f>D5</f>
        <v>RUMAH POMPA LOIRENG</v>
      </c>
      <c r="L5" s="602"/>
    </row>
    <row r="6" spans="1:12" ht="31.5" customHeight="1">
      <c r="A6" s="204"/>
      <c r="B6" s="450" t="s">
        <v>1532</v>
      </c>
      <c r="C6" s="277" t="s">
        <v>9</v>
      </c>
      <c r="D6" s="576">
        <f>DATA!D17*1000</f>
        <v>11000</v>
      </c>
      <c r="E6" s="577"/>
      <c r="F6" s="208"/>
      <c r="G6" s="208"/>
      <c r="I6" s="451" t="s">
        <v>1533</v>
      </c>
      <c r="J6" s="277" t="s">
        <v>9</v>
      </c>
      <c r="K6" s="603">
        <f>DATA!D20*1000</f>
        <v>33000</v>
      </c>
      <c r="L6" s="604"/>
    </row>
    <row r="7" spans="1:12" ht="30.75" customHeight="1">
      <c r="A7" s="204"/>
      <c r="B7" s="450" t="s">
        <v>1441</v>
      </c>
      <c r="C7" s="277" t="s">
        <v>9</v>
      </c>
      <c r="D7" s="574">
        <f>DATA!D18</f>
        <v>1</v>
      </c>
      <c r="E7" s="575"/>
      <c r="F7" s="449" t="s">
        <v>1453</v>
      </c>
      <c r="I7" s="451" t="s">
        <v>1441</v>
      </c>
      <c r="J7" s="277" t="s">
        <v>9</v>
      </c>
      <c r="K7" s="605">
        <f>DATA!D21</f>
        <v>3</v>
      </c>
      <c r="L7" s="606"/>
    </row>
    <row r="8" spans="1:12" ht="51" customHeight="1">
      <c r="A8" s="204"/>
      <c r="B8" s="450" t="s">
        <v>1442</v>
      </c>
      <c r="C8" s="277" t="s">
        <v>9</v>
      </c>
      <c r="D8" s="574">
        <f>DATA!D19</f>
        <v>220</v>
      </c>
      <c r="E8" s="575"/>
      <c r="F8" s="449" t="s">
        <v>1453</v>
      </c>
      <c r="G8" s="444">
        <v>220</v>
      </c>
      <c r="I8" s="451" t="s">
        <v>1442</v>
      </c>
      <c r="J8" s="277" t="s">
        <v>9</v>
      </c>
      <c r="K8" s="605">
        <f>DATA!D22</f>
        <v>380</v>
      </c>
      <c r="L8" s="606"/>
    </row>
    <row r="9" spans="1:12" ht="30" customHeight="1" thickBot="1">
      <c r="A9" s="204"/>
      <c r="B9" s="456" t="s">
        <v>1544</v>
      </c>
      <c r="C9" s="446" t="s">
        <v>9</v>
      </c>
      <c r="D9" s="569">
        <f>IF(D7=1,D6/(380/3^0.5),(D6/(380*3^0.5)))</f>
        <v>50.138312850678027</v>
      </c>
      <c r="E9" s="570"/>
      <c r="F9" s="207"/>
      <c r="G9" s="445">
        <v>380</v>
      </c>
      <c r="I9" s="457" t="s">
        <v>1544</v>
      </c>
      <c r="J9" s="446" t="s">
        <v>9</v>
      </c>
      <c r="K9" s="607">
        <f>IF(K7=1,K6/(380/3^0.5),(K6/(380*3^0.5)))</f>
        <v>50.138312850678034</v>
      </c>
      <c r="L9" s="608"/>
    </row>
    <row r="10" spans="1:12" ht="24.75" customHeight="1">
      <c r="B10" s="458"/>
      <c r="C10" s="455"/>
      <c r="D10" s="459"/>
      <c r="E10" s="459"/>
      <c r="F10" s="207"/>
      <c r="G10" s="445"/>
      <c r="I10" s="458"/>
      <c r="J10" s="455"/>
      <c r="K10" s="459"/>
      <c r="L10" s="459"/>
    </row>
    <row r="11" spans="1:12" ht="16.5" thickBot="1">
      <c r="B11" s="452" t="s">
        <v>1545</v>
      </c>
      <c r="I11" s="452" t="s">
        <v>1539</v>
      </c>
    </row>
    <row r="12" spans="1:12" ht="34.5" customHeight="1">
      <c r="A12" s="204"/>
      <c r="B12" s="480" t="s">
        <v>1537</v>
      </c>
      <c r="C12" s="474" t="s">
        <v>9</v>
      </c>
      <c r="D12" s="578" t="s">
        <v>1622</v>
      </c>
      <c r="E12" s="579"/>
      <c r="F12" s="208"/>
      <c r="G12" s="208"/>
      <c r="I12" s="473" t="s">
        <v>1537</v>
      </c>
      <c r="J12" s="474" t="s">
        <v>9</v>
      </c>
      <c r="K12" s="578" t="s">
        <v>1622</v>
      </c>
      <c r="L12" s="579"/>
    </row>
    <row r="13" spans="1:12" ht="31.5" customHeight="1">
      <c r="A13" s="204"/>
      <c r="B13" s="481" t="s">
        <v>1380</v>
      </c>
      <c r="C13" s="461" t="s">
        <v>9</v>
      </c>
      <c r="D13" s="582" t="s">
        <v>1623</v>
      </c>
      <c r="E13" s="583"/>
      <c r="F13" s="208"/>
      <c r="G13" s="208"/>
      <c r="I13" s="475" t="s">
        <v>1380</v>
      </c>
      <c r="J13" s="461" t="s">
        <v>9</v>
      </c>
      <c r="K13" s="582" t="s">
        <v>1623</v>
      </c>
      <c r="L13" s="583"/>
    </row>
    <row r="14" spans="1:12" ht="30.75" customHeight="1">
      <c r="A14" s="204"/>
      <c r="B14" s="481" t="s">
        <v>1538</v>
      </c>
      <c r="C14" s="461" t="s">
        <v>9</v>
      </c>
      <c r="D14" s="590"/>
      <c r="E14" s="591"/>
      <c r="F14" s="449" t="s">
        <v>1453</v>
      </c>
      <c r="G14" s="453">
        <v>50</v>
      </c>
      <c r="I14" s="475" t="s">
        <v>1538</v>
      </c>
      <c r="J14" s="461" t="s">
        <v>9</v>
      </c>
      <c r="K14" s="592">
        <v>50</v>
      </c>
      <c r="L14" s="593"/>
    </row>
    <row r="15" spans="1:12" ht="57" customHeight="1">
      <c r="A15" s="204"/>
      <c r="B15" s="481" t="s">
        <v>1441</v>
      </c>
      <c r="C15" s="461" t="s">
        <v>9</v>
      </c>
      <c r="D15" s="467"/>
      <c r="E15" s="476"/>
      <c r="F15" s="449" t="s">
        <v>1453</v>
      </c>
      <c r="G15" s="453">
        <v>100</v>
      </c>
      <c r="I15" s="475" t="s">
        <v>1441</v>
      </c>
      <c r="J15" s="461" t="s">
        <v>9</v>
      </c>
      <c r="K15" s="467">
        <v>1</v>
      </c>
      <c r="L15" s="476"/>
    </row>
    <row r="16" spans="1:12" ht="44.25" customHeight="1">
      <c r="A16" s="204"/>
      <c r="B16" s="481" t="s">
        <v>1548</v>
      </c>
      <c r="C16" s="461"/>
      <c r="D16" s="594">
        <f>50</f>
        <v>50</v>
      </c>
      <c r="E16" s="595"/>
      <c r="F16" s="449"/>
      <c r="G16" s="453">
        <v>160</v>
      </c>
      <c r="I16" s="475" t="s">
        <v>1540</v>
      </c>
      <c r="J16" s="461" t="s">
        <v>9</v>
      </c>
      <c r="K16" s="596">
        <f>K9</f>
        <v>50.138312850678034</v>
      </c>
      <c r="L16" s="597"/>
    </row>
    <row r="17" spans="1:12" ht="34.5" customHeight="1">
      <c r="A17" s="204"/>
      <c r="B17" s="481" t="s">
        <v>1541</v>
      </c>
      <c r="C17" s="461" t="s">
        <v>9</v>
      </c>
      <c r="D17" s="584">
        <f>IF(D15=1,D14/(20/3^0.5),(D14/(20*3^0.5)))</f>
        <v>0</v>
      </c>
      <c r="E17" s="585"/>
      <c r="F17" s="449" t="s">
        <v>1453</v>
      </c>
      <c r="G17" s="454">
        <v>200</v>
      </c>
      <c r="I17" s="475" t="s">
        <v>1541</v>
      </c>
      <c r="J17" s="461" t="s">
        <v>9</v>
      </c>
      <c r="K17" s="588">
        <f>IF(K15=1,K14/(20/3^0.5),(K14/(20*3^0.5)))</f>
        <v>4.3301270189221928</v>
      </c>
      <c r="L17" s="589"/>
    </row>
    <row r="18" spans="1:12" ht="34.5" customHeight="1">
      <c r="A18" s="204"/>
      <c r="B18" s="481" t="s">
        <v>1542</v>
      </c>
      <c r="C18" s="461" t="s">
        <v>9</v>
      </c>
      <c r="D18" s="584">
        <f>IF(D15=1,D14/(380/3^0.5),(D14/(380*3^0.5)))*1000</f>
        <v>0</v>
      </c>
      <c r="E18" s="585"/>
      <c r="F18" s="449" t="s">
        <v>1453</v>
      </c>
      <c r="G18" s="454">
        <v>250</v>
      </c>
      <c r="I18" s="475" t="s">
        <v>1542</v>
      </c>
      <c r="J18" s="461" t="s">
        <v>9</v>
      </c>
      <c r="K18" s="588">
        <f>IF(K15=1,K14/(380/3^0.5),(K14/(380*3^0.5)))*1000</f>
        <v>227.90142204853646</v>
      </c>
      <c r="L18" s="589"/>
    </row>
    <row r="19" spans="1:12" ht="30" customHeight="1">
      <c r="A19" s="204"/>
      <c r="B19" s="482" t="s">
        <v>1534</v>
      </c>
      <c r="C19" s="460" t="s">
        <v>9</v>
      </c>
      <c r="D19" s="584">
        <f>IF(D15=1,D14/(380/3^0.5),(D14/(380*3^0.5)))</f>
        <v>0</v>
      </c>
      <c r="E19" s="585"/>
      <c r="F19" s="207"/>
      <c r="G19" s="445"/>
      <c r="I19" s="477" t="s">
        <v>1534</v>
      </c>
      <c r="J19" s="460" t="s">
        <v>9</v>
      </c>
      <c r="K19" s="588">
        <f>IF(K15=1,K14/(380/3^0.5),(K14/(380*3^0.5)))</f>
        <v>0.22790142204853647</v>
      </c>
      <c r="L19" s="589"/>
    </row>
    <row r="20" spans="1:12" ht="30" customHeight="1" thickBot="1">
      <c r="A20" s="204"/>
      <c r="B20" s="483" t="s">
        <v>1543</v>
      </c>
      <c r="C20" s="479" t="s">
        <v>9</v>
      </c>
      <c r="D20" s="580" t="e">
        <f>D16/D18</f>
        <v>#DIV/0!</v>
      </c>
      <c r="E20" s="581"/>
      <c r="F20" s="207"/>
      <c r="G20" s="445"/>
      <c r="I20" s="478" t="s">
        <v>1534</v>
      </c>
      <c r="J20" s="479" t="s">
        <v>9</v>
      </c>
      <c r="K20" s="586">
        <f>K16/K18</f>
        <v>0.22000000000000006</v>
      </c>
      <c r="L20" s="587"/>
    </row>
    <row r="21" spans="1:12" ht="9.75" customHeight="1">
      <c r="A21" s="204"/>
      <c r="B21" s="468" t="s">
        <v>1543</v>
      </c>
      <c r="C21" s="469" t="s">
        <v>9</v>
      </c>
      <c r="D21" s="565">
        <v>1</v>
      </c>
      <c r="E21" s="565"/>
      <c r="F21" s="470"/>
      <c r="G21" s="471"/>
      <c r="H21" s="472"/>
      <c r="I21" s="468" t="s">
        <v>1534</v>
      </c>
      <c r="J21" s="469" t="s">
        <v>9</v>
      </c>
      <c r="K21" s="565">
        <v>1</v>
      </c>
      <c r="L21" s="565"/>
    </row>
    <row r="22" spans="1:12" ht="6.75" customHeight="1">
      <c r="B22" s="458"/>
      <c r="C22" s="455"/>
      <c r="D22" s="466"/>
      <c r="E22" s="466"/>
      <c r="F22" s="207"/>
      <c r="G22" s="445"/>
      <c r="J22" s="455"/>
      <c r="K22" s="466"/>
      <c r="L22" s="466"/>
    </row>
    <row r="23" spans="1:12" ht="15.75" thickBot="1"/>
    <row r="24" spans="1:12" ht="200.25" customHeight="1" thickBot="1">
      <c r="B24" s="562"/>
      <c r="C24" s="563"/>
      <c r="D24" s="563"/>
      <c r="E24" s="564"/>
      <c r="I24" s="562"/>
      <c r="J24" s="563"/>
      <c r="K24" s="563"/>
      <c r="L24" s="564"/>
    </row>
    <row r="26" spans="1:12">
      <c r="D26" s="463"/>
    </row>
    <row r="27" spans="1:12">
      <c r="D27" s="464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14" sqref="D14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9"/>
      <c r="C1" s="609"/>
      <c r="D1" s="60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7">
        <v>1084.1250458865841</v>
      </c>
      <c r="F5" s="492" t="s">
        <v>1610</v>
      </c>
      <c r="K5" s="491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2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21318000</v>
      </c>
    </row>
    <row r="10" spans="2:11" ht="20.100000000000001" customHeight="1">
      <c r="B10" s="291" t="s">
        <v>1446</v>
      </c>
      <c r="C10" s="292" t="s">
        <v>9</v>
      </c>
      <c r="D10" s="298">
        <f ca="1">RAB!K90</f>
        <v>78443316.050999999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1568866.3210199999</v>
      </c>
    </row>
    <row r="12" spans="2:11" ht="9" customHeight="1">
      <c r="B12" s="610"/>
      <c r="C12" s="610"/>
      <c r="D12" s="610"/>
    </row>
    <row r="13" spans="2:11" ht="15.75" customHeight="1">
      <c r="B13" s="299"/>
      <c r="C13" s="299"/>
      <c r="D13" s="299"/>
    </row>
    <row r="14" spans="2:11" ht="33.75" customHeight="1">
      <c r="B14" s="420" t="s">
        <v>1379</v>
      </c>
      <c r="C14" s="421" t="s">
        <v>9</v>
      </c>
      <c r="D14" s="426" t="s">
        <v>1637</v>
      </c>
      <c r="E14" s="300" t="s">
        <v>1453</v>
      </c>
    </row>
    <row r="15" spans="2:11" ht="20.100000000000001" customHeight="1">
      <c r="B15" s="422" t="s">
        <v>1447</v>
      </c>
      <c r="C15" s="423" t="s">
        <v>9</v>
      </c>
      <c r="D15" s="427" t="s">
        <v>1629</v>
      </c>
      <c r="E15" s="300" t="s">
        <v>1453</v>
      </c>
    </row>
    <row r="16" spans="2:11" ht="20.100000000000001" customHeight="1">
      <c r="B16" s="422" t="s">
        <v>1448</v>
      </c>
      <c r="C16" s="423" t="s">
        <v>9</v>
      </c>
      <c r="D16" s="427" t="s">
        <v>1451</v>
      </c>
      <c r="E16" s="300" t="s">
        <v>1453</v>
      </c>
    </row>
    <row r="17" spans="2:5" ht="20.100000000000001" customHeight="1">
      <c r="B17" s="422" t="s">
        <v>1449</v>
      </c>
      <c r="C17" s="423" t="s">
        <v>9</v>
      </c>
      <c r="D17" s="428">
        <v>11</v>
      </c>
      <c r="E17" s="300" t="s">
        <v>1453</v>
      </c>
    </row>
    <row r="18" spans="2:5" ht="20.100000000000001" hidden="1" customHeight="1">
      <c r="B18" s="422" t="s">
        <v>1546</v>
      </c>
      <c r="C18" s="423"/>
      <c r="D18" s="428">
        <f>IF((D17&lt;=11),1,3)</f>
        <v>1</v>
      </c>
      <c r="E18" s="300"/>
    </row>
    <row r="19" spans="2:5" ht="20.100000000000001" hidden="1" customHeight="1">
      <c r="B19" s="422" t="s">
        <v>1547</v>
      </c>
      <c r="C19" s="423"/>
      <c r="D19" s="428">
        <f>IF((D17&lt;=11),220,380)</f>
        <v>220</v>
      </c>
      <c r="E19" s="300"/>
    </row>
    <row r="20" spans="2:5" ht="20.100000000000001" customHeight="1">
      <c r="B20" s="422" t="s">
        <v>1450</v>
      </c>
      <c r="C20" s="423" t="s">
        <v>9</v>
      </c>
      <c r="D20" s="428">
        <v>33</v>
      </c>
      <c r="E20" s="300" t="s">
        <v>1453</v>
      </c>
    </row>
    <row r="21" spans="2:5" ht="20.100000000000001" customHeight="1">
      <c r="B21" s="422" t="s">
        <v>1546</v>
      </c>
      <c r="C21" s="423"/>
      <c r="D21" s="428">
        <f>IF((D20&lt;=11),1,3)</f>
        <v>3</v>
      </c>
      <c r="E21" s="300"/>
    </row>
    <row r="22" spans="2:5" ht="20.100000000000001" customHeight="1">
      <c r="B22" s="422" t="s">
        <v>1547</v>
      </c>
      <c r="C22" s="423"/>
      <c r="D22" s="428">
        <f>IF((D20&lt;=11),220,380)</f>
        <v>380</v>
      </c>
      <c r="E22" s="300"/>
    </row>
    <row r="23" spans="2:5" ht="20.100000000000001" customHeight="1">
      <c r="B23" s="422" t="s">
        <v>1353</v>
      </c>
      <c r="C23" s="423" t="s">
        <v>9</v>
      </c>
      <c r="D23" s="427">
        <v>1444.7</v>
      </c>
      <c r="E23" s="300" t="s">
        <v>1453</v>
      </c>
    </row>
    <row r="24" spans="2:5" ht="20.100000000000001" customHeight="1">
      <c r="B24" s="422" t="s">
        <v>1354</v>
      </c>
      <c r="C24" s="423" t="s">
        <v>9</v>
      </c>
      <c r="D24" s="427">
        <v>1444.7</v>
      </c>
      <c r="E24" s="300" t="s">
        <v>1453</v>
      </c>
    </row>
    <row r="25" spans="2:5" ht="20.100000000000001" customHeight="1">
      <c r="B25" s="422" t="s">
        <v>1452</v>
      </c>
      <c r="C25" s="423" t="s">
        <v>9</v>
      </c>
      <c r="D25" s="428">
        <v>969</v>
      </c>
      <c r="E25" s="300" t="s">
        <v>1453</v>
      </c>
    </row>
    <row r="26" spans="2:5" ht="20.100000000000001" customHeight="1">
      <c r="B26" s="424" t="s">
        <v>1355</v>
      </c>
      <c r="C26" s="425" t="s">
        <v>9</v>
      </c>
      <c r="D26" s="429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5" activePane="bottomLeft" state="frozen"/>
      <selection activeCell="H1093" sqref="H1093"/>
      <selection pane="bottomLeft" activeCell="C8" sqref="C8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1" t="s">
        <v>1357</v>
      </c>
      <c r="C3" s="611"/>
      <c r="D3" s="611"/>
      <c r="E3" s="611"/>
      <c r="F3" s="305" t="str">
        <f>DATA!D14</f>
        <v>RUMAH POMPA LOIRENG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2" t="s">
        <v>1349</v>
      </c>
      <c r="C5" s="612" t="s">
        <v>1358</v>
      </c>
      <c r="D5" s="613" t="s">
        <v>1359</v>
      </c>
      <c r="E5" s="613" t="s">
        <v>1360</v>
      </c>
      <c r="F5" s="612" t="s">
        <v>1361</v>
      </c>
      <c r="G5" s="612"/>
      <c r="H5" s="612"/>
      <c r="I5" s="612"/>
      <c r="J5" s="612"/>
      <c r="K5" s="612" t="s">
        <v>1362</v>
      </c>
      <c r="L5" s="612"/>
      <c r="M5" s="307"/>
      <c r="N5" s="616" t="s">
        <v>1363</v>
      </c>
      <c r="O5" s="613" t="s">
        <v>1364</v>
      </c>
      <c r="P5" s="613" t="s">
        <v>1365</v>
      </c>
      <c r="Q5" s="613" t="s">
        <v>1366</v>
      </c>
      <c r="R5" s="308"/>
      <c r="S5" s="309"/>
      <c r="T5" s="614" t="s">
        <v>1367</v>
      </c>
      <c r="U5" s="310"/>
    </row>
    <row r="6" spans="1:21" ht="20.100000000000001" customHeight="1">
      <c r="B6" s="612"/>
      <c r="C6" s="612"/>
      <c r="D6" s="612"/>
      <c r="E6" s="61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7"/>
      <c r="O6" s="612"/>
      <c r="P6" s="612"/>
      <c r="Q6" s="612"/>
      <c r="R6" s="308"/>
      <c r="S6" s="309"/>
      <c r="T6" s="612"/>
      <c r="U6" s="312"/>
    </row>
    <row r="7" spans="1:21" ht="20.100000000000001" customHeight="1">
      <c r="A7" s="313">
        <v>0</v>
      </c>
      <c r="B7" s="314">
        <v>2023</v>
      </c>
      <c r="C7" s="484">
        <f>DATA!D8*DATA!D26*1</f>
        <v>880</v>
      </c>
      <c r="D7" s="316">
        <f>C7*4/24</f>
        <v>146.66666666666666</v>
      </c>
      <c r="E7" s="316">
        <f>C7-D7</f>
        <v>733.33333333333337</v>
      </c>
      <c r="F7" s="317">
        <f ca="1">DATA!D10/1000000</f>
        <v>78.443316050999996</v>
      </c>
      <c r="G7" s="318">
        <f ca="1">DATA!$D$11/1000000</f>
        <v>1.56886632102</v>
      </c>
      <c r="H7" s="318">
        <f>C7*DATA!$D$5/1000000</f>
        <v>0.95403004038019401</v>
      </c>
      <c r="I7" s="318">
        <f>(C7*DATA!$D$5*DATA!$D$7)/1000000</f>
        <v>2.1465675908554364E-2</v>
      </c>
      <c r="J7" s="316">
        <f ca="1">SUM(F7:I7)</f>
        <v>80.987678088308741</v>
      </c>
      <c r="K7" s="319">
        <f>DATA!D9/1000000</f>
        <v>21.318000000000001</v>
      </c>
      <c r="L7" s="316">
        <f>((D7*DATA!$D$23)/1000000)+((E7*DATA!$D$24)/1000000)</f>
        <v>1.271336</v>
      </c>
      <c r="M7" s="316">
        <f>K7+L7</f>
        <v>22.589336000000003</v>
      </c>
      <c r="N7" s="316">
        <f ca="1">M7-J7</f>
        <v>-58.398342088308738</v>
      </c>
      <c r="O7" s="314">
        <v>1</v>
      </c>
      <c r="P7" s="316">
        <f ca="1">O7*N7</f>
        <v>-58.398342088308738</v>
      </c>
      <c r="Q7" s="316">
        <f ca="1">P7</f>
        <v>-58.398342088308738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10560</v>
      </c>
      <c r="D8" s="316">
        <f>C8*4/24</f>
        <v>1760</v>
      </c>
      <c r="E8" s="316">
        <f t="shared" ref="E8:E32" si="0">C8-D8</f>
        <v>8800</v>
      </c>
      <c r="F8" s="314"/>
      <c r="G8" s="318">
        <f ca="1">DATA!$D$11/1000000</f>
        <v>1.56886632102</v>
      </c>
      <c r="H8" s="318">
        <f>C8*DATA!$D$5/1000000</f>
        <v>11.448360484562327</v>
      </c>
      <c r="I8" s="318">
        <f>(C8*DATA!$D$5*DATA!$D$7)/1000000</f>
        <v>0.25758811090265238</v>
      </c>
      <c r="J8" s="316">
        <f t="shared" ref="J8:J32" ca="1" si="1">SUM(F8:I8)</f>
        <v>13.27481491648498</v>
      </c>
      <c r="K8" s="321"/>
      <c r="L8" s="316">
        <f>((D8*DATA!$D$23)/1000000)+((E8*DATA!$D$24)/1000000)</f>
        <v>15.256031999999999</v>
      </c>
      <c r="M8" s="316">
        <f t="shared" ref="M8:M32" si="2">K8+L8</f>
        <v>15.256031999999999</v>
      </c>
      <c r="N8" s="316">
        <f ca="1">M8-J8</f>
        <v>1.9812170835150198</v>
      </c>
      <c r="O8" s="315">
        <f>1/(1+'[93]Asumsi I'!$C$3)^(KKF!A8)</f>
        <v>0.89285714285714279</v>
      </c>
      <c r="P8" s="316">
        <f ca="1">O8*N8</f>
        <v>1.7689438245669817</v>
      </c>
      <c r="Q8" s="316">
        <f ca="1">Q7+P8</f>
        <v>-56.629398263741756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10560</v>
      </c>
      <c r="D9" s="316">
        <f t="shared" ref="D9:D32" si="5">C9*4/24</f>
        <v>1760</v>
      </c>
      <c r="E9" s="316">
        <f t="shared" si="0"/>
        <v>8800</v>
      </c>
      <c r="F9" s="314"/>
      <c r="G9" s="318">
        <f ca="1">DATA!$D$11/1000000</f>
        <v>1.56886632102</v>
      </c>
      <c r="H9" s="318">
        <f>C9*DATA!$D$5/1000000</f>
        <v>11.448360484562327</v>
      </c>
      <c r="I9" s="318">
        <f>(C9*DATA!$D$5*DATA!$D$7)/1000000</f>
        <v>0.25758811090265238</v>
      </c>
      <c r="J9" s="316">
        <f t="shared" ca="1" si="1"/>
        <v>13.27481491648498</v>
      </c>
      <c r="K9" s="316"/>
      <c r="L9" s="316">
        <f>((D9*DATA!$D$23)/1000000)+((E9*DATA!$D$24)/1000000)</f>
        <v>15.256031999999999</v>
      </c>
      <c r="M9" s="316">
        <f t="shared" si="2"/>
        <v>15.256031999999999</v>
      </c>
      <c r="N9" s="316">
        <f t="shared" ref="N9:N32" ca="1" si="6">M9-J9</f>
        <v>1.9812170835150198</v>
      </c>
      <c r="O9" s="322">
        <f>1/(1+'[93]Asumsi I'!$C$3)^(KKF!A9)</f>
        <v>0.79719387755102034</v>
      </c>
      <c r="P9" s="316">
        <f t="shared" ref="P9:P32" ca="1" si="7">O9*N9</f>
        <v>1.5794141290776622</v>
      </c>
      <c r="Q9" s="316">
        <f ca="1">Q8+P9</f>
        <v>-55.049984134664093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10560</v>
      </c>
      <c r="D10" s="316">
        <f t="shared" si="5"/>
        <v>1760</v>
      </c>
      <c r="E10" s="316">
        <f t="shared" si="0"/>
        <v>8800</v>
      </c>
      <c r="F10" s="314"/>
      <c r="G10" s="318">
        <f ca="1">DATA!$D$11/1000000</f>
        <v>1.56886632102</v>
      </c>
      <c r="H10" s="318">
        <f>C10*DATA!$D$5/1000000</f>
        <v>11.448360484562327</v>
      </c>
      <c r="I10" s="318">
        <f>(C10*DATA!$D$5*DATA!$D$7)/1000000</f>
        <v>0.25758811090265238</v>
      </c>
      <c r="J10" s="316">
        <f t="shared" ca="1" si="1"/>
        <v>13.27481491648498</v>
      </c>
      <c r="K10" s="314"/>
      <c r="L10" s="316">
        <f>((D10*DATA!$D$23)/1000000)+((E10*DATA!$D$24)/1000000)</f>
        <v>15.256031999999999</v>
      </c>
      <c r="M10" s="316">
        <f t="shared" si="2"/>
        <v>15.256031999999999</v>
      </c>
      <c r="N10" s="316">
        <f t="shared" ca="1" si="6"/>
        <v>1.9812170835150198</v>
      </c>
      <c r="O10" s="315">
        <f>1/(1+'[93]Asumsi I'!$C$3)^(KKF!A10)</f>
        <v>0.71178024781341087</v>
      </c>
      <c r="P10" s="316">
        <f t="shared" ca="1" si="7"/>
        <v>1.410191186676484</v>
      </c>
      <c r="Q10" s="316">
        <f t="shared" ref="Q10:Q30" ca="1" si="9">Q9+P10</f>
        <v>-53.639792947987608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10560</v>
      </c>
      <c r="D11" s="316">
        <f t="shared" si="5"/>
        <v>1760</v>
      </c>
      <c r="E11" s="316">
        <f t="shared" si="0"/>
        <v>8800</v>
      </c>
      <c r="F11" s="314"/>
      <c r="G11" s="318">
        <f ca="1">DATA!$D$11/1000000</f>
        <v>1.56886632102</v>
      </c>
      <c r="H11" s="318">
        <f>C11*DATA!$D$5/1000000</f>
        <v>11.448360484562327</v>
      </c>
      <c r="I11" s="318">
        <f>(C11*DATA!$D$5*DATA!$D$7)/1000000</f>
        <v>0.25758811090265238</v>
      </c>
      <c r="J11" s="316">
        <f t="shared" ca="1" si="1"/>
        <v>13.27481491648498</v>
      </c>
      <c r="K11" s="314"/>
      <c r="L11" s="316">
        <f>((D11*DATA!$D$23)/1000000)+((E11*DATA!$D$24)/1000000)</f>
        <v>15.256031999999999</v>
      </c>
      <c r="M11" s="316">
        <f t="shared" si="2"/>
        <v>15.256031999999999</v>
      </c>
      <c r="N11" s="316">
        <f t="shared" ca="1" si="6"/>
        <v>1.9812170835150198</v>
      </c>
      <c r="O11" s="315">
        <f>1/(1+'[93]Asumsi I'!$C$3)^(KKF!A11)</f>
        <v>0.63551807840483121</v>
      </c>
      <c r="P11" s="316">
        <f t="shared" ca="1" si="7"/>
        <v>1.2590992738182893</v>
      </c>
      <c r="Q11" s="316">
        <f t="shared" ca="1" si="9"/>
        <v>-52.380693674169322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10560</v>
      </c>
      <c r="D12" s="316">
        <f t="shared" si="5"/>
        <v>1760</v>
      </c>
      <c r="E12" s="316">
        <f t="shared" si="0"/>
        <v>8800</v>
      </c>
      <c r="F12" s="314"/>
      <c r="G12" s="318">
        <f ca="1">DATA!$D$11/1000000</f>
        <v>1.56886632102</v>
      </c>
      <c r="H12" s="318">
        <f>C12*DATA!$D$5/1000000</f>
        <v>11.448360484562327</v>
      </c>
      <c r="I12" s="318">
        <f>(C12*DATA!$D$5*DATA!$D$7)/1000000</f>
        <v>0.25758811090265238</v>
      </c>
      <c r="J12" s="316">
        <f t="shared" ca="1" si="1"/>
        <v>13.27481491648498</v>
      </c>
      <c r="K12" s="314"/>
      <c r="L12" s="316">
        <f>((D12*DATA!$D$23)/1000000)+((E12*DATA!$D$24)/1000000)</f>
        <v>15.256031999999999</v>
      </c>
      <c r="M12" s="316">
        <f t="shared" si="2"/>
        <v>15.256031999999999</v>
      </c>
      <c r="N12" s="316">
        <f t="shared" ca="1" si="6"/>
        <v>1.9812170835150198</v>
      </c>
      <c r="O12" s="315">
        <f>1/(1+'[93]Asumsi I'!$C$3)^(KKF!A12)</f>
        <v>0.56742685571859919</v>
      </c>
      <c r="P12" s="316">
        <f t="shared" ca="1" si="7"/>
        <v>1.124195780194901</v>
      </c>
      <c r="Q12" s="316">
        <f t="shared" ca="1" si="9"/>
        <v>-51.256497893974419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10560</v>
      </c>
      <c r="D13" s="316">
        <f t="shared" si="5"/>
        <v>1760</v>
      </c>
      <c r="E13" s="316">
        <f t="shared" si="0"/>
        <v>8800</v>
      </c>
      <c r="F13" s="314"/>
      <c r="G13" s="318">
        <f ca="1">DATA!$D$11/1000000</f>
        <v>1.56886632102</v>
      </c>
      <c r="H13" s="318">
        <f>C13*DATA!$D$5/1000000</f>
        <v>11.448360484562327</v>
      </c>
      <c r="I13" s="318">
        <f>(C13*DATA!$D$5*DATA!$D$7)/1000000</f>
        <v>0.25758811090265238</v>
      </c>
      <c r="J13" s="316">
        <f t="shared" ca="1" si="1"/>
        <v>13.27481491648498</v>
      </c>
      <c r="K13" s="314"/>
      <c r="L13" s="316">
        <f>((D13*DATA!$D$23)/1000000)+((E13*DATA!$D$24)/1000000)</f>
        <v>15.256031999999999</v>
      </c>
      <c r="M13" s="316">
        <f t="shared" si="2"/>
        <v>15.256031999999999</v>
      </c>
      <c r="N13" s="316">
        <f t="shared" ca="1" si="6"/>
        <v>1.9812170835150198</v>
      </c>
      <c r="O13" s="315">
        <f>1/(1+'[93]Asumsi I'!$C$3)^(KKF!A13)</f>
        <v>0.50663112117732068</v>
      </c>
      <c r="P13" s="316">
        <f t="shared" ca="1" si="7"/>
        <v>1.0037462323168758</v>
      </c>
      <c r="Q13" s="316">
        <f t="shared" ca="1" si="9"/>
        <v>-50.252751661657541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10560</v>
      </c>
      <c r="D14" s="316">
        <f t="shared" si="5"/>
        <v>1760</v>
      </c>
      <c r="E14" s="316">
        <f t="shared" si="0"/>
        <v>8800</v>
      </c>
      <c r="F14" s="314"/>
      <c r="G14" s="318">
        <f ca="1">DATA!$D$11/1000000</f>
        <v>1.56886632102</v>
      </c>
      <c r="H14" s="318">
        <f>C14*DATA!$D$5/1000000</f>
        <v>11.448360484562327</v>
      </c>
      <c r="I14" s="318">
        <f>(C14*DATA!$D$5*DATA!$D$7)/1000000</f>
        <v>0.25758811090265238</v>
      </c>
      <c r="J14" s="316">
        <f t="shared" ca="1" si="1"/>
        <v>13.27481491648498</v>
      </c>
      <c r="K14" s="314"/>
      <c r="L14" s="316">
        <f>((D14*DATA!$D$23)/1000000)+((E14*DATA!$D$24)/1000000)</f>
        <v>15.256031999999999</v>
      </c>
      <c r="M14" s="316">
        <f t="shared" si="2"/>
        <v>15.256031999999999</v>
      </c>
      <c r="N14" s="316">
        <f t="shared" ca="1" si="6"/>
        <v>1.9812170835150198</v>
      </c>
      <c r="O14" s="315">
        <f>1/(1+'[93]Asumsi I'!$C$3)^(KKF!A14)</f>
        <v>0.45234921533689343</v>
      </c>
      <c r="P14" s="316">
        <f t="shared" ca="1" si="7"/>
        <v>0.89620199314006765</v>
      </c>
      <c r="Q14" s="316">
        <f t="shared" ca="1" si="9"/>
        <v>-49.356549668517474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10560</v>
      </c>
      <c r="D15" s="316">
        <f t="shared" si="5"/>
        <v>1760</v>
      </c>
      <c r="E15" s="316">
        <f t="shared" si="0"/>
        <v>8800</v>
      </c>
      <c r="F15" s="314"/>
      <c r="G15" s="318">
        <f ca="1">DATA!$D$11/1000000</f>
        <v>1.56886632102</v>
      </c>
      <c r="H15" s="318">
        <f>C15*DATA!$D$5/1000000</f>
        <v>11.448360484562327</v>
      </c>
      <c r="I15" s="318">
        <f>(C15*DATA!$D$5*DATA!$D$7)/1000000</f>
        <v>0.25758811090265238</v>
      </c>
      <c r="J15" s="316">
        <f t="shared" ca="1" si="1"/>
        <v>13.27481491648498</v>
      </c>
      <c r="K15" s="314"/>
      <c r="L15" s="316">
        <f>((D15*DATA!$D$23)/1000000)+((E15*DATA!$D$24)/1000000)</f>
        <v>15.256031999999999</v>
      </c>
      <c r="M15" s="316">
        <f t="shared" si="2"/>
        <v>15.256031999999999</v>
      </c>
      <c r="N15" s="316">
        <f t="shared" ca="1" si="6"/>
        <v>1.9812170835150198</v>
      </c>
      <c r="O15" s="315">
        <f>1/(1+'[93]Asumsi I'!$C$3)^(KKF!A15)</f>
        <v>0.4038832279793691</v>
      </c>
      <c r="P15" s="316">
        <f t="shared" ca="1" si="7"/>
        <v>0.80018035101791751</v>
      </c>
      <c r="Q15" s="316">
        <f t="shared" ca="1" si="9"/>
        <v>-48.556369317499559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10560</v>
      </c>
      <c r="D16" s="316">
        <f t="shared" si="5"/>
        <v>1760</v>
      </c>
      <c r="E16" s="316">
        <f t="shared" si="0"/>
        <v>8800</v>
      </c>
      <c r="F16" s="314"/>
      <c r="G16" s="318">
        <f ca="1">DATA!$D$11/1000000</f>
        <v>1.56886632102</v>
      </c>
      <c r="H16" s="318">
        <f>C16*DATA!$D$5/1000000</f>
        <v>11.448360484562327</v>
      </c>
      <c r="I16" s="318">
        <f>(C16*DATA!$D$5*DATA!$D$7)/1000000</f>
        <v>0.25758811090265238</v>
      </c>
      <c r="J16" s="316">
        <f t="shared" ca="1" si="1"/>
        <v>13.27481491648498</v>
      </c>
      <c r="K16" s="314"/>
      <c r="L16" s="316">
        <f>((D16*DATA!$D$23)/1000000)+((E16*DATA!$D$24)/1000000)</f>
        <v>15.256031999999999</v>
      </c>
      <c r="M16" s="316">
        <f t="shared" si="2"/>
        <v>15.256031999999999</v>
      </c>
      <c r="N16" s="316">
        <f t="shared" ca="1" si="6"/>
        <v>1.9812170835150198</v>
      </c>
      <c r="O16" s="315">
        <f>1/(1+'[93]Asumsi I'!$C$3)^(KKF!A16)</f>
        <v>0.36061002498157957</v>
      </c>
      <c r="P16" s="316">
        <f t="shared" ca="1" si="7"/>
        <v>0.71444674198028346</v>
      </c>
      <c r="Q16" s="316">
        <f t="shared" ca="1" si="9"/>
        <v>-47.841922575519277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10560</v>
      </c>
      <c r="D17" s="316">
        <f t="shared" si="5"/>
        <v>1760</v>
      </c>
      <c r="E17" s="316">
        <f t="shared" si="0"/>
        <v>8800</v>
      </c>
      <c r="F17" s="314"/>
      <c r="G17" s="318">
        <f ca="1">DATA!$D$11/1000000</f>
        <v>1.56886632102</v>
      </c>
      <c r="H17" s="318">
        <f>C17*DATA!$D$5/1000000</f>
        <v>11.448360484562327</v>
      </c>
      <c r="I17" s="318">
        <f>(C17*DATA!$D$5*DATA!$D$7)/1000000</f>
        <v>0.25758811090265238</v>
      </c>
      <c r="J17" s="316">
        <f t="shared" ca="1" si="1"/>
        <v>13.27481491648498</v>
      </c>
      <c r="K17" s="314"/>
      <c r="L17" s="316">
        <f>((D17*DATA!$D$23)/1000000)+((E17*DATA!$D$24)/1000000)</f>
        <v>15.256031999999999</v>
      </c>
      <c r="M17" s="316">
        <f t="shared" si="2"/>
        <v>15.256031999999999</v>
      </c>
      <c r="N17" s="316">
        <f t="shared" ca="1" si="6"/>
        <v>1.9812170835150198</v>
      </c>
      <c r="O17" s="315">
        <f>1/(1+'[93]Asumsi I'!$C$3)^(KKF!A17)</f>
        <v>0.32197323659069599</v>
      </c>
      <c r="P17" s="316">
        <f t="shared" ca="1" si="7"/>
        <v>0.63789887676811019</v>
      </c>
      <c r="Q17" s="316">
        <f t="shared" ca="1" si="9"/>
        <v>-47.204023698751165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10560</v>
      </c>
      <c r="D18" s="316">
        <f t="shared" si="5"/>
        <v>1760</v>
      </c>
      <c r="E18" s="316">
        <f t="shared" si="0"/>
        <v>8800</v>
      </c>
      <c r="F18" s="314"/>
      <c r="G18" s="318">
        <f ca="1">DATA!$D$11/1000000</f>
        <v>1.56886632102</v>
      </c>
      <c r="H18" s="318">
        <f>C18*DATA!$D$5/1000000</f>
        <v>11.448360484562327</v>
      </c>
      <c r="I18" s="318">
        <f>(C18*DATA!$D$5*DATA!$D$7)/1000000</f>
        <v>0.25758811090265238</v>
      </c>
      <c r="J18" s="316">
        <f t="shared" ca="1" si="1"/>
        <v>13.27481491648498</v>
      </c>
      <c r="K18" s="314"/>
      <c r="L18" s="316">
        <f>((D18*DATA!$D$23)/1000000)+((E18*DATA!$D$24)/1000000)</f>
        <v>15.256031999999999</v>
      </c>
      <c r="M18" s="316">
        <f t="shared" si="2"/>
        <v>15.256031999999999</v>
      </c>
      <c r="N18" s="316">
        <f t="shared" ca="1" si="6"/>
        <v>1.9812170835150198</v>
      </c>
      <c r="O18" s="315">
        <f>1/(1+'[93]Asumsi I'!$C$3)^(KKF!A18)</f>
        <v>0.28747610409883567</v>
      </c>
      <c r="P18" s="316">
        <f t="shared" ca="1" si="7"/>
        <v>0.56955256854295544</v>
      </c>
      <c r="Q18" s="316">
        <f t="shared" ca="1" si="9"/>
        <v>-46.634471130208212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10560</v>
      </c>
      <c r="D19" s="316">
        <f t="shared" si="5"/>
        <v>1760</v>
      </c>
      <c r="E19" s="316">
        <f t="shared" si="0"/>
        <v>8800</v>
      </c>
      <c r="F19" s="314"/>
      <c r="G19" s="318">
        <f ca="1">DATA!$D$11/1000000</f>
        <v>1.56886632102</v>
      </c>
      <c r="H19" s="318">
        <f>C19*DATA!$D$5/1000000</f>
        <v>11.448360484562327</v>
      </c>
      <c r="I19" s="318">
        <f>(C19*DATA!$D$5*DATA!$D$7)/1000000</f>
        <v>0.25758811090265238</v>
      </c>
      <c r="J19" s="316">
        <f t="shared" ca="1" si="1"/>
        <v>13.27481491648498</v>
      </c>
      <c r="K19" s="314"/>
      <c r="L19" s="316">
        <f>((D19*DATA!$D$23)/1000000)+((E19*DATA!$D$24)/1000000)</f>
        <v>15.256031999999999</v>
      </c>
      <c r="M19" s="316">
        <f t="shared" si="2"/>
        <v>15.256031999999999</v>
      </c>
      <c r="N19" s="316">
        <f t="shared" ca="1" si="6"/>
        <v>1.9812170835150198</v>
      </c>
      <c r="O19" s="315">
        <f>1/(1+'[93]Asumsi I'!$C$3)^(KKF!A19)</f>
        <v>0.25667509294538904</v>
      </c>
      <c r="P19" s="316">
        <f t="shared" ca="1" si="7"/>
        <v>0.50852907905621025</v>
      </c>
      <c r="Q19" s="316">
        <f t="shared" ca="1" si="9"/>
        <v>-46.125942051152002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10560</v>
      </c>
      <c r="D20" s="316">
        <f t="shared" si="5"/>
        <v>1760</v>
      </c>
      <c r="E20" s="316">
        <f t="shared" si="0"/>
        <v>8800</v>
      </c>
      <c r="F20" s="314"/>
      <c r="G20" s="318">
        <f ca="1">DATA!$D$11/1000000</f>
        <v>1.56886632102</v>
      </c>
      <c r="H20" s="318">
        <f>C20*DATA!$D$5/1000000</f>
        <v>11.448360484562327</v>
      </c>
      <c r="I20" s="318">
        <f>(C20*DATA!$D$5*DATA!$D$7)/1000000</f>
        <v>0.25758811090265238</v>
      </c>
      <c r="J20" s="316">
        <f t="shared" ca="1" si="1"/>
        <v>13.27481491648498</v>
      </c>
      <c r="K20" s="314"/>
      <c r="L20" s="316">
        <f>((D20*DATA!$D$23)/1000000)+((E20*DATA!$D$24)/1000000)</f>
        <v>15.256031999999999</v>
      </c>
      <c r="M20" s="316">
        <f t="shared" si="2"/>
        <v>15.256031999999999</v>
      </c>
      <c r="N20" s="316">
        <f t="shared" ca="1" si="6"/>
        <v>1.9812170835150198</v>
      </c>
      <c r="O20" s="315">
        <f>1/(1+'[93]Asumsi I'!$C$3)^(KKF!A20)</f>
        <v>0.22917419012981158</v>
      </c>
      <c r="P20" s="316">
        <f t="shared" ca="1" si="7"/>
        <v>0.45404382058590192</v>
      </c>
      <c r="Q20" s="316">
        <f t="shared" ca="1" si="9"/>
        <v>-45.6718982305661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10560</v>
      </c>
      <c r="D21" s="316">
        <f t="shared" si="5"/>
        <v>1760</v>
      </c>
      <c r="E21" s="316">
        <f t="shared" si="0"/>
        <v>8800</v>
      </c>
      <c r="F21" s="314"/>
      <c r="G21" s="318">
        <f ca="1">DATA!$D$11/1000000</f>
        <v>1.56886632102</v>
      </c>
      <c r="H21" s="318">
        <f>C21*DATA!$D$5/1000000</f>
        <v>11.448360484562327</v>
      </c>
      <c r="I21" s="318">
        <f>(C21*DATA!$D$5*DATA!$D$7)/1000000</f>
        <v>0.25758811090265238</v>
      </c>
      <c r="J21" s="316">
        <f t="shared" ca="1" si="1"/>
        <v>13.27481491648498</v>
      </c>
      <c r="K21" s="314"/>
      <c r="L21" s="316">
        <f>((D21*DATA!$D$23)/1000000)+((E21*DATA!$D$24)/1000000)</f>
        <v>15.256031999999999</v>
      </c>
      <c r="M21" s="316">
        <f t="shared" si="2"/>
        <v>15.256031999999999</v>
      </c>
      <c r="N21" s="316">
        <f t="shared" ca="1" si="6"/>
        <v>1.9812170835150198</v>
      </c>
      <c r="O21" s="315">
        <f>1/(1+'[93]Asumsi I'!$C$3)^(KKF!A21)</f>
        <v>0.20461981261590317</v>
      </c>
      <c r="P21" s="316">
        <f t="shared" ca="1" si="7"/>
        <v>0.40539626838026954</v>
      </c>
      <c r="Q21" s="316">
        <f t="shared" ca="1" si="9"/>
        <v>-45.266501962185828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10560</v>
      </c>
      <c r="D22" s="316">
        <f t="shared" si="5"/>
        <v>1760</v>
      </c>
      <c r="E22" s="316">
        <f t="shared" si="0"/>
        <v>8800</v>
      </c>
      <c r="F22" s="314"/>
      <c r="G22" s="318">
        <f ca="1">DATA!$D$11/1000000</f>
        <v>1.56886632102</v>
      </c>
      <c r="H22" s="318">
        <f>C22*DATA!$D$5/1000000</f>
        <v>11.448360484562327</v>
      </c>
      <c r="I22" s="318">
        <f>(C22*DATA!$D$5*DATA!$D$7)/1000000</f>
        <v>0.25758811090265238</v>
      </c>
      <c r="J22" s="316">
        <f t="shared" ca="1" si="1"/>
        <v>13.27481491648498</v>
      </c>
      <c r="K22" s="314"/>
      <c r="L22" s="316">
        <f>((D22*DATA!$D$23)/1000000)+((E22*DATA!$D$24)/1000000)</f>
        <v>15.256031999999999</v>
      </c>
      <c r="M22" s="316">
        <f t="shared" si="2"/>
        <v>15.256031999999999</v>
      </c>
      <c r="N22" s="316">
        <f t="shared" ca="1" si="6"/>
        <v>1.9812170835150198</v>
      </c>
      <c r="O22" s="315">
        <f>1/(1+'[93]Asumsi I'!$C$3)^(KKF!A22)</f>
        <v>0.18269626126419927</v>
      </c>
      <c r="P22" s="316">
        <f t="shared" ca="1" si="7"/>
        <v>0.36196095391095495</v>
      </c>
      <c r="Q22" s="316">
        <f t="shared" ca="1" si="9"/>
        <v>-44.904541008274876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10560</v>
      </c>
      <c r="D23" s="316">
        <f t="shared" si="5"/>
        <v>1760</v>
      </c>
      <c r="E23" s="316">
        <f t="shared" si="0"/>
        <v>8800</v>
      </c>
      <c r="F23" s="314"/>
      <c r="G23" s="318">
        <f ca="1">DATA!$D$11/1000000</f>
        <v>1.56886632102</v>
      </c>
      <c r="H23" s="318">
        <f>C23*DATA!$D$5/1000000</f>
        <v>11.448360484562327</v>
      </c>
      <c r="I23" s="318">
        <f>(C23*DATA!$D$5*DATA!$D$7)/1000000</f>
        <v>0.25758811090265238</v>
      </c>
      <c r="J23" s="316">
        <f t="shared" ca="1" si="1"/>
        <v>13.27481491648498</v>
      </c>
      <c r="K23" s="314"/>
      <c r="L23" s="316">
        <f>((D23*DATA!$D$23)/1000000)+((E23*DATA!$D$24)/1000000)</f>
        <v>15.256031999999999</v>
      </c>
      <c r="M23" s="316">
        <f t="shared" si="2"/>
        <v>15.256031999999999</v>
      </c>
      <c r="N23" s="316">
        <f t="shared" ca="1" si="6"/>
        <v>1.9812170835150198</v>
      </c>
      <c r="O23" s="315">
        <f>1/(1+'[93]Asumsi I'!$C$3)^(KKF!A23)</f>
        <v>0.16312166184303503</v>
      </c>
      <c r="P23" s="316">
        <f t="shared" ca="1" si="7"/>
        <v>0.32317942313478115</v>
      </c>
      <c r="Q23" s="316">
        <f t="shared" ca="1" si="9"/>
        <v>-44.581361585140094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10560</v>
      </c>
      <c r="D24" s="316">
        <f t="shared" si="5"/>
        <v>1760</v>
      </c>
      <c r="E24" s="316">
        <f t="shared" si="0"/>
        <v>8800</v>
      </c>
      <c r="F24" s="314"/>
      <c r="G24" s="318">
        <f ca="1">DATA!$D$11/1000000</f>
        <v>1.56886632102</v>
      </c>
      <c r="H24" s="318">
        <f>C24*DATA!$D$5/1000000</f>
        <v>11.448360484562327</v>
      </c>
      <c r="I24" s="318">
        <f>(C24*DATA!$D$5*DATA!$D$7)/1000000</f>
        <v>0.25758811090265238</v>
      </c>
      <c r="J24" s="316">
        <f t="shared" ca="1" si="1"/>
        <v>13.27481491648498</v>
      </c>
      <c r="K24" s="314"/>
      <c r="L24" s="316">
        <f>((D24*DATA!$D$23)/1000000)+((E24*DATA!$D$24)/1000000)</f>
        <v>15.256031999999999</v>
      </c>
      <c r="M24" s="316">
        <f t="shared" si="2"/>
        <v>15.256031999999999</v>
      </c>
      <c r="N24" s="316">
        <f t="shared" ca="1" si="6"/>
        <v>1.9812170835150198</v>
      </c>
      <c r="O24" s="315">
        <f>1/(1+'[93]Asumsi I'!$C$3)^(KKF!A24)</f>
        <v>0.14564434093128129</v>
      </c>
      <c r="P24" s="316">
        <f t="shared" ca="1" si="7"/>
        <v>0.28855305637034034</v>
      </c>
      <c r="Q24" s="316">
        <f t="shared" ca="1" si="9"/>
        <v>-44.292808528769754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10560</v>
      </c>
      <c r="D25" s="316">
        <f t="shared" si="5"/>
        <v>1760</v>
      </c>
      <c r="E25" s="316">
        <f t="shared" si="0"/>
        <v>8800</v>
      </c>
      <c r="F25" s="314"/>
      <c r="G25" s="318">
        <f ca="1">DATA!$D$11/1000000</f>
        <v>1.56886632102</v>
      </c>
      <c r="H25" s="318">
        <f>C25*DATA!$D$5/1000000</f>
        <v>11.448360484562327</v>
      </c>
      <c r="I25" s="318">
        <f>(C25*DATA!$D$5*DATA!$D$7)/1000000</f>
        <v>0.25758811090265238</v>
      </c>
      <c r="J25" s="316">
        <f t="shared" ca="1" si="1"/>
        <v>13.27481491648498</v>
      </c>
      <c r="K25" s="314"/>
      <c r="L25" s="316">
        <f>((D25*DATA!$D$23)/1000000)+((E25*DATA!$D$24)/1000000)</f>
        <v>15.256031999999999</v>
      </c>
      <c r="M25" s="316">
        <f t="shared" si="2"/>
        <v>15.256031999999999</v>
      </c>
      <c r="N25" s="316">
        <f t="shared" ca="1" si="6"/>
        <v>1.9812170835150198</v>
      </c>
      <c r="O25" s="315">
        <f>1/(1+'[93]Asumsi I'!$C$3)^(KKF!A25)</f>
        <v>0.13003959011721541</v>
      </c>
      <c r="P25" s="316">
        <f t="shared" ca="1" si="7"/>
        <v>0.2576366574735181</v>
      </c>
      <c r="Q25" s="316">
        <f t="shared" ca="1" si="9"/>
        <v>-44.035171871296235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10560</v>
      </c>
      <c r="D26" s="316">
        <f t="shared" si="5"/>
        <v>1760</v>
      </c>
      <c r="E26" s="316">
        <f t="shared" si="0"/>
        <v>8800</v>
      </c>
      <c r="F26" s="314"/>
      <c r="G26" s="318">
        <f ca="1">DATA!$D$11/1000000</f>
        <v>1.56886632102</v>
      </c>
      <c r="H26" s="318">
        <f>C26*DATA!$D$5/1000000</f>
        <v>11.448360484562327</v>
      </c>
      <c r="I26" s="318">
        <f>(C26*DATA!$D$5*DATA!$D$7)/1000000</f>
        <v>0.25758811090265238</v>
      </c>
      <c r="J26" s="316">
        <f t="shared" ca="1" si="1"/>
        <v>13.27481491648498</v>
      </c>
      <c r="K26" s="314"/>
      <c r="L26" s="316">
        <f>((D26*DATA!$D$23)/1000000)+((E26*DATA!$D$24)/1000000)</f>
        <v>15.256031999999999</v>
      </c>
      <c r="M26" s="316">
        <f t="shared" si="2"/>
        <v>15.256031999999999</v>
      </c>
      <c r="N26" s="316">
        <f t="shared" ca="1" si="6"/>
        <v>1.9812170835150198</v>
      </c>
      <c r="O26" s="315">
        <f>1/(1+'[93]Asumsi I'!$C$3)^(KKF!A26)</f>
        <v>0.1161067768903709</v>
      </c>
      <c r="P26" s="316">
        <f t="shared" ca="1" si="7"/>
        <v>0.23003272988706971</v>
      </c>
      <c r="Q26" s="316">
        <f t="shared" ca="1" si="9"/>
        <v>-43.805139141409164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10560</v>
      </c>
      <c r="D27" s="316">
        <f t="shared" si="5"/>
        <v>1760</v>
      </c>
      <c r="E27" s="316">
        <f t="shared" si="0"/>
        <v>8800</v>
      </c>
      <c r="F27" s="314"/>
      <c r="G27" s="318">
        <f ca="1">DATA!$D$11/1000000</f>
        <v>1.56886632102</v>
      </c>
      <c r="H27" s="318">
        <f>C27*DATA!$D$5/1000000</f>
        <v>11.448360484562327</v>
      </c>
      <c r="I27" s="318">
        <f>(C27*DATA!$D$5*DATA!$D$7)/1000000</f>
        <v>0.25758811090265238</v>
      </c>
      <c r="J27" s="316">
        <f t="shared" ca="1" si="1"/>
        <v>13.27481491648498</v>
      </c>
      <c r="K27" s="314"/>
      <c r="L27" s="316">
        <f>((D27*DATA!$D$23)/1000000)+((E27*DATA!$D$24)/1000000)</f>
        <v>15.256031999999999</v>
      </c>
      <c r="M27" s="316">
        <f t="shared" si="2"/>
        <v>15.256031999999999</v>
      </c>
      <c r="N27" s="316">
        <f t="shared" ca="1" si="6"/>
        <v>1.9812170835150198</v>
      </c>
      <c r="O27" s="315">
        <f>1/(1+'[93]Asumsi I'!$C$3)^(KKF!A27)</f>
        <v>0.1036667650806883</v>
      </c>
      <c r="P27" s="316">
        <f t="shared" ca="1" si="7"/>
        <v>0.20538636597059795</v>
      </c>
      <c r="Q27" s="316">
        <f t="shared" ca="1" si="9"/>
        <v>-43.599752775438567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10560</v>
      </c>
      <c r="D28" s="316">
        <f t="shared" si="5"/>
        <v>1760</v>
      </c>
      <c r="E28" s="316">
        <f t="shared" si="0"/>
        <v>8800</v>
      </c>
      <c r="F28" s="314"/>
      <c r="G28" s="318">
        <f ca="1">DATA!$D$11/1000000</f>
        <v>1.56886632102</v>
      </c>
      <c r="H28" s="318">
        <f>C28*DATA!$D$5/1000000</f>
        <v>11.448360484562327</v>
      </c>
      <c r="I28" s="318">
        <f>(C28*DATA!$D$5*DATA!$D$7)/1000000</f>
        <v>0.25758811090265238</v>
      </c>
      <c r="J28" s="316">
        <f t="shared" ca="1" si="1"/>
        <v>13.27481491648498</v>
      </c>
      <c r="K28" s="314"/>
      <c r="L28" s="316">
        <f>((D28*DATA!$D$23)/1000000)+((E28*DATA!$D$24)/1000000)</f>
        <v>15.256031999999999</v>
      </c>
      <c r="M28" s="316">
        <f t="shared" si="2"/>
        <v>15.256031999999999</v>
      </c>
      <c r="N28" s="316">
        <f t="shared" ca="1" si="6"/>
        <v>1.9812170835150198</v>
      </c>
      <c r="O28" s="315">
        <f>1/(1+'[93]Asumsi I'!$C$3)^(KKF!A28)</f>
        <v>9.2559611679185971E-2</v>
      </c>
      <c r="P28" s="316">
        <f t="shared" ca="1" si="7"/>
        <v>0.1833806839023196</v>
      </c>
      <c r="Q28" s="316">
        <f t="shared" ca="1" si="9"/>
        <v>-43.416372091536246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10560</v>
      </c>
      <c r="D29" s="316">
        <f t="shared" si="5"/>
        <v>1760</v>
      </c>
      <c r="E29" s="316">
        <f t="shared" si="0"/>
        <v>8800</v>
      </c>
      <c r="F29" s="314"/>
      <c r="G29" s="318">
        <f ca="1">DATA!$D$11/1000000</f>
        <v>1.56886632102</v>
      </c>
      <c r="H29" s="318">
        <f>C29*DATA!$D$5/1000000</f>
        <v>11.448360484562327</v>
      </c>
      <c r="I29" s="318">
        <f>(C29*DATA!$D$5*DATA!$D$7)/1000000</f>
        <v>0.25758811090265238</v>
      </c>
      <c r="J29" s="316">
        <f t="shared" ca="1" si="1"/>
        <v>13.27481491648498</v>
      </c>
      <c r="K29" s="314"/>
      <c r="L29" s="316">
        <f>((D29*DATA!$D$23)/1000000)+((E29*DATA!$D$24)/1000000)</f>
        <v>15.256031999999999</v>
      </c>
      <c r="M29" s="316">
        <f t="shared" si="2"/>
        <v>15.256031999999999</v>
      </c>
      <c r="N29" s="316">
        <f t="shared" ca="1" si="6"/>
        <v>1.9812170835150198</v>
      </c>
      <c r="O29" s="315">
        <f>1/(1+'[93]Asumsi I'!$C$3)^(KKF!A29)</f>
        <v>8.2642510427844609E-2</v>
      </c>
      <c r="P29" s="316">
        <f t="shared" ca="1" si="7"/>
        <v>0.1637327534842139</v>
      </c>
      <c r="Q29" s="316">
        <f t="shared" ca="1" si="9"/>
        <v>-43.252639338052035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10560</v>
      </c>
      <c r="D30" s="316">
        <f t="shared" si="5"/>
        <v>1760</v>
      </c>
      <c r="E30" s="316">
        <f t="shared" si="0"/>
        <v>8800</v>
      </c>
      <c r="F30" s="314"/>
      <c r="G30" s="318">
        <f ca="1">DATA!$D$11/1000000</f>
        <v>1.56886632102</v>
      </c>
      <c r="H30" s="318">
        <f>C30*DATA!$D$5/1000000</f>
        <v>11.448360484562327</v>
      </c>
      <c r="I30" s="318">
        <f>(C30*DATA!$D$5*DATA!$D$7)/1000000</f>
        <v>0.25758811090265238</v>
      </c>
      <c r="J30" s="316">
        <f t="shared" ca="1" si="1"/>
        <v>13.27481491648498</v>
      </c>
      <c r="K30" s="314"/>
      <c r="L30" s="316">
        <f>((D30*DATA!$D$23)/1000000)+((E30*DATA!$D$24)/1000000)</f>
        <v>15.256031999999999</v>
      </c>
      <c r="M30" s="316">
        <f t="shared" si="2"/>
        <v>15.256031999999999</v>
      </c>
      <c r="N30" s="316">
        <f t="shared" ca="1" si="6"/>
        <v>1.9812170835150198</v>
      </c>
      <c r="O30" s="315">
        <f>1/(1+'[93]Asumsi I'!$C$3)^(KKF!A30)</f>
        <v>7.3787955739146982E-2</v>
      </c>
      <c r="P30" s="316">
        <f t="shared" ca="1" si="7"/>
        <v>0.14618995846804814</v>
      </c>
      <c r="Q30" s="316">
        <f t="shared" ca="1" si="9"/>
        <v>-43.106449379583985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10560</v>
      </c>
      <c r="D31" s="316">
        <f t="shared" si="5"/>
        <v>1760</v>
      </c>
      <c r="E31" s="316">
        <f t="shared" si="0"/>
        <v>8800</v>
      </c>
      <c r="F31" s="314"/>
      <c r="G31" s="318">
        <f ca="1">DATA!$D$11/1000000</f>
        <v>1.56886632102</v>
      </c>
      <c r="H31" s="318">
        <f>C31*DATA!$D$5/1000000</f>
        <v>11.448360484562327</v>
      </c>
      <c r="I31" s="318">
        <f>(C31*DATA!$D$5*DATA!$D$7)/1000000</f>
        <v>0.25758811090265238</v>
      </c>
      <c r="J31" s="316">
        <f t="shared" ca="1" si="1"/>
        <v>13.27481491648498</v>
      </c>
      <c r="K31" s="314"/>
      <c r="L31" s="316">
        <f>((D31*DATA!$D$23)/1000000)+((E31*DATA!$D$24)/1000000)</f>
        <v>15.256031999999999</v>
      </c>
      <c r="M31" s="316">
        <f t="shared" si="2"/>
        <v>15.256031999999999</v>
      </c>
      <c r="N31" s="316">
        <f t="shared" ca="1" si="6"/>
        <v>1.9812170835150198</v>
      </c>
      <c r="O31" s="315">
        <f>1/(1+'[93]Asumsi I'!$C$3)^(KKF!A31)</f>
        <v>6.5882103338524081E-2</v>
      </c>
      <c r="P31" s="316">
        <f t="shared" ca="1" si="7"/>
        <v>0.13052674863218583</v>
      </c>
      <c r="Q31" s="316">
        <f ca="1">Q30+P31</f>
        <v>-42.9759226309518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10560</v>
      </c>
      <c r="D32" s="316">
        <f t="shared" si="5"/>
        <v>1760</v>
      </c>
      <c r="E32" s="316">
        <f t="shared" si="0"/>
        <v>8800</v>
      </c>
      <c r="F32" s="314"/>
      <c r="G32" s="318">
        <f ca="1">DATA!$D$11/1000000</f>
        <v>1.56886632102</v>
      </c>
      <c r="H32" s="318">
        <f>C32*DATA!$D$5/1000000</f>
        <v>11.448360484562327</v>
      </c>
      <c r="I32" s="318">
        <f>(C32*DATA!$D$5*DATA!$D$7)/1000000</f>
        <v>0.25758811090265238</v>
      </c>
      <c r="J32" s="316">
        <f t="shared" ca="1" si="1"/>
        <v>13.27481491648498</v>
      </c>
      <c r="K32" s="314"/>
      <c r="L32" s="316">
        <f>((D32*DATA!$D$23)/1000000)+((E32*DATA!$D$24)/1000000)</f>
        <v>15.256031999999999</v>
      </c>
      <c r="M32" s="316">
        <f t="shared" si="2"/>
        <v>15.256031999999999</v>
      </c>
      <c r="N32" s="316">
        <f t="shared" ca="1" si="6"/>
        <v>1.9812170835150198</v>
      </c>
      <c r="O32" s="315">
        <f>1/(1+'[93]Asumsi I'!$C$3)^(KKF!A32)</f>
        <v>5.8823306552253637E-2</v>
      </c>
      <c r="P32" s="316">
        <f t="shared" ca="1" si="7"/>
        <v>0.1165417398501659</v>
      </c>
      <c r="Q32" s="316">
        <f ca="1">Q31+P32</f>
        <v>-42.859380891101637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5" t="s">
        <v>1374</v>
      </c>
      <c r="G33" s="615"/>
      <c r="H33" s="615"/>
      <c r="I33" s="324"/>
      <c r="J33" s="325">
        <f ca="1">SUM(J7:J32)</f>
        <v>412.85805100043302</v>
      </c>
      <c r="K33" s="615" t="s">
        <v>1375</v>
      </c>
      <c r="L33" s="615"/>
      <c r="M33" s="325">
        <f>SUM(M7:M32)</f>
        <v>403.99013600000006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40.87774063840731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0.97852066835333762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-38.267304367055026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-1.2287656423870419E-2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5"/>
  <sheetViews>
    <sheetView showGridLines="0" zoomScale="70" zoomScaleNormal="70" zoomScaleSheetLayoutView="70" workbookViewId="0">
      <pane ySplit="13" topLeftCell="A56" activePane="bottomLeft" state="frozen"/>
      <selection activeCell="H1093" sqref="H1093"/>
      <selection pane="bottomLeft" activeCell="C64" sqref="C64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4" customWidth="1"/>
    <col min="4" max="4" width="13.7109375" style="414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8" t="s">
        <v>1036</v>
      </c>
      <c r="P3" s="618"/>
      <c r="Q3" s="346"/>
      <c r="T3" s="344"/>
      <c r="U3" s="345" t="s">
        <v>1041</v>
      </c>
      <c r="V3" s="344"/>
    </row>
    <row r="4" spans="1:22" ht="18.75">
      <c r="B4" s="619" t="s">
        <v>1023</v>
      </c>
      <c r="C4" s="619"/>
      <c r="D4" s="619"/>
      <c r="E4" s="619"/>
      <c r="F4" s="619"/>
      <c r="G4" s="619"/>
      <c r="H4" s="619"/>
      <c r="I4" s="619"/>
      <c r="J4" s="619"/>
      <c r="K4" s="619"/>
      <c r="O4" s="618"/>
      <c r="P4" s="61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5" t="s">
        <v>1618</v>
      </c>
      <c r="H6" s="635"/>
      <c r="I6" s="635"/>
      <c r="J6" s="635"/>
      <c r="K6" s="635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1621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1" t="s">
        <v>0</v>
      </c>
      <c r="C11" s="623" t="s">
        <v>1</v>
      </c>
      <c r="D11" s="626" t="s">
        <v>42</v>
      </c>
      <c r="E11" s="626" t="s">
        <v>43</v>
      </c>
      <c r="F11" s="626" t="s">
        <v>2</v>
      </c>
      <c r="G11" s="628" t="s">
        <v>41</v>
      </c>
      <c r="H11" s="626" t="s">
        <v>3</v>
      </c>
      <c r="I11" s="626"/>
      <c r="J11" s="626"/>
      <c r="K11" s="645"/>
      <c r="O11" s="351"/>
      <c r="P11" s="352"/>
      <c r="Q11" s="351"/>
      <c r="S11" s="353"/>
      <c r="T11" s="354"/>
      <c r="U11" s="354"/>
      <c r="V11" s="354"/>
    </row>
    <row r="12" spans="1:22">
      <c r="B12" s="622"/>
      <c r="C12" s="624"/>
      <c r="D12" s="627"/>
      <c r="E12" s="627"/>
      <c r="F12" s="627"/>
      <c r="G12" s="629"/>
      <c r="H12" s="631" t="s">
        <v>46</v>
      </c>
      <c r="I12" s="631" t="s">
        <v>5</v>
      </c>
      <c r="J12" s="627" t="s">
        <v>47</v>
      </c>
      <c r="K12" s="646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2"/>
      <c r="C13" s="625"/>
      <c r="D13" s="627"/>
      <c r="E13" s="627"/>
      <c r="F13" s="627"/>
      <c r="G13" s="630"/>
      <c r="H13" s="632"/>
      <c r="I13" s="632"/>
      <c r="J13" s="627"/>
      <c r="K13" s="646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1" t="s">
        <v>1456</v>
      </c>
      <c r="C17" s="372" t="s">
        <v>1616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499"/>
      <c r="C18" s="500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24" ca="1" si="8">IF(OR(D18="MDU",D18="MDU-KD"),(IF($O$3="RAB NON MDU","PLN KD",G18*F18)),0)</f>
        <v>0</v>
      </c>
      <c r="I18" s="361">
        <f t="shared" ref="I18:I24" ca="1" si="9">IF(D18="HDW",G18*F18,0)</f>
        <v>0</v>
      </c>
      <c r="J18" s="361">
        <f t="shared" ref="J18:J24" ca="1" si="10">IF(D18="JASA",G18*F18,0)</f>
        <v>0</v>
      </c>
      <c r="K18" s="362">
        <f t="shared" ref="K18:K24" ca="1" si="11">SUM(H18:J18)</f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503" t="s">
        <v>1035</v>
      </c>
      <c r="C19" s="504" t="s">
        <v>1614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85">
        <v>1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503">
        <v>1</v>
      </c>
      <c r="C20" s="504" t="s">
        <v>595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485">
        <f>F19*1</f>
        <v>1</v>
      </c>
      <c r="G20" s="360">
        <f ca="1">IF(ISERROR(OFFSET('HARGA SATUAN'!$I$6,MATCH(RAB!C20,'HARGA SATUAN'!$C$7:$C$1492,0),0)),0,OFFSET('HARGA SATUAN'!$I$6,MATCH(RAB!C20,'HARGA SATUAN'!$C$7:$C$1492,0),0))</f>
        <v>78500</v>
      </c>
      <c r="H20" s="361">
        <f t="shared" ca="1" si="8"/>
        <v>0</v>
      </c>
      <c r="I20" s="361">
        <f t="shared" ca="1" si="9"/>
        <v>78500</v>
      </c>
      <c r="J20" s="361">
        <f t="shared" ca="1" si="10"/>
        <v>0</v>
      </c>
      <c r="K20" s="362">
        <f t="shared" ca="1" si="11"/>
        <v>78500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503">
        <v>2</v>
      </c>
      <c r="C21" s="504" t="s">
        <v>229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485">
        <f>F19*1</f>
        <v>1</v>
      </c>
      <c r="G21" s="360">
        <f ca="1">IF(ISERROR(OFFSET('HARGA SATUAN'!$I$6,MATCH(RAB!C21,'HARGA SATUAN'!$C$7:$C$1492,0),0)),0,OFFSET('HARGA SATUAN'!$I$6,MATCH(RAB!C21,'HARGA SATUAN'!$C$7:$C$1492,0),0))</f>
        <v>4212</v>
      </c>
      <c r="H21" s="361">
        <f t="shared" ca="1" si="8"/>
        <v>0</v>
      </c>
      <c r="I21" s="361">
        <f t="shared" ca="1" si="9"/>
        <v>4212</v>
      </c>
      <c r="J21" s="361">
        <f t="shared" ca="1" si="10"/>
        <v>0</v>
      </c>
      <c r="K21" s="362">
        <f t="shared" ca="1" si="11"/>
        <v>4212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503">
        <v>3</v>
      </c>
      <c r="C22" s="504" t="s">
        <v>266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Mtr</v>
      </c>
      <c r="F22" s="485">
        <f>F19*1</f>
        <v>1</v>
      </c>
      <c r="G22" s="360">
        <f ca="1">IF(ISERROR(OFFSET('HARGA SATUAN'!$I$6,MATCH(RAB!C22,'HARGA SATUAN'!$C$7:$C$1492,0),0)),0,OFFSET('HARGA SATUAN'!$I$6,MATCH(RAB!C22,'HARGA SATUAN'!$C$7:$C$1492,0),0))</f>
        <v>23310</v>
      </c>
      <c r="H22" s="361">
        <f t="shared" ca="1" si="8"/>
        <v>0</v>
      </c>
      <c r="I22" s="361">
        <f t="shared" ca="1" si="9"/>
        <v>23310</v>
      </c>
      <c r="J22" s="361">
        <f t="shared" ca="1" si="10"/>
        <v>0</v>
      </c>
      <c r="K22" s="362">
        <f t="shared" ca="1" si="11"/>
        <v>23310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503">
        <v>4</v>
      </c>
      <c r="C23" s="504" t="s">
        <v>35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85">
        <f>F19*1</f>
        <v>1</v>
      </c>
      <c r="G23" s="360">
        <f ca="1">IF(ISERROR(OFFSET('HARGA SATUAN'!$I$6,MATCH(RAB!C23,'HARGA SATUAN'!$C$7:$C$1492,0),0)),0,OFFSET('HARGA SATUAN'!$I$6,MATCH(RAB!C23,'HARGA SATUAN'!$C$7:$C$1492,0),0))</f>
        <v>2300</v>
      </c>
      <c r="H23" s="361">
        <f t="shared" ca="1" si="8"/>
        <v>0</v>
      </c>
      <c r="I23" s="361">
        <f t="shared" ca="1" si="9"/>
        <v>2300</v>
      </c>
      <c r="J23" s="361">
        <f t="shared" ca="1" si="10"/>
        <v>0</v>
      </c>
      <c r="K23" s="362">
        <f t="shared" ca="1" si="11"/>
        <v>2300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3">
        <v>5</v>
      </c>
      <c r="C24" s="504" t="s">
        <v>630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5">
        <f>F19*1</f>
        <v>1</v>
      </c>
      <c r="G24" s="360">
        <f ca="1">IF(ISERROR(OFFSET('HARGA SATUAN'!$I$6,MATCH(RAB!C24,'HARGA SATUAN'!$C$7:$C$1492,0),0)),0,OFFSET('HARGA SATUAN'!$I$6,MATCH(RAB!C24,'HARGA SATUAN'!$C$7:$C$1492,0),0))</f>
        <v>35700</v>
      </c>
      <c r="H24" s="361">
        <f t="shared" ca="1" si="8"/>
        <v>0</v>
      </c>
      <c r="I24" s="361">
        <f t="shared" ca="1" si="9"/>
        <v>0</v>
      </c>
      <c r="J24" s="361">
        <f t="shared" ca="1" si="10"/>
        <v>35700</v>
      </c>
      <c r="K24" s="362">
        <f t="shared" ca="1" si="11"/>
        <v>35700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3"/>
      <c r="C25" s="504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85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ref="H25" ca="1" si="12">IF(OR(D25="MDU",D25="MDU-KD"),(IF($O$3="RAB NON MDU","PLN KD",G25*F25)),0)</f>
        <v>0</v>
      </c>
      <c r="I25" s="361">
        <f t="shared" ref="I25" ca="1" si="13">IF(D25="HDW",G25*F25,0)</f>
        <v>0</v>
      </c>
      <c r="J25" s="361">
        <f t="shared" ref="J25" ca="1" si="14">IF(D25="JASA",G25*F25,0)</f>
        <v>0</v>
      </c>
      <c r="K25" s="362">
        <f t="shared" ref="K25" ca="1" si="15">SUM(H25:J25)</f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65" customFormat="1">
      <c r="A26" s="336"/>
      <c r="B26" s="374" t="s">
        <v>1549</v>
      </c>
      <c r="C26" s="375" t="s">
        <v>1612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368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ref="H26" ca="1" si="16">IF(OR(D26="MDU",D26="MDU-KD"),(IF($O$3="RAB NON MDU","PLN KD",G26*F26)),0)</f>
        <v>0</v>
      </c>
      <c r="I26" s="361">
        <f t="shared" ref="I26" ca="1" si="17">IF(D26="HDW",G26*F26,0)</f>
        <v>0</v>
      </c>
      <c r="J26" s="361">
        <f t="shared" ref="J26" ca="1" si="18">IF(D26="JASA",G26*F26,0)</f>
        <v>0</v>
      </c>
      <c r="K26" s="362">
        <f t="shared" ref="K26" ca="1" si="19">SUM(H26:J26)</f>
        <v>0</v>
      </c>
      <c r="L26" s="342"/>
      <c r="M26" s="342"/>
      <c r="N26" s="369"/>
      <c r="O26" s="344"/>
      <c r="P26" s="344"/>
      <c r="Q26" s="399"/>
      <c r="R26" s="344"/>
      <c r="S26" s="399"/>
      <c r="T26" s="400"/>
      <c r="U26" s="400"/>
      <c r="V26" s="400"/>
    </row>
    <row r="27" spans="1:22" s="365" customFormat="1">
      <c r="A27" s="336"/>
      <c r="B27" s="374"/>
      <c r="C27" s="375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36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ref="H27:H50" ca="1" si="20">IF(OR(D27="MDU",D27="MDU-KD"),(IF($O$3="RAB NON MDU","PLN KD",G27*F27)),0)</f>
        <v>0</v>
      </c>
      <c r="I27" s="361">
        <f t="shared" ref="I27:I50" ca="1" si="21">IF(D27="HDW",G27*F27,0)</f>
        <v>0</v>
      </c>
      <c r="J27" s="361">
        <f t="shared" ref="J27:J50" ca="1" si="22">IF(D27="JASA",G27*F27,0)</f>
        <v>0</v>
      </c>
      <c r="K27" s="362">
        <f t="shared" ref="K27:K50" ca="1" si="23">SUM(H27:J27)</f>
        <v>0</v>
      </c>
      <c r="L27" s="342"/>
      <c r="M27" s="342"/>
      <c r="N27" s="369"/>
      <c r="O27" s="344"/>
      <c r="P27" s="344"/>
      <c r="Q27" s="399"/>
      <c r="R27" s="344"/>
      <c r="S27" s="399"/>
      <c r="T27" s="400"/>
      <c r="U27" s="400"/>
      <c r="V27" s="400"/>
    </row>
    <row r="28" spans="1:22" s="365" customFormat="1">
      <c r="A28" s="336"/>
      <c r="B28" s="510" t="s">
        <v>1035</v>
      </c>
      <c r="C28" s="511" t="s">
        <v>1624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85">
        <v>1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  <c r="L28" s="342"/>
      <c r="M28" s="342"/>
      <c r="N28" s="369"/>
      <c r="O28" s="344"/>
      <c r="P28" s="344"/>
      <c r="Q28" s="399"/>
      <c r="R28" s="344"/>
      <c r="S28" s="399"/>
      <c r="T28" s="400"/>
      <c r="U28" s="400"/>
      <c r="V28" s="400"/>
    </row>
    <row r="29" spans="1:22" s="365" customFormat="1">
      <c r="A29" s="336"/>
      <c r="B29" s="510">
        <v>1</v>
      </c>
      <c r="C29" s="511" t="s">
        <v>1146</v>
      </c>
      <c r="D29" s="358" t="str">
        <f ca="1">IF(ISERROR(OFFSET('HARGA SATUAN'!$D$6,MATCH(RAB!C29,'HARGA SATUAN'!$C$7:$C$1492,0),0)),"",OFFSET('HARGA SATUAN'!$D$6,MATCH(RAB!C29,'HARGA SATUAN'!$C$7:$C$1492,0),0))</f>
        <v>MDU-KD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5">
        <f>F28*1</f>
        <v>1</v>
      </c>
      <c r="G29" s="360">
        <f ca="1">IF(ISERROR(OFFSET('HARGA SATUAN'!$I$6,MATCH(RAB!C29,'HARGA SATUAN'!$C$7:$C$1492,0),0)),0,OFFSET('HARGA SATUAN'!$I$6,MATCH(RAB!C29,'HARGA SATUAN'!$C$7:$C$1492,0),0))</f>
        <v>42757200</v>
      </c>
      <c r="H29" s="361">
        <f t="shared" ca="1" si="20"/>
        <v>42757200</v>
      </c>
      <c r="I29" s="361">
        <f t="shared" ca="1" si="21"/>
        <v>0</v>
      </c>
      <c r="J29" s="361">
        <f t="shared" ca="1" si="22"/>
        <v>0</v>
      </c>
      <c r="K29" s="362">
        <f t="shared" ca="1" si="23"/>
        <v>42757200</v>
      </c>
      <c r="L29" s="342"/>
      <c r="M29" s="342"/>
      <c r="N29" s="369"/>
      <c r="O29" s="344"/>
      <c r="P29" s="344"/>
      <c r="Q29" s="399"/>
      <c r="R29" s="344"/>
      <c r="S29" s="399"/>
      <c r="T29" s="400"/>
      <c r="U29" s="400"/>
      <c r="V29" s="400"/>
    </row>
    <row r="30" spans="1:22" s="365" customFormat="1">
      <c r="A30" s="336"/>
      <c r="B30" s="512">
        <v>2</v>
      </c>
      <c r="C30" s="513" t="s">
        <v>1625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14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  <c r="L30" s="342"/>
      <c r="M30" s="342"/>
      <c r="N30" s="369"/>
      <c r="O30" s="344"/>
      <c r="P30" s="344"/>
      <c r="Q30" s="399"/>
      <c r="R30" s="344"/>
      <c r="S30" s="399"/>
      <c r="T30" s="400"/>
      <c r="U30" s="400"/>
      <c r="V30" s="400"/>
    </row>
    <row r="31" spans="1:22" s="365" customFormat="1">
      <c r="A31" s="336"/>
      <c r="B31" s="510"/>
      <c r="C31" s="513" t="s">
        <v>65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85">
        <f>F28*(3*3)</f>
        <v>9</v>
      </c>
      <c r="G31" s="360">
        <f ca="1">IF(ISERROR(OFFSET('HARGA SATUAN'!$I$6,MATCH(RAB!C31,'HARGA SATUAN'!$C$7:$C$1492,0),0)),0,OFFSET('HARGA SATUAN'!$I$6,MATCH(RAB!C31,'HARGA SATUAN'!$C$7:$C$1492,0),0))</f>
        <v>14200</v>
      </c>
      <c r="H31" s="361">
        <f t="shared" ca="1" si="20"/>
        <v>127800</v>
      </c>
      <c r="I31" s="361">
        <f t="shared" ca="1" si="21"/>
        <v>0</v>
      </c>
      <c r="J31" s="361">
        <f t="shared" ca="1" si="22"/>
        <v>0</v>
      </c>
      <c r="K31" s="362">
        <f t="shared" ca="1" si="23"/>
        <v>127800</v>
      </c>
      <c r="L31" s="342"/>
      <c r="M31" s="342"/>
      <c r="N31" s="369"/>
      <c r="O31" s="344"/>
      <c r="P31" s="344"/>
      <c r="Q31" s="399"/>
      <c r="R31" s="344"/>
      <c r="S31" s="399"/>
      <c r="T31" s="400"/>
      <c r="U31" s="400"/>
      <c r="V31" s="400"/>
    </row>
    <row r="32" spans="1:22" s="365" customFormat="1">
      <c r="A32" s="336"/>
      <c r="B32" s="510"/>
      <c r="C32" s="109" t="s">
        <v>1462</v>
      </c>
      <c r="D32" s="358" t="str">
        <f ca="1">IF(ISERROR(OFFSET('HARGA SATUAN'!$D$6,MATCH(RAB!C32,'HARGA SATUAN'!$C$7:$C$1492,0),0)),"",OFFSET('HARGA SATUAN'!$D$6,MATCH(RAB!C32,'HARGA SATUAN'!$C$7:$C$1492,0),0))</f>
        <v>MDU-KD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485">
        <f>F28*3</f>
        <v>3</v>
      </c>
      <c r="G32" s="360">
        <f ca="1">IF(ISERROR(OFFSET('HARGA SATUAN'!$I$6,MATCH(RAB!C32,'HARGA SATUAN'!$C$7:$C$1492,0),0)),0,OFFSET('HARGA SATUAN'!$I$6,MATCH(RAB!C32,'HARGA SATUAN'!$C$7:$C$1492,0),0))</f>
        <v>54500</v>
      </c>
      <c r="H32" s="361">
        <f t="shared" ca="1" si="20"/>
        <v>163500</v>
      </c>
      <c r="I32" s="361">
        <f t="shared" ca="1" si="21"/>
        <v>0</v>
      </c>
      <c r="J32" s="361">
        <f t="shared" ca="1" si="22"/>
        <v>0</v>
      </c>
      <c r="K32" s="362">
        <f t="shared" ca="1" si="23"/>
        <v>163500</v>
      </c>
      <c r="L32" s="342"/>
      <c r="M32" s="342"/>
      <c r="N32" s="369"/>
      <c r="O32" s="344"/>
      <c r="P32" s="344"/>
      <c r="Q32" s="399"/>
      <c r="R32" s="344"/>
      <c r="S32" s="399"/>
      <c r="T32" s="400"/>
      <c r="U32" s="400"/>
      <c r="V32" s="400"/>
    </row>
    <row r="33" spans="1:22" s="365" customFormat="1">
      <c r="A33" s="336"/>
      <c r="B33" s="510">
        <v>3</v>
      </c>
      <c r="C33" s="109" t="s">
        <v>559</v>
      </c>
      <c r="D33" s="358" t="str">
        <f ca="1">IF(ISERROR(OFFSET('HARGA SATUAN'!$D$6,MATCH(RAB!C33,'HARGA SATUAN'!$C$7:$C$1492,0),0)),"",OFFSET('HARGA SATUAN'!$D$6,MATCH(RAB!C33,'HARGA SATUAN'!$C$7:$C$1492,0),0))</f>
        <v>MDU-KD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5">
        <f>F28*3</f>
        <v>3</v>
      </c>
      <c r="G33" s="360">
        <f ca="1">IF(ISERROR(OFFSET('HARGA SATUAN'!$I$6,MATCH(RAB!C33,'HARGA SATUAN'!$C$7:$C$1492,0),0)),0,OFFSET('HARGA SATUAN'!$I$6,MATCH(RAB!C33,'HARGA SATUAN'!$C$7:$C$1492,0),0))</f>
        <v>725900</v>
      </c>
      <c r="H33" s="361">
        <f t="shared" ca="1" si="20"/>
        <v>2177700</v>
      </c>
      <c r="I33" s="361">
        <f t="shared" ca="1" si="21"/>
        <v>0</v>
      </c>
      <c r="J33" s="361">
        <f t="shared" ca="1" si="22"/>
        <v>0</v>
      </c>
      <c r="K33" s="362">
        <f t="shared" ca="1" si="23"/>
        <v>2177700</v>
      </c>
      <c r="L33" s="342"/>
      <c r="M33" s="342"/>
      <c r="N33" s="369"/>
      <c r="O33" s="344"/>
      <c r="P33" s="344"/>
      <c r="Q33" s="399"/>
      <c r="R33" s="344"/>
      <c r="S33" s="399"/>
      <c r="T33" s="400"/>
      <c r="U33" s="400"/>
      <c r="V33" s="400"/>
    </row>
    <row r="34" spans="1:22" s="365" customFormat="1">
      <c r="A34" s="336"/>
      <c r="B34" s="510">
        <v>4</v>
      </c>
      <c r="C34" s="511" t="s">
        <v>535</v>
      </c>
      <c r="D34" s="358" t="str">
        <f ca="1">IF(ISERROR(OFFSET('HARGA SATUAN'!$D$6,MATCH(RAB!C34,'HARGA SATUAN'!$C$7:$C$1492,0),0)),"",OFFSET('HARGA SATUAN'!$D$6,MATCH(RAB!C34,'HARGA SATUAN'!$C$7:$C$1492,0),0))</f>
        <v>MDU-KD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5">
        <f>F28*3</f>
        <v>3</v>
      </c>
      <c r="G34" s="360">
        <f ca="1">IF(ISERROR(OFFSET('HARGA SATUAN'!$I$6,MATCH(RAB!C34,'HARGA SATUAN'!$C$7:$C$1492,0),0)),0,OFFSET('HARGA SATUAN'!$I$6,MATCH(RAB!C34,'HARGA SATUAN'!$C$7:$C$1492,0),0))</f>
        <v>848250</v>
      </c>
      <c r="H34" s="361">
        <f t="shared" ca="1" si="20"/>
        <v>2544750</v>
      </c>
      <c r="I34" s="361">
        <f t="shared" ca="1" si="21"/>
        <v>0</v>
      </c>
      <c r="J34" s="361">
        <f t="shared" ca="1" si="22"/>
        <v>0</v>
      </c>
      <c r="K34" s="362">
        <f t="shared" ca="1" si="23"/>
        <v>2544750</v>
      </c>
      <c r="L34" s="342"/>
      <c r="M34" s="342"/>
      <c r="N34" s="369"/>
      <c r="O34" s="344"/>
      <c r="P34" s="344"/>
      <c r="Q34" s="399"/>
      <c r="R34" s="344"/>
      <c r="S34" s="399"/>
      <c r="T34" s="400"/>
      <c r="U34" s="400"/>
      <c r="V34" s="400"/>
    </row>
    <row r="35" spans="1:22" s="365" customFormat="1">
      <c r="A35" s="336"/>
      <c r="B35" s="510">
        <v>5</v>
      </c>
      <c r="C35" s="511" t="s">
        <v>537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5">
        <f>F28*3</f>
        <v>3</v>
      </c>
      <c r="G35" s="360">
        <f ca="1">IF(ISERROR(OFFSET('HARGA SATUAN'!$I$6,MATCH(RAB!C35,'HARGA SATUAN'!$C$7:$C$1492,0),0)),0,OFFSET('HARGA SATUAN'!$I$6,MATCH(RAB!C35,'HARGA SATUAN'!$C$7:$C$1492,0),0))</f>
        <v>17500</v>
      </c>
      <c r="H35" s="361">
        <f t="shared" ca="1" si="20"/>
        <v>0</v>
      </c>
      <c r="I35" s="361">
        <f t="shared" ca="1" si="21"/>
        <v>52500</v>
      </c>
      <c r="J35" s="361">
        <f t="shared" ca="1" si="22"/>
        <v>0</v>
      </c>
      <c r="K35" s="362">
        <f t="shared" ca="1" si="23"/>
        <v>52500</v>
      </c>
      <c r="L35" s="342"/>
      <c r="M35" s="342"/>
      <c r="N35" s="369"/>
      <c r="O35" s="344"/>
      <c r="P35" s="344"/>
      <c r="Q35" s="399"/>
      <c r="R35" s="344"/>
      <c r="S35" s="399"/>
      <c r="T35" s="400"/>
      <c r="U35" s="400"/>
      <c r="V35" s="400"/>
    </row>
    <row r="36" spans="1:22" s="365" customFormat="1">
      <c r="A36" s="336"/>
      <c r="B36" s="510">
        <v>6</v>
      </c>
      <c r="C36" s="109" t="s">
        <v>1569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85">
        <f>F28*13</f>
        <v>13</v>
      </c>
      <c r="G36" s="360">
        <f ca="1">IF(ISERROR(OFFSET('HARGA SATUAN'!$I$6,MATCH(RAB!C36,'HARGA SATUAN'!$C$7:$C$1492,0),0)),0,OFFSET('HARGA SATUAN'!$I$6,MATCH(RAB!C36,'HARGA SATUAN'!$C$7:$C$1492,0),0))</f>
        <v>49000</v>
      </c>
      <c r="H36" s="361">
        <f t="shared" ca="1" si="20"/>
        <v>0</v>
      </c>
      <c r="I36" s="361">
        <f t="shared" ca="1" si="21"/>
        <v>637000</v>
      </c>
      <c r="J36" s="361">
        <f t="shared" ca="1" si="22"/>
        <v>0</v>
      </c>
      <c r="K36" s="362">
        <f t="shared" ca="1" si="23"/>
        <v>637000</v>
      </c>
      <c r="L36" s="342"/>
      <c r="M36" s="342"/>
      <c r="N36" s="369"/>
      <c r="O36" s="344"/>
      <c r="P36" s="344"/>
      <c r="Q36" s="399"/>
      <c r="R36" s="344"/>
      <c r="S36" s="399"/>
      <c r="T36" s="400"/>
      <c r="U36" s="400"/>
      <c r="V36" s="400"/>
    </row>
    <row r="37" spans="1:22" s="365" customFormat="1">
      <c r="A37" s="336"/>
      <c r="B37" s="510">
        <v>7</v>
      </c>
      <c r="C37" s="511" t="s">
        <v>163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5">
        <f>F28*22</f>
        <v>22</v>
      </c>
      <c r="G37" s="360">
        <f ca="1">IF(ISERROR(OFFSET('HARGA SATUAN'!$I$6,MATCH(RAB!C37,'HARGA SATUAN'!$C$7:$C$1492,0),0)),0,OFFSET('HARGA SATUAN'!$I$6,MATCH(RAB!C37,'HARGA SATUAN'!$C$7:$C$1492,0),0))</f>
        <v>7938</v>
      </c>
      <c r="H37" s="361">
        <f t="shared" ca="1" si="20"/>
        <v>0</v>
      </c>
      <c r="I37" s="361">
        <f t="shared" ca="1" si="21"/>
        <v>174636</v>
      </c>
      <c r="J37" s="361">
        <f t="shared" ca="1" si="22"/>
        <v>0</v>
      </c>
      <c r="K37" s="362">
        <f t="shared" ca="1" si="23"/>
        <v>174636</v>
      </c>
      <c r="L37" s="342"/>
      <c r="M37" s="342"/>
      <c r="N37" s="369"/>
      <c r="O37" s="344"/>
      <c r="P37" s="344"/>
      <c r="Q37" s="399"/>
      <c r="R37" s="344"/>
      <c r="S37" s="399"/>
      <c r="T37" s="400"/>
      <c r="U37" s="400"/>
      <c r="V37" s="400"/>
    </row>
    <row r="38" spans="1:22" s="365" customFormat="1">
      <c r="A38" s="336"/>
      <c r="B38" s="510">
        <v>8</v>
      </c>
      <c r="C38" s="511" t="s">
        <v>176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5">
        <f>F28*1</f>
        <v>1</v>
      </c>
      <c r="G38" s="360">
        <f ca="1">IF(ISERROR(OFFSET('HARGA SATUAN'!$I$6,MATCH(RAB!C38,'HARGA SATUAN'!$C$7:$C$1492,0),0)),0,OFFSET('HARGA SATUAN'!$I$6,MATCH(RAB!C38,'HARGA SATUAN'!$C$7:$C$1492,0),0))</f>
        <v>404600</v>
      </c>
      <c r="H38" s="361">
        <f t="shared" ca="1" si="20"/>
        <v>0</v>
      </c>
      <c r="I38" s="361">
        <f t="shared" ca="1" si="21"/>
        <v>404600</v>
      </c>
      <c r="J38" s="361">
        <f t="shared" ca="1" si="22"/>
        <v>0</v>
      </c>
      <c r="K38" s="362">
        <f t="shared" ca="1" si="23"/>
        <v>404600</v>
      </c>
      <c r="L38" s="342"/>
      <c r="M38" s="342"/>
      <c r="N38" s="369"/>
      <c r="O38" s="344"/>
      <c r="P38" s="344"/>
      <c r="Q38" s="399"/>
      <c r="R38" s="344"/>
      <c r="S38" s="399"/>
      <c r="T38" s="400"/>
      <c r="U38" s="400"/>
      <c r="V38" s="400"/>
    </row>
    <row r="39" spans="1:22" s="365" customFormat="1">
      <c r="A39" s="336"/>
      <c r="B39" s="510">
        <v>9</v>
      </c>
      <c r="C39" s="511" t="s">
        <v>184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85">
        <f>F28*3</f>
        <v>3</v>
      </c>
      <c r="G39" s="360">
        <f ca="1">IF(ISERROR(OFFSET('HARGA SATUAN'!$I$6,MATCH(RAB!C39,'HARGA SATUAN'!$C$7:$C$1492,0),0)),0,OFFSET('HARGA SATUAN'!$I$6,MATCH(RAB!C39,'HARGA SATUAN'!$C$7:$C$1492,0),0))</f>
        <v>15900</v>
      </c>
      <c r="H39" s="361">
        <f t="shared" ca="1" si="20"/>
        <v>0</v>
      </c>
      <c r="I39" s="361">
        <f t="shared" ca="1" si="21"/>
        <v>47700</v>
      </c>
      <c r="J39" s="361">
        <f t="shared" ca="1" si="22"/>
        <v>0</v>
      </c>
      <c r="K39" s="362">
        <f t="shared" ca="1" si="23"/>
        <v>47700</v>
      </c>
      <c r="L39" s="342"/>
      <c r="M39" s="342"/>
      <c r="N39" s="369"/>
      <c r="O39" s="344"/>
      <c r="P39" s="344"/>
      <c r="Q39" s="399"/>
      <c r="R39" s="344"/>
      <c r="S39" s="399"/>
      <c r="T39" s="400"/>
      <c r="U39" s="400"/>
      <c r="V39" s="400"/>
    </row>
    <row r="40" spans="1:22" s="365" customFormat="1">
      <c r="A40" s="336"/>
      <c r="B40" s="510">
        <v>10</v>
      </c>
      <c r="C40" s="511" t="s">
        <v>592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85">
        <f>F28*5</f>
        <v>5</v>
      </c>
      <c r="G40" s="360">
        <f ca="1">IF(ISERROR(OFFSET('HARGA SATUAN'!$I$6,MATCH(RAB!C40,'HARGA SATUAN'!$C$7:$C$1492,0),0)),0,OFFSET('HARGA SATUAN'!$I$6,MATCH(RAB!C40,'HARGA SATUAN'!$C$7:$C$1492,0),0))</f>
        <v>283100</v>
      </c>
      <c r="H40" s="361">
        <f t="shared" ca="1" si="20"/>
        <v>0</v>
      </c>
      <c r="I40" s="361">
        <f t="shared" ca="1" si="21"/>
        <v>1415500</v>
      </c>
      <c r="J40" s="361">
        <f t="shared" ca="1" si="22"/>
        <v>0</v>
      </c>
      <c r="K40" s="362">
        <f t="shared" ca="1" si="23"/>
        <v>1415500</v>
      </c>
      <c r="L40" s="342"/>
      <c r="M40" s="342"/>
      <c r="N40" s="369"/>
      <c r="O40" s="344"/>
      <c r="P40" s="344"/>
      <c r="Q40" s="399"/>
      <c r="R40" s="344"/>
      <c r="S40" s="399"/>
      <c r="T40" s="400"/>
      <c r="U40" s="400"/>
      <c r="V40" s="400"/>
    </row>
    <row r="41" spans="1:22" s="365" customFormat="1">
      <c r="A41" s="336"/>
      <c r="B41" s="510">
        <v>11</v>
      </c>
      <c r="C41" s="511" t="s">
        <v>593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85">
        <f>F28*4</f>
        <v>4</v>
      </c>
      <c r="G41" s="360">
        <f ca="1">IF(ISERROR(OFFSET('HARGA SATUAN'!$I$6,MATCH(RAB!C41,'HARGA SATUAN'!$C$7:$C$1492,0),0)),0,OFFSET('HARGA SATUAN'!$I$6,MATCH(RAB!C41,'HARGA SATUAN'!$C$7:$C$1492,0),0))</f>
        <v>380500</v>
      </c>
      <c r="H41" s="361">
        <f t="shared" ca="1" si="20"/>
        <v>0</v>
      </c>
      <c r="I41" s="361">
        <f t="shared" ca="1" si="21"/>
        <v>1522000</v>
      </c>
      <c r="J41" s="361">
        <f t="shared" ca="1" si="22"/>
        <v>0</v>
      </c>
      <c r="K41" s="362">
        <f t="shared" ca="1" si="23"/>
        <v>1522000</v>
      </c>
      <c r="L41" s="342"/>
      <c r="M41" s="342"/>
      <c r="N41" s="369"/>
      <c r="O41" s="344"/>
      <c r="P41" s="344"/>
      <c r="Q41" s="399"/>
      <c r="R41" s="344"/>
      <c r="S41" s="399"/>
      <c r="T41" s="400"/>
      <c r="U41" s="400"/>
      <c r="V41" s="400"/>
    </row>
    <row r="42" spans="1:22" s="365" customFormat="1">
      <c r="A42" s="336"/>
      <c r="B42" s="510">
        <v>12</v>
      </c>
      <c r="C42" s="511" t="s">
        <v>208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85">
        <f>F28*3</f>
        <v>3</v>
      </c>
      <c r="G42" s="360">
        <f ca="1">IF(ISERROR(OFFSET('HARGA SATUAN'!$I$6,MATCH(RAB!C42,'HARGA SATUAN'!$C$7:$C$1492,0),0)),0,OFFSET('HARGA SATUAN'!$I$6,MATCH(RAB!C42,'HARGA SATUAN'!$C$7:$C$1492,0),0))</f>
        <v>173400</v>
      </c>
      <c r="H42" s="361">
        <f t="shared" ca="1" si="20"/>
        <v>0</v>
      </c>
      <c r="I42" s="361">
        <f t="shared" ca="1" si="21"/>
        <v>520200</v>
      </c>
      <c r="J42" s="361">
        <f t="shared" ca="1" si="22"/>
        <v>0</v>
      </c>
      <c r="K42" s="362">
        <f t="shared" ca="1" si="23"/>
        <v>520200</v>
      </c>
      <c r="L42" s="342"/>
      <c r="M42" s="342"/>
      <c r="N42" s="369"/>
      <c r="O42" s="344"/>
      <c r="P42" s="344"/>
      <c r="Q42" s="399"/>
      <c r="R42" s="344"/>
      <c r="S42" s="399"/>
      <c r="T42" s="400"/>
      <c r="U42" s="400"/>
      <c r="V42" s="400"/>
    </row>
    <row r="43" spans="1:22" s="365" customFormat="1">
      <c r="A43" s="336"/>
      <c r="B43" s="510">
        <v>13</v>
      </c>
      <c r="C43" s="511" t="s">
        <v>247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85">
        <f>F28*1</f>
        <v>1</v>
      </c>
      <c r="G43" s="360">
        <f ca="1">IF(ISERROR(OFFSET('HARGA SATUAN'!$I$6,MATCH(RAB!C43,'HARGA SATUAN'!$C$7:$C$1492,0),0)),0,OFFSET('HARGA SATUAN'!$I$6,MATCH(RAB!C43,'HARGA SATUAN'!$C$7:$C$1492,0),0))</f>
        <v>57690</v>
      </c>
      <c r="H43" s="361">
        <f t="shared" ca="1" si="20"/>
        <v>0</v>
      </c>
      <c r="I43" s="361">
        <f t="shared" ca="1" si="21"/>
        <v>57690</v>
      </c>
      <c r="J43" s="361">
        <f t="shared" ca="1" si="22"/>
        <v>0</v>
      </c>
      <c r="K43" s="362">
        <f t="shared" ca="1" si="23"/>
        <v>57690</v>
      </c>
      <c r="L43" s="342"/>
      <c r="M43" s="342"/>
      <c r="N43" s="369"/>
      <c r="O43" s="344"/>
      <c r="P43" s="344"/>
      <c r="Q43" s="399"/>
      <c r="R43" s="344"/>
      <c r="S43" s="399"/>
      <c r="T43" s="400"/>
      <c r="U43" s="400"/>
      <c r="V43" s="400"/>
    </row>
    <row r="44" spans="1:22" s="365" customFormat="1">
      <c r="A44" s="336"/>
      <c r="B44" s="510">
        <v>14</v>
      </c>
      <c r="C44" s="511" t="s">
        <v>234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85">
        <f>F28*2</f>
        <v>2</v>
      </c>
      <c r="G44" s="360">
        <f ca="1">IF(ISERROR(OFFSET('HARGA SATUAN'!$I$6,MATCH(RAB!C44,'HARGA SATUAN'!$C$7:$C$1492,0),0)),0,OFFSET('HARGA SATUAN'!$I$6,MATCH(RAB!C44,'HARGA SATUAN'!$C$7:$C$1492,0),0))</f>
        <v>67500</v>
      </c>
      <c r="H44" s="361">
        <f t="shared" ca="1" si="20"/>
        <v>0</v>
      </c>
      <c r="I44" s="361">
        <f t="shared" ca="1" si="21"/>
        <v>135000</v>
      </c>
      <c r="J44" s="361">
        <f t="shared" ca="1" si="22"/>
        <v>0</v>
      </c>
      <c r="K44" s="362">
        <f t="shared" ca="1" si="23"/>
        <v>135000</v>
      </c>
      <c r="L44" s="342"/>
      <c r="M44" s="342"/>
      <c r="N44" s="369"/>
      <c r="O44" s="344"/>
      <c r="P44" s="344"/>
      <c r="Q44" s="399"/>
      <c r="R44" s="344"/>
      <c r="S44" s="399"/>
      <c r="T44" s="400"/>
      <c r="U44" s="400"/>
      <c r="V44" s="400"/>
    </row>
    <row r="45" spans="1:22" s="365" customFormat="1">
      <c r="A45" s="336"/>
      <c r="B45" s="510">
        <v>15</v>
      </c>
      <c r="C45" s="511" t="s">
        <v>267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85">
        <f>F28*2</f>
        <v>2</v>
      </c>
      <c r="G45" s="360">
        <f ca="1">IF(ISERROR(OFFSET('HARGA SATUAN'!$I$6,MATCH(RAB!C45,'HARGA SATUAN'!$C$7:$C$1492,0),0)),0,OFFSET('HARGA SATUAN'!$I$6,MATCH(RAB!C45,'HARGA SATUAN'!$C$7:$C$1492,0),0))</f>
        <v>129000</v>
      </c>
      <c r="H45" s="361">
        <f t="shared" ca="1" si="20"/>
        <v>0</v>
      </c>
      <c r="I45" s="361">
        <f t="shared" ca="1" si="21"/>
        <v>258000</v>
      </c>
      <c r="J45" s="361">
        <f t="shared" ca="1" si="22"/>
        <v>0</v>
      </c>
      <c r="K45" s="362">
        <f t="shared" ca="1" si="23"/>
        <v>258000</v>
      </c>
      <c r="L45" s="342"/>
      <c r="M45" s="342"/>
      <c r="N45" s="369"/>
      <c r="O45" s="344"/>
      <c r="P45" s="344"/>
      <c r="Q45" s="399"/>
      <c r="R45" s="344"/>
      <c r="S45" s="399"/>
      <c r="T45" s="400"/>
      <c r="U45" s="400"/>
      <c r="V45" s="400"/>
    </row>
    <row r="46" spans="1:22" s="365" customFormat="1">
      <c r="A46" s="336"/>
      <c r="B46" s="510">
        <v>16</v>
      </c>
      <c r="C46" s="511" t="s">
        <v>607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85">
        <f>F28*4</f>
        <v>4</v>
      </c>
      <c r="G46" s="360">
        <f ca="1">IF(ISERROR(OFFSET('HARGA SATUAN'!$I$6,MATCH(RAB!C46,'HARGA SATUAN'!$C$7:$C$1492,0),0)),0,OFFSET('HARGA SATUAN'!$I$6,MATCH(RAB!C46,'HARGA SATUAN'!$C$7:$C$1492,0),0))</f>
        <v>250000</v>
      </c>
      <c r="H46" s="361">
        <f t="shared" ca="1" si="20"/>
        <v>0</v>
      </c>
      <c r="I46" s="361">
        <f t="shared" ca="1" si="21"/>
        <v>1000000</v>
      </c>
      <c r="J46" s="361">
        <f t="shared" ca="1" si="22"/>
        <v>0</v>
      </c>
      <c r="K46" s="362">
        <f t="shared" ca="1" si="23"/>
        <v>1000000</v>
      </c>
      <c r="L46" s="342"/>
      <c r="M46" s="342"/>
      <c r="N46" s="369"/>
      <c r="O46" s="344"/>
      <c r="P46" s="344"/>
      <c r="Q46" s="399"/>
      <c r="R46" s="344"/>
      <c r="S46" s="399"/>
      <c r="T46" s="400"/>
      <c r="U46" s="400"/>
      <c r="V46" s="400"/>
    </row>
    <row r="47" spans="1:22" s="365" customFormat="1">
      <c r="A47" s="336"/>
      <c r="B47" s="510">
        <v>17</v>
      </c>
      <c r="C47" s="511" t="s">
        <v>783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85">
        <f>F28*1</f>
        <v>1</v>
      </c>
      <c r="G47" s="360">
        <f ca="1">IF(ISERROR(OFFSET('HARGA SATUAN'!$I$6,MATCH(RAB!C47,'HARGA SATUAN'!$C$7:$C$1492,0),0)),0,OFFSET('HARGA SATUAN'!$I$6,MATCH(RAB!C47,'HARGA SATUAN'!$C$7:$C$1492,0),0))</f>
        <v>1182800</v>
      </c>
      <c r="H47" s="361">
        <f t="shared" ca="1" si="20"/>
        <v>0</v>
      </c>
      <c r="I47" s="361">
        <f t="shared" ca="1" si="21"/>
        <v>0</v>
      </c>
      <c r="J47" s="361">
        <f t="shared" ca="1" si="22"/>
        <v>1182800</v>
      </c>
      <c r="K47" s="362">
        <f t="shared" ca="1" si="23"/>
        <v>1182800</v>
      </c>
      <c r="L47" s="342"/>
      <c r="M47" s="342"/>
      <c r="N47" s="369"/>
      <c r="O47" s="344"/>
      <c r="P47" s="344"/>
      <c r="Q47" s="399"/>
      <c r="R47" s="344"/>
      <c r="S47" s="399"/>
      <c r="T47" s="400"/>
      <c r="U47" s="400"/>
      <c r="V47" s="400"/>
    </row>
    <row r="48" spans="1:22" s="365" customFormat="1">
      <c r="A48" s="336"/>
      <c r="B48" s="374"/>
      <c r="C48" s="375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368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0"/>
        <v>0</v>
      </c>
      <c r="I48" s="361">
        <f t="shared" ca="1" si="21"/>
        <v>0</v>
      </c>
      <c r="J48" s="361">
        <f t="shared" ca="1" si="22"/>
        <v>0</v>
      </c>
      <c r="K48" s="362">
        <f t="shared" ca="1" si="23"/>
        <v>0</v>
      </c>
      <c r="L48" s="342"/>
      <c r="M48" s="342"/>
      <c r="N48" s="369"/>
      <c r="O48" s="344"/>
      <c r="P48" s="344"/>
      <c r="Q48" s="399"/>
      <c r="R48" s="344"/>
      <c r="S48" s="399"/>
      <c r="T48" s="400"/>
      <c r="U48" s="400"/>
      <c r="V48" s="400"/>
    </row>
    <row r="49" spans="1:22" s="365" customFormat="1">
      <c r="A49" s="336"/>
      <c r="B49" s="512" t="s">
        <v>1035</v>
      </c>
      <c r="C49" s="515" t="s">
        <v>1626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485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0"/>
        <v>0</v>
      </c>
      <c r="I49" s="361">
        <f t="shared" ca="1" si="21"/>
        <v>0</v>
      </c>
      <c r="J49" s="361">
        <f t="shared" ca="1" si="22"/>
        <v>0</v>
      </c>
      <c r="K49" s="362">
        <f t="shared" ca="1" si="23"/>
        <v>0</v>
      </c>
      <c r="L49" s="342"/>
      <c r="M49" s="342"/>
      <c r="N49" s="369"/>
      <c r="O49" s="344"/>
      <c r="P49" s="344"/>
      <c r="Q49" s="399"/>
      <c r="R49" s="344"/>
      <c r="S49" s="399"/>
      <c r="T49" s="400"/>
      <c r="U49" s="400"/>
      <c r="V49" s="400"/>
    </row>
    <row r="50" spans="1:22" s="365" customFormat="1">
      <c r="A50" s="336"/>
      <c r="B50" s="512">
        <v>1</v>
      </c>
      <c r="C50" s="516" t="s">
        <v>29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85">
        <f>F49*1</f>
        <v>1</v>
      </c>
      <c r="G50" s="360">
        <f ca="1">IF(ISERROR(OFFSET('HARGA SATUAN'!$I$6,MATCH(RAB!C50,'HARGA SATUAN'!$C$7:$C$1492,0),0)),0,OFFSET('HARGA SATUAN'!$I$6,MATCH(RAB!C50,'HARGA SATUAN'!$C$7:$C$1492,0),0))</f>
        <v>185200</v>
      </c>
      <c r="H50" s="361">
        <f t="shared" ca="1" si="20"/>
        <v>0</v>
      </c>
      <c r="I50" s="361">
        <f t="shared" ca="1" si="21"/>
        <v>185200</v>
      </c>
      <c r="J50" s="361">
        <f t="shared" ca="1" si="22"/>
        <v>0</v>
      </c>
      <c r="K50" s="362">
        <f t="shared" ca="1" si="23"/>
        <v>185200</v>
      </c>
      <c r="L50" s="342"/>
      <c r="M50" s="342"/>
      <c r="N50" s="369"/>
      <c r="O50" s="344"/>
      <c r="P50" s="344"/>
      <c r="Q50" s="399"/>
      <c r="R50" s="344"/>
      <c r="S50" s="399"/>
      <c r="T50" s="400"/>
      <c r="U50" s="400"/>
      <c r="V50" s="400"/>
    </row>
    <row r="51" spans="1:22" s="365" customFormat="1">
      <c r="A51" s="336"/>
      <c r="B51" s="510">
        <v>2</v>
      </c>
      <c r="C51" s="511" t="s">
        <v>30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85">
        <f>F49*1</f>
        <v>1</v>
      </c>
      <c r="G51" s="360">
        <f ca="1">IF(ISERROR(OFFSET('HARGA SATUAN'!$I$6,MATCH(RAB!C51,'HARGA SATUAN'!$C$7:$C$1492,0),0)),0,OFFSET('HARGA SATUAN'!$I$6,MATCH(RAB!C51,'HARGA SATUAN'!$C$7:$C$1492,0),0))</f>
        <v>47459</v>
      </c>
      <c r="H51" s="361">
        <f t="shared" ref="H51:H60" ca="1" si="24">IF(OR(D51="MDU",D51="MDU-KD"),(IF($O$3="RAB NON MDU","PLN KD",G51*F51)),0)</f>
        <v>0</v>
      </c>
      <c r="I51" s="361">
        <f t="shared" ref="I51:I60" ca="1" si="25">IF(D51="HDW",G51*F51,0)</f>
        <v>47459</v>
      </c>
      <c r="J51" s="361">
        <f t="shared" ref="J51:J60" ca="1" si="26">IF(D51="JASA",G51*F51,0)</f>
        <v>0</v>
      </c>
      <c r="K51" s="362">
        <f t="shared" ref="K51:K60" ca="1" si="27">SUM(H51:J51)</f>
        <v>47459</v>
      </c>
      <c r="L51" s="342"/>
      <c r="M51" s="342"/>
      <c r="N51" s="369"/>
      <c r="O51" s="344"/>
      <c r="P51" s="344"/>
      <c r="Q51" s="399"/>
      <c r="R51" s="344"/>
      <c r="S51" s="399"/>
      <c r="T51" s="400"/>
      <c r="U51" s="400"/>
      <c r="V51" s="400"/>
    </row>
    <row r="52" spans="1:22" s="365" customFormat="1">
      <c r="A52" s="336"/>
      <c r="B52" s="510">
        <v>3</v>
      </c>
      <c r="C52" s="511" t="s">
        <v>31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85">
        <f>F49*1</f>
        <v>1</v>
      </c>
      <c r="G52" s="360">
        <f ca="1">IF(ISERROR(OFFSET('HARGA SATUAN'!$I$6,MATCH(RAB!C52,'HARGA SATUAN'!$C$7:$C$1492,0),0)),0,OFFSET('HARGA SATUAN'!$I$6,MATCH(RAB!C52,'HARGA SATUAN'!$C$7:$C$1492,0),0))</f>
        <v>4880</v>
      </c>
      <c r="H52" s="361">
        <f t="shared" ca="1" si="24"/>
        <v>0</v>
      </c>
      <c r="I52" s="361">
        <f t="shared" ca="1" si="25"/>
        <v>4880</v>
      </c>
      <c r="J52" s="361">
        <f t="shared" ca="1" si="26"/>
        <v>0</v>
      </c>
      <c r="K52" s="362">
        <f t="shared" ca="1" si="27"/>
        <v>4880</v>
      </c>
      <c r="L52" s="342"/>
      <c r="M52" s="342"/>
      <c r="N52" s="369"/>
      <c r="O52" s="344"/>
      <c r="P52" s="344"/>
      <c r="Q52" s="399"/>
      <c r="R52" s="344"/>
      <c r="S52" s="399"/>
      <c r="T52" s="400"/>
      <c r="U52" s="400"/>
      <c r="V52" s="400"/>
    </row>
    <row r="53" spans="1:22" s="365" customFormat="1">
      <c r="A53" s="336"/>
      <c r="B53" s="510">
        <v>4</v>
      </c>
      <c r="C53" s="511" t="s">
        <v>32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485">
        <f>F49*10</f>
        <v>10</v>
      </c>
      <c r="G53" s="360">
        <f ca="1">IF(ISERROR(OFFSET('HARGA SATUAN'!$I$6,MATCH(RAB!C53,'HARGA SATUAN'!$C$7:$C$1492,0),0)),0,OFFSET('HARGA SATUAN'!$I$6,MATCH(RAB!C53,'HARGA SATUAN'!$C$7:$C$1492,0),0))</f>
        <v>30000</v>
      </c>
      <c r="H53" s="361">
        <f t="shared" ca="1" si="24"/>
        <v>0</v>
      </c>
      <c r="I53" s="361">
        <f t="shared" ca="1" si="25"/>
        <v>300000</v>
      </c>
      <c r="J53" s="361">
        <f t="shared" ca="1" si="26"/>
        <v>0</v>
      </c>
      <c r="K53" s="362">
        <f t="shared" ca="1" si="27"/>
        <v>300000</v>
      </c>
      <c r="L53" s="342"/>
      <c r="M53" s="342"/>
      <c r="N53" s="369"/>
      <c r="O53" s="344"/>
      <c r="P53" s="344"/>
      <c r="Q53" s="399"/>
      <c r="R53" s="344"/>
      <c r="S53" s="399"/>
      <c r="T53" s="400"/>
      <c r="U53" s="400"/>
      <c r="V53" s="400"/>
    </row>
    <row r="54" spans="1:22" s="365" customFormat="1">
      <c r="A54" s="336"/>
      <c r="B54" s="510">
        <v>5</v>
      </c>
      <c r="C54" s="511" t="s">
        <v>33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85">
        <f>F49*2</f>
        <v>2</v>
      </c>
      <c r="G54" s="360">
        <f ca="1">IF(ISERROR(OFFSET('HARGA SATUAN'!$I$6,MATCH(RAB!C54,'HARGA SATUAN'!$C$7:$C$1492,0),0)),0,OFFSET('HARGA SATUAN'!$I$6,MATCH(RAB!C54,'HARGA SATUAN'!$C$7:$C$1492,0),0))</f>
        <v>9500</v>
      </c>
      <c r="H54" s="361">
        <f t="shared" ca="1" si="24"/>
        <v>0</v>
      </c>
      <c r="I54" s="361">
        <f t="shared" ca="1" si="25"/>
        <v>19000</v>
      </c>
      <c r="J54" s="361">
        <f t="shared" ca="1" si="26"/>
        <v>0</v>
      </c>
      <c r="K54" s="362">
        <f t="shared" ca="1" si="27"/>
        <v>19000</v>
      </c>
      <c r="L54" s="342"/>
      <c r="M54" s="342"/>
      <c r="N54" s="369"/>
      <c r="O54" s="344"/>
      <c r="P54" s="344"/>
      <c r="Q54" s="399"/>
      <c r="R54" s="344"/>
      <c r="S54" s="399"/>
      <c r="T54" s="400"/>
      <c r="U54" s="400"/>
      <c r="V54" s="400"/>
    </row>
    <row r="55" spans="1:22" s="365" customFormat="1">
      <c r="A55" s="336"/>
      <c r="B55" s="510">
        <v>6</v>
      </c>
      <c r="C55" s="511" t="s">
        <v>34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85">
        <f>F49*5.5</f>
        <v>5.5</v>
      </c>
      <c r="G55" s="360">
        <f ca="1">IF(ISERROR(OFFSET('HARGA SATUAN'!$I$6,MATCH(RAB!C55,'HARGA SATUAN'!$C$7:$C$1492,0),0)),0,OFFSET('HARGA SATUAN'!$I$6,MATCH(RAB!C55,'HARGA SATUAN'!$C$7:$C$1492,0),0))</f>
        <v>6100</v>
      </c>
      <c r="H55" s="361">
        <f t="shared" ca="1" si="24"/>
        <v>0</v>
      </c>
      <c r="I55" s="361">
        <f t="shared" ca="1" si="25"/>
        <v>33550</v>
      </c>
      <c r="J55" s="361">
        <f t="shared" ca="1" si="26"/>
        <v>0</v>
      </c>
      <c r="K55" s="362">
        <f t="shared" ca="1" si="27"/>
        <v>33550</v>
      </c>
      <c r="L55" s="342"/>
      <c r="M55" s="342"/>
      <c r="N55" s="369"/>
      <c r="O55" s="344"/>
      <c r="P55" s="344"/>
      <c r="Q55" s="399"/>
      <c r="R55" s="344"/>
      <c r="S55" s="399"/>
      <c r="T55" s="400"/>
      <c r="U55" s="400"/>
      <c r="V55" s="400"/>
    </row>
    <row r="56" spans="1:22" s="365" customFormat="1">
      <c r="A56" s="336"/>
      <c r="B56" s="510">
        <v>7</v>
      </c>
      <c r="C56" s="511" t="s">
        <v>35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85">
        <f>F49*6</f>
        <v>6</v>
      </c>
      <c r="G56" s="360">
        <f ca="1">IF(ISERROR(OFFSET('HARGA SATUAN'!$I$6,MATCH(RAB!C56,'HARGA SATUAN'!$C$7:$C$1492,0),0)),0,OFFSET('HARGA SATUAN'!$I$6,MATCH(RAB!C56,'HARGA SATUAN'!$C$7:$C$1492,0),0))</f>
        <v>2300</v>
      </c>
      <c r="H56" s="361">
        <f t="shared" ca="1" si="24"/>
        <v>0</v>
      </c>
      <c r="I56" s="361">
        <f t="shared" ca="1" si="25"/>
        <v>13800</v>
      </c>
      <c r="J56" s="361">
        <f t="shared" ca="1" si="26"/>
        <v>0</v>
      </c>
      <c r="K56" s="362">
        <f t="shared" ca="1" si="27"/>
        <v>13800</v>
      </c>
      <c r="L56" s="342"/>
      <c r="M56" s="342"/>
      <c r="N56" s="369"/>
      <c r="O56" s="344"/>
      <c r="P56" s="344"/>
      <c r="Q56" s="399"/>
      <c r="R56" s="344"/>
      <c r="S56" s="399"/>
      <c r="T56" s="400"/>
      <c r="U56" s="400"/>
      <c r="V56" s="400"/>
    </row>
    <row r="57" spans="1:22" s="365" customFormat="1">
      <c r="A57" s="336"/>
      <c r="B57" s="510">
        <v>8</v>
      </c>
      <c r="C57" s="511" t="s">
        <v>1627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Mtr</v>
      </c>
      <c r="F57" s="485">
        <f>F49*4.8</f>
        <v>4.8</v>
      </c>
      <c r="G57" s="360">
        <f ca="1">IF(ISERROR(OFFSET('HARGA SATUAN'!$I$6,MATCH(RAB!C57,'HARGA SATUAN'!$C$7:$C$1492,0),0)),0,OFFSET('HARGA SATUAN'!$I$6,MATCH(RAB!C57,'HARGA SATUAN'!$C$7:$C$1492,0),0))</f>
        <v>23310</v>
      </c>
      <c r="H57" s="361">
        <f t="shared" ca="1" si="24"/>
        <v>0</v>
      </c>
      <c r="I57" s="361">
        <f t="shared" ca="1" si="25"/>
        <v>111888</v>
      </c>
      <c r="J57" s="361">
        <f t="shared" ca="1" si="26"/>
        <v>0</v>
      </c>
      <c r="K57" s="362">
        <f t="shared" ca="1" si="27"/>
        <v>111888</v>
      </c>
      <c r="L57" s="342"/>
      <c r="M57" s="342"/>
      <c r="N57" s="369"/>
      <c r="O57" s="344"/>
      <c r="P57" s="344"/>
      <c r="Q57" s="399"/>
      <c r="R57" s="344"/>
      <c r="S57" s="399"/>
      <c r="T57" s="400"/>
      <c r="U57" s="400"/>
      <c r="V57" s="400"/>
    </row>
    <row r="58" spans="1:22" s="365" customFormat="1">
      <c r="A58" s="336"/>
      <c r="B58" s="510">
        <v>9</v>
      </c>
      <c r="C58" s="511" t="s">
        <v>736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85">
        <f>F49*1</f>
        <v>1</v>
      </c>
      <c r="G58" s="360">
        <f ca="1">IF(ISERROR(OFFSET('HARGA SATUAN'!$I$6,MATCH(RAB!C58,'HARGA SATUAN'!$C$7:$C$1492,0),0)),0,OFFSET('HARGA SATUAN'!$I$6,MATCH(RAB!C58,'HARGA SATUAN'!$C$7:$C$1492,0),0))</f>
        <v>65400</v>
      </c>
      <c r="H58" s="361">
        <f t="shared" ca="1" si="24"/>
        <v>0</v>
      </c>
      <c r="I58" s="361">
        <f t="shared" ca="1" si="25"/>
        <v>0</v>
      </c>
      <c r="J58" s="361">
        <f t="shared" ca="1" si="26"/>
        <v>65400</v>
      </c>
      <c r="K58" s="362">
        <f t="shared" ca="1" si="27"/>
        <v>65400</v>
      </c>
      <c r="L58" s="342"/>
      <c r="M58" s="342"/>
      <c r="N58" s="369"/>
      <c r="O58" s="344"/>
      <c r="P58" s="344"/>
      <c r="Q58" s="399"/>
      <c r="R58" s="344"/>
      <c r="S58" s="399"/>
      <c r="T58" s="400"/>
      <c r="U58" s="400"/>
      <c r="V58" s="400"/>
    </row>
    <row r="59" spans="1:22" s="365" customFormat="1">
      <c r="A59" s="336"/>
      <c r="B59" s="374"/>
      <c r="C59" s="375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4"/>
        <v>0</v>
      </c>
      <c r="I59" s="361">
        <f t="shared" ca="1" si="25"/>
        <v>0</v>
      </c>
      <c r="J59" s="361">
        <f t="shared" ca="1" si="26"/>
        <v>0</v>
      </c>
      <c r="K59" s="362">
        <f t="shared" ca="1" si="27"/>
        <v>0</v>
      </c>
      <c r="L59" s="342"/>
      <c r="M59" s="342"/>
      <c r="N59" s="369"/>
      <c r="O59" s="344"/>
      <c r="P59" s="344"/>
      <c r="Q59" s="399"/>
      <c r="R59" s="344"/>
      <c r="S59" s="399"/>
      <c r="T59" s="400"/>
      <c r="U59" s="400"/>
      <c r="V59" s="400"/>
    </row>
    <row r="60" spans="1:22" s="365" customFormat="1">
      <c r="A60" s="336"/>
      <c r="B60" s="374" t="s">
        <v>1550</v>
      </c>
      <c r="C60" s="375" t="s">
        <v>1457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4"/>
        <v>0</v>
      </c>
      <c r="I60" s="361">
        <f t="shared" ca="1" si="25"/>
        <v>0</v>
      </c>
      <c r="J60" s="361">
        <f t="shared" ca="1" si="26"/>
        <v>0</v>
      </c>
      <c r="K60" s="362">
        <f t="shared" ca="1" si="27"/>
        <v>0</v>
      </c>
      <c r="L60" s="342"/>
      <c r="M60" s="342"/>
      <c r="N60" s="369"/>
      <c r="O60" s="344"/>
      <c r="P60" s="344"/>
      <c r="Q60" s="399"/>
      <c r="R60" s="344"/>
      <c r="S60" s="399"/>
      <c r="T60" s="400"/>
      <c r="U60" s="400"/>
      <c r="V60" s="400"/>
    </row>
    <row r="61" spans="1:22" s="365" customFormat="1">
      <c r="A61" s="336"/>
      <c r="B61" s="374"/>
      <c r="C61" s="375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" ca="1" si="28">IF(OR(D61="MDU",D61="MDU-KD"),(IF($O$3="RAB NON MDU","PLN KD",G61*F61)),0)</f>
        <v>0</v>
      </c>
      <c r="I61" s="361">
        <f t="shared" ref="I61" ca="1" si="29">IF(D61="HDW",G61*F61,0)</f>
        <v>0</v>
      </c>
      <c r="J61" s="361">
        <f t="shared" ref="J61" ca="1" si="30">IF(D61="JASA",G61*F61,0)</f>
        <v>0</v>
      </c>
      <c r="K61" s="362">
        <f t="shared" ref="K61" ca="1" si="31">SUM(H61:J61)</f>
        <v>0</v>
      </c>
      <c r="L61" s="342"/>
      <c r="M61" s="342"/>
      <c r="N61" s="369"/>
      <c r="O61" s="344"/>
      <c r="P61" s="344"/>
      <c r="Q61" s="399"/>
      <c r="R61" s="344"/>
      <c r="S61" s="399"/>
      <c r="T61" s="400"/>
      <c r="U61" s="400"/>
      <c r="V61" s="400"/>
    </row>
    <row r="62" spans="1:22" s="365" customFormat="1">
      <c r="A62" s="336"/>
      <c r="B62" s="501" t="s">
        <v>1035</v>
      </c>
      <c r="C62" s="502" t="s">
        <v>1628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519">
        <v>1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:H66" ca="1" si="32">IF(OR(D62="MDU",D62="MDU-KD"),(IF($O$3="RAB NON MDU","PLN KD",G62*F62)),0)</f>
        <v>0</v>
      </c>
      <c r="I62" s="361">
        <f t="shared" ref="I62:I66" ca="1" si="33">IF(D62="HDW",G62*F62,0)</f>
        <v>0</v>
      </c>
      <c r="J62" s="361">
        <f t="shared" ref="J62:J66" ca="1" si="34">IF(D62="JASA",G62*F62,0)</f>
        <v>0</v>
      </c>
      <c r="K62" s="362">
        <f t="shared" ref="K62:K66" ca="1" si="35">SUM(H62:J62)</f>
        <v>0</v>
      </c>
      <c r="L62" s="342"/>
      <c r="M62" s="342"/>
      <c r="N62" s="369"/>
      <c r="O62" s="344"/>
      <c r="P62" s="344"/>
      <c r="Q62" s="344"/>
      <c r="R62" s="344"/>
      <c r="S62" s="344"/>
      <c r="T62" s="404"/>
      <c r="U62" s="404"/>
      <c r="V62" s="404"/>
    </row>
    <row r="63" spans="1:22" s="365" customFormat="1">
      <c r="A63" s="336"/>
      <c r="B63" s="517">
        <v>1</v>
      </c>
      <c r="C63" s="109" t="s">
        <v>483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19">
        <f>F62*1</f>
        <v>1</v>
      </c>
      <c r="G63" s="360">
        <f ca="1">IF(ISERROR(OFFSET('HARGA SATUAN'!$I$6,MATCH(RAB!C63,'HARGA SATUAN'!$C$7:$C$1492,0),0)),0,OFFSET('HARGA SATUAN'!$I$6,MATCH(RAB!C63,'HARGA SATUAN'!$C$7:$C$1492,0),0))</f>
        <v>1719200</v>
      </c>
      <c r="H63" s="361">
        <f t="shared" ca="1" si="32"/>
        <v>0</v>
      </c>
      <c r="I63" s="361">
        <f t="shared" ca="1" si="33"/>
        <v>1719200</v>
      </c>
      <c r="J63" s="361">
        <f t="shared" ca="1" si="34"/>
        <v>0</v>
      </c>
      <c r="K63" s="362">
        <f t="shared" ca="1" si="35"/>
        <v>1719200</v>
      </c>
      <c r="L63" s="342"/>
      <c r="M63" s="342"/>
      <c r="N63" s="369"/>
      <c r="O63" s="344"/>
      <c r="P63" s="344"/>
      <c r="Q63" s="344"/>
      <c r="R63" s="344"/>
      <c r="S63" s="344"/>
      <c r="T63" s="400"/>
      <c r="U63" s="400"/>
      <c r="V63" s="400"/>
    </row>
    <row r="64" spans="1:22" s="365" customFormat="1">
      <c r="A64" s="336"/>
      <c r="B64" s="517">
        <v>2</v>
      </c>
      <c r="C64" s="518" t="s">
        <v>513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19">
        <f>F62*1</f>
        <v>1</v>
      </c>
      <c r="G64" s="360">
        <f ca="1">IF(ISERROR(OFFSET('HARGA SATUAN'!$I$6,MATCH(RAB!C64,'HARGA SATUAN'!$C$7:$C$1492,0),0)),0,OFFSET('HARGA SATUAN'!$I$6,MATCH(RAB!C64,'HARGA SATUAN'!$C$7:$C$1492,0),0))</f>
        <v>3564900</v>
      </c>
      <c r="H64" s="361">
        <f t="shared" ca="1" si="32"/>
        <v>3564900</v>
      </c>
      <c r="I64" s="361">
        <f t="shared" ca="1" si="33"/>
        <v>0</v>
      </c>
      <c r="J64" s="361">
        <f t="shared" ca="1" si="34"/>
        <v>0</v>
      </c>
      <c r="K64" s="362">
        <f t="shared" ca="1" si="35"/>
        <v>3564900</v>
      </c>
      <c r="L64" s="342"/>
      <c r="M64" s="342"/>
      <c r="N64" s="369"/>
      <c r="O64" s="344"/>
      <c r="P64" s="344"/>
      <c r="Q64" s="344"/>
      <c r="R64" s="344"/>
      <c r="S64" s="344"/>
      <c r="T64" s="400"/>
      <c r="U64" s="400"/>
      <c r="V64" s="400"/>
    </row>
    <row r="65" spans="1:22" s="365" customFormat="1">
      <c r="A65" s="336"/>
      <c r="B65" s="517">
        <v>3</v>
      </c>
      <c r="C65" s="518" t="s">
        <v>1142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19">
        <f>F62*1</f>
        <v>1</v>
      </c>
      <c r="G65" s="360">
        <f ca="1">IF(ISERROR(OFFSET('HARGA SATUAN'!$I$6,MATCH(RAB!C65,'HARGA SATUAN'!$C$7:$C$1492,0),0)),0,OFFSET('HARGA SATUAN'!$I$6,MATCH(RAB!C65,'HARGA SATUAN'!$C$7:$C$1492,0),0))</f>
        <v>1113900</v>
      </c>
      <c r="H65" s="361">
        <f t="shared" ca="1" si="32"/>
        <v>0</v>
      </c>
      <c r="I65" s="361">
        <f t="shared" ca="1" si="33"/>
        <v>1113900</v>
      </c>
      <c r="J65" s="361">
        <f t="shared" ca="1" si="34"/>
        <v>0</v>
      </c>
      <c r="K65" s="362">
        <f t="shared" ca="1" si="35"/>
        <v>1113900</v>
      </c>
      <c r="L65" s="342"/>
      <c r="M65" s="342"/>
      <c r="N65" s="369"/>
      <c r="O65" s="344"/>
      <c r="P65" s="344"/>
      <c r="Q65" s="344"/>
      <c r="R65" s="344"/>
      <c r="S65" s="344"/>
      <c r="T65" s="404"/>
      <c r="U65" s="404"/>
      <c r="V65" s="404"/>
    </row>
    <row r="66" spans="1:22" s="365" customFormat="1">
      <c r="A66" s="336"/>
      <c r="B66" s="517">
        <v>4</v>
      </c>
      <c r="C66" s="518" t="s">
        <v>573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519">
        <f>F62*35</f>
        <v>35</v>
      </c>
      <c r="G66" s="360">
        <f ca="1">IF(ISERROR(OFFSET('HARGA SATUAN'!$I$6,MATCH(RAB!C66,'HARGA SATUAN'!$C$7:$C$1492,0),0)),0,OFFSET('HARGA SATUAN'!$I$6,MATCH(RAB!C66,'HARGA SATUAN'!$C$7:$C$1492,0),0))</f>
        <v>164883</v>
      </c>
      <c r="H66" s="361">
        <f t="shared" ca="1" si="32"/>
        <v>0</v>
      </c>
      <c r="I66" s="361">
        <f t="shared" ca="1" si="33"/>
        <v>5770905</v>
      </c>
      <c r="J66" s="361">
        <f t="shared" ca="1" si="34"/>
        <v>0</v>
      </c>
      <c r="K66" s="362">
        <f t="shared" ca="1" si="35"/>
        <v>5770905</v>
      </c>
      <c r="L66" s="407" t="e">
        <f ca="1">PROPER([94]!terbilang(K90))</f>
        <v>#NAME?</v>
      </c>
      <c r="M66" s="407"/>
      <c r="N66" s="369"/>
      <c r="O66" s="344"/>
      <c r="P66" s="344"/>
      <c r="Q66" s="344"/>
    </row>
    <row r="67" spans="1:22">
      <c r="B67" s="517">
        <v>5</v>
      </c>
      <c r="C67" s="518" t="s">
        <v>799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19">
        <f>F62*1</f>
        <v>1</v>
      </c>
      <c r="G67" s="360">
        <f ca="1">IF(ISERROR(OFFSET('HARGA SATUAN'!$I$6,MATCH(RAB!C67,'HARGA SATUAN'!$C$7:$C$1492,0),0)),0,OFFSET('HARGA SATUAN'!$I$6,MATCH(RAB!C67,'HARGA SATUAN'!$C$7:$C$1492,0),0))</f>
        <v>106400</v>
      </c>
      <c r="H67" s="361">
        <f t="shared" ref="H67" ca="1" si="36">IF(OR(D67="MDU",D67="MDU-KD"),(IF($O$3="RAB NON MDU","PLN KD",G67*F67)),0)</f>
        <v>0</v>
      </c>
      <c r="I67" s="361">
        <f t="shared" ref="I67" ca="1" si="37">IF(D67="HDW",G67*F67,0)</f>
        <v>0</v>
      </c>
      <c r="J67" s="361">
        <f t="shared" ref="J67" ca="1" si="38">IF(D67="JASA",G67*F67,0)</f>
        <v>106400</v>
      </c>
      <c r="K67" s="362">
        <f t="shared" ref="K67" ca="1" si="39">SUM(H67:J67)</f>
        <v>106400</v>
      </c>
    </row>
    <row r="68" spans="1:22">
      <c r="B68" s="517"/>
      <c r="C68" s="518"/>
      <c r="D68" s="358"/>
      <c r="E68" s="359"/>
      <c r="F68" s="519"/>
      <c r="G68" s="360"/>
      <c r="H68" s="361"/>
      <c r="I68" s="361"/>
      <c r="J68" s="361"/>
      <c r="K68" s="362"/>
    </row>
    <row r="69" spans="1:22">
      <c r="B69" s="506" t="s">
        <v>1035</v>
      </c>
      <c r="C69" s="507" t="s">
        <v>1617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8">
        <v>1</v>
      </c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:H77" ca="1" si="40">IF(OR(D69="MDU",D69="MDU-KD"),(IF($O$3="RAB NON MDU","PLN KD",G69*F69)),0)</f>
        <v>0</v>
      </c>
      <c r="I69" s="361">
        <f t="shared" ref="I69:I77" ca="1" si="41">IF(D69="HDW",G69*F69,0)</f>
        <v>0</v>
      </c>
      <c r="J69" s="361">
        <f t="shared" ref="J69:J77" ca="1" si="42">IF(D69="JASA",G69*F69,0)</f>
        <v>0</v>
      </c>
      <c r="K69" s="362">
        <f t="shared" ref="K69:K77" ca="1" si="43">SUM(H69:J69)</f>
        <v>0</v>
      </c>
    </row>
    <row r="70" spans="1:22">
      <c r="B70" s="506">
        <v>1</v>
      </c>
      <c r="C70" s="507" t="s">
        <v>115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Set</v>
      </c>
      <c r="F70" s="508">
        <f>F69*1</f>
        <v>1</v>
      </c>
      <c r="G70" s="360">
        <f ca="1">IF(ISERROR(OFFSET('HARGA SATUAN'!$I$6,MATCH(RAB!C70,'HARGA SATUAN'!$C$7:$C$1492,0),0)),0,OFFSET('HARGA SATUAN'!$I$6,MATCH(RAB!C70,'HARGA SATUAN'!$C$7:$C$1492,0),0))</f>
        <v>11500</v>
      </c>
      <c r="H70" s="361">
        <f t="shared" ca="1" si="40"/>
        <v>0</v>
      </c>
      <c r="I70" s="361">
        <f t="shared" ca="1" si="41"/>
        <v>11500</v>
      </c>
      <c r="J70" s="361">
        <f t="shared" ca="1" si="42"/>
        <v>0</v>
      </c>
      <c r="K70" s="362">
        <f t="shared" ca="1" si="43"/>
        <v>11500</v>
      </c>
    </row>
    <row r="71" spans="1:22">
      <c r="B71" s="506">
        <v>2</v>
      </c>
      <c r="C71" s="507" t="s">
        <v>145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Set</v>
      </c>
      <c r="F71" s="508">
        <f>F69*1</f>
        <v>1</v>
      </c>
      <c r="G71" s="360">
        <f ca="1">IF(ISERROR(OFFSET('HARGA SATUAN'!$I$6,MATCH(RAB!C71,'HARGA SATUAN'!$C$7:$C$1492,0),0)),0,OFFSET('HARGA SATUAN'!$I$6,MATCH(RAB!C71,'HARGA SATUAN'!$C$7:$C$1492,0),0))</f>
        <v>6200</v>
      </c>
      <c r="H71" s="361">
        <f t="shared" ca="1" si="40"/>
        <v>0</v>
      </c>
      <c r="I71" s="361">
        <f t="shared" ca="1" si="41"/>
        <v>6200</v>
      </c>
      <c r="J71" s="361">
        <f t="shared" ca="1" si="42"/>
        <v>0</v>
      </c>
      <c r="K71" s="362">
        <f t="shared" ca="1" si="43"/>
        <v>6200</v>
      </c>
    </row>
    <row r="72" spans="1:22">
      <c r="B72" s="506">
        <v>3</v>
      </c>
      <c r="C72" s="507" t="s">
        <v>587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Btg</v>
      </c>
      <c r="F72" s="508">
        <f>F69*1</f>
        <v>1</v>
      </c>
      <c r="G72" s="360">
        <f ca="1">IF(ISERROR(OFFSET('HARGA SATUAN'!$I$6,MATCH(RAB!C72,'HARGA SATUAN'!$C$7:$C$1492,0),0)),0,OFFSET('HARGA SATUAN'!$I$6,MATCH(RAB!C72,'HARGA SATUAN'!$C$7:$C$1492,0),0))</f>
        <v>45796</v>
      </c>
      <c r="H72" s="361">
        <f t="shared" ca="1" si="40"/>
        <v>0</v>
      </c>
      <c r="I72" s="361">
        <f t="shared" ca="1" si="41"/>
        <v>45796</v>
      </c>
      <c r="J72" s="361">
        <f t="shared" ca="1" si="42"/>
        <v>0</v>
      </c>
      <c r="K72" s="362">
        <f t="shared" ca="1" si="43"/>
        <v>45796</v>
      </c>
    </row>
    <row r="73" spans="1:22">
      <c r="B73" s="506">
        <v>4</v>
      </c>
      <c r="C73" s="507" t="s">
        <v>118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Set</v>
      </c>
      <c r="F73" s="508">
        <f>F69*1</f>
        <v>1</v>
      </c>
      <c r="G73" s="360">
        <f ca="1">IF(ISERROR(OFFSET('HARGA SATUAN'!$I$6,MATCH(RAB!C73,'HARGA SATUAN'!$C$7:$C$1492,0),0)),0,OFFSET('HARGA SATUAN'!$I$6,MATCH(RAB!C73,'HARGA SATUAN'!$C$7:$C$1492,0),0))</f>
        <v>5300</v>
      </c>
      <c r="H73" s="361">
        <f t="shared" ca="1" si="40"/>
        <v>0</v>
      </c>
      <c r="I73" s="361">
        <f t="shared" ca="1" si="41"/>
        <v>5300</v>
      </c>
      <c r="J73" s="361">
        <f t="shared" ca="1" si="42"/>
        <v>0</v>
      </c>
      <c r="K73" s="362">
        <f t="shared" ca="1" si="43"/>
        <v>5300</v>
      </c>
    </row>
    <row r="74" spans="1:22">
      <c r="B74" s="506">
        <v>5</v>
      </c>
      <c r="C74" s="507" t="s">
        <v>117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8">
        <f>F69*1</f>
        <v>1</v>
      </c>
      <c r="G74" s="360">
        <f ca="1">IF(ISERROR(OFFSET('HARGA SATUAN'!$I$6,MATCH(RAB!C74,'HARGA SATUAN'!$C$7:$C$1492,0),0)),0,OFFSET('HARGA SATUAN'!$I$6,MATCH(RAB!C74,'HARGA SATUAN'!$C$7:$C$1492,0),0))</f>
        <v>58600</v>
      </c>
      <c r="H74" s="361">
        <f t="shared" ca="1" si="40"/>
        <v>0</v>
      </c>
      <c r="I74" s="361">
        <f t="shared" ca="1" si="41"/>
        <v>58600</v>
      </c>
      <c r="J74" s="361">
        <f t="shared" ca="1" si="42"/>
        <v>0</v>
      </c>
      <c r="K74" s="362">
        <f t="shared" ca="1" si="43"/>
        <v>58600</v>
      </c>
    </row>
    <row r="75" spans="1:22">
      <c r="B75" s="506">
        <v>6</v>
      </c>
      <c r="C75" s="109" t="s">
        <v>1154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Set</v>
      </c>
      <c r="F75" s="508">
        <f>F69*1</f>
        <v>1</v>
      </c>
      <c r="G75" s="360">
        <f ca="1">IF(ISERROR(OFFSET('HARGA SATUAN'!$I$6,MATCH(RAB!C75,'HARGA SATUAN'!$C$7:$C$1492,0),0)),0,OFFSET('HARGA SATUAN'!$I$6,MATCH(RAB!C75,'HARGA SATUAN'!$C$7:$C$1492,0),0))</f>
        <v>3888</v>
      </c>
      <c r="H75" s="361">
        <f t="shared" ca="1" si="40"/>
        <v>0</v>
      </c>
      <c r="I75" s="361">
        <f t="shared" ca="1" si="41"/>
        <v>3888</v>
      </c>
      <c r="J75" s="361">
        <f t="shared" ca="1" si="42"/>
        <v>0</v>
      </c>
      <c r="K75" s="362">
        <f t="shared" ca="1" si="43"/>
        <v>3888</v>
      </c>
    </row>
    <row r="76" spans="1:22">
      <c r="B76" s="506">
        <v>7</v>
      </c>
      <c r="C76" s="507" t="s">
        <v>119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Set</v>
      </c>
      <c r="F76" s="508">
        <f>F69*2</f>
        <v>2</v>
      </c>
      <c r="G76" s="360">
        <f ca="1">IF(ISERROR(OFFSET('HARGA SATUAN'!$I$6,MATCH(RAB!C76,'HARGA SATUAN'!$C$7:$C$1492,0),0)),0,OFFSET('HARGA SATUAN'!$I$6,MATCH(RAB!C76,'HARGA SATUAN'!$C$7:$C$1492,0),0))</f>
        <v>8900</v>
      </c>
      <c r="H76" s="361">
        <f t="shared" ca="1" si="40"/>
        <v>0</v>
      </c>
      <c r="I76" s="361">
        <f t="shared" ca="1" si="41"/>
        <v>17800</v>
      </c>
      <c r="J76" s="361">
        <f t="shared" ca="1" si="42"/>
        <v>0</v>
      </c>
      <c r="K76" s="362">
        <f t="shared" ca="1" si="43"/>
        <v>17800</v>
      </c>
    </row>
    <row r="77" spans="1:22">
      <c r="B77" s="376"/>
      <c r="C77" s="373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368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40"/>
        <v>0</v>
      </c>
      <c r="I77" s="361">
        <f t="shared" ca="1" si="41"/>
        <v>0</v>
      </c>
      <c r="J77" s="361">
        <f t="shared" ca="1" si="42"/>
        <v>0</v>
      </c>
      <c r="K77" s="362">
        <f t="shared" ca="1" si="43"/>
        <v>0</v>
      </c>
    </row>
    <row r="78" spans="1:22">
      <c r="B78" s="374" t="s">
        <v>1550</v>
      </c>
      <c r="C78" s="375" t="s">
        <v>1611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368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ref="H78:H84" ca="1" si="44">IF(OR(D78="MDU",D78="MDU-KD"),(IF($O$3="RAB NON MDU","PLN KD",G78*F78)),0)</f>
        <v>0</v>
      </c>
      <c r="I78" s="361">
        <f t="shared" ref="I78:I84" ca="1" si="45">IF(D78="HDW",G78*F78,0)</f>
        <v>0</v>
      </c>
      <c r="J78" s="361">
        <f t="shared" ref="J78:J84" ca="1" si="46">IF(D78="JASA",G78*F78,0)</f>
        <v>0</v>
      </c>
      <c r="K78" s="362">
        <f t="shared" ref="K78:K84" ca="1" si="47">SUM(H78:J78)</f>
        <v>0</v>
      </c>
    </row>
    <row r="79" spans="1:22">
      <c r="B79" s="376">
        <v>1</v>
      </c>
      <c r="C79" s="109" t="s">
        <v>813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368">
        <v>2</v>
      </c>
      <c r="G79" s="360">
        <f ca="1">IF(ISERROR(OFFSET('HARGA SATUAN'!$I$6,MATCH(RAB!C79,'HARGA SATUAN'!$C$7:$C$1492,0),0)),0,OFFSET('HARGA SATUAN'!$I$6,MATCH(RAB!C79,'HARGA SATUAN'!$C$7:$C$1492,0),0))</f>
        <v>13320</v>
      </c>
      <c r="H79" s="361">
        <f t="shared" ca="1" si="44"/>
        <v>0</v>
      </c>
      <c r="I79" s="361">
        <f t="shared" ca="1" si="45"/>
        <v>0</v>
      </c>
      <c r="J79" s="361">
        <f t="shared" ca="1" si="46"/>
        <v>26640</v>
      </c>
      <c r="K79" s="362">
        <f t="shared" ca="1" si="47"/>
        <v>26640</v>
      </c>
    </row>
    <row r="80" spans="1:22">
      <c r="B80" s="376">
        <v>2</v>
      </c>
      <c r="C80" s="109" t="s">
        <v>814</v>
      </c>
      <c r="D80" s="358" t="str">
        <f ca="1">IF(ISERROR(OFFSET('HARGA SATUAN'!$D$6,MATCH(RAB!C80,'HARGA SATUAN'!$C$7:$C$1492,0),0)),"",OFFSET('HARGA SATUAN'!$D$6,MATCH(RAB!C80,'HARGA SATUAN'!$C$7:$C$1492,0),0))</f>
        <v>JASA</v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368">
        <v>2</v>
      </c>
      <c r="G80" s="360">
        <f ca="1">IF(ISERROR(OFFSET('HARGA SATUAN'!$I$6,MATCH(RAB!C80,'HARGA SATUAN'!$C$7:$C$1492,0),0)),0,OFFSET('HARGA SATUAN'!$I$6,MATCH(RAB!C80,'HARGA SATUAN'!$C$7:$C$1492,0),0))</f>
        <v>18180</v>
      </c>
      <c r="H80" s="361">
        <f t="shared" ca="1" si="44"/>
        <v>0</v>
      </c>
      <c r="I80" s="361">
        <f t="shared" ca="1" si="45"/>
        <v>0</v>
      </c>
      <c r="J80" s="361">
        <f t="shared" ca="1" si="46"/>
        <v>36360</v>
      </c>
      <c r="K80" s="362">
        <f t="shared" ca="1" si="47"/>
        <v>36360</v>
      </c>
    </row>
    <row r="81" spans="2:13">
      <c r="B81" s="376">
        <v>3</v>
      </c>
      <c r="C81" s="109" t="s">
        <v>427</v>
      </c>
      <c r="D81" s="358" t="str">
        <f ca="1">IF(ISERROR(OFFSET('HARGA SATUAN'!$D$6,MATCH(RAB!C81,'HARGA SATUAN'!$C$7:$C$1492,0),0)),"",OFFSET('HARGA SATUAN'!$D$6,MATCH(RAB!C81,'HARGA SATUAN'!$C$7:$C$1492,0),0))</f>
        <v>JASA</v>
      </c>
      <c r="E81" s="359" t="str">
        <f ca="1">IF(B81="+","Unit",IF(ISERROR(OFFSET('HARGA SATUAN'!$E$6,MATCH(RAB!C81,'HARGA SATUAN'!$C$7:$C$1492,0),0)),"",OFFSET('HARGA SATUAN'!$E$6,MATCH(RAB!C81,'HARGA SATUAN'!$C$7:$C$1492,0),0)))</f>
        <v>Per 50 m</v>
      </c>
      <c r="F81" s="368">
        <v>3</v>
      </c>
      <c r="G81" s="360">
        <f ca="1">IF(ISERROR(OFFSET('HARGA SATUAN'!$I$6,MATCH(RAB!C81,'HARGA SATUAN'!$C$7:$C$1492,0),0)),0,OFFSET('HARGA SATUAN'!$I$6,MATCH(RAB!C81,'HARGA SATUAN'!$C$7:$C$1492,0),0))</f>
        <v>107400</v>
      </c>
      <c r="H81" s="361">
        <f t="shared" ca="1" si="44"/>
        <v>0</v>
      </c>
      <c r="I81" s="361">
        <f t="shared" ca="1" si="45"/>
        <v>0</v>
      </c>
      <c r="J81" s="361">
        <f t="shared" ca="1" si="46"/>
        <v>322200</v>
      </c>
      <c r="K81" s="362">
        <f t="shared" ca="1" si="47"/>
        <v>322200</v>
      </c>
    </row>
    <row r="82" spans="2:13">
      <c r="B82" s="376">
        <v>4</v>
      </c>
      <c r="C82" s="518" t="s">
        <v>981</v>
      </c>
      <c r="D82" s="358" t="str">
        <f ca="1">IF(ISERROR(OFFSET('HARGA SATUAN'!$D$6,MATCH(RAB!C82,'HARGA SATUAN'!$C$7:$C$1492,0),0)),"",OFFSET('HARGA SATUAN'!$D$6,MATCH(RAB!C82,'HARGA SATUAN'!$C$7:$C$1492,0),0))</f>
        <v>JASA</v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368">
        <v>1</v>
      </c>
      <c r="G82" s="360">
        <f ca="1">IF(ISERROR(OFFSET('HARGA SATUAN'!$I$6,MATCH(RAB!C82,'HARGA SATUAN'!$C$7:$C$1492,0),0)),0,OFFSET('HARGA SATUAN'!$I$6,MATCH(RAB!C82,'HARGA SATUAN'!$C$7:$C$1492,0),0))</f>
        <v>32640</v>
      </c>
      <c r="H82" s="361">
        <f t="shared" ref="H82:H83" ca="1" si="48">IF(OR(D82="MDU",D82="MDU-KD"),(IF($O$3="RAB NON MDU","PLN KD",G82*F82)),0)</f>
        <v>0</v>
      </c>
      <c r="I82" s="361">
        <f t="shared" ref="I82:I83" ca="1" si="49">IF(D82="HDW",G82*F82,0)</f>
        <v>0</v>
      </c>
      <c r="J82" s="361">
        <f t="shared" ref="J82:J83" ca="1" si="50">IF(D82="JASA",G82*F82,0)</f>
        <v>32640</v>
      </c>
      <c r="K82" s="362">
        <f t="shared" ref="K82:K83" ca="1" si="51">SUM(H82:J82)</f>
        <v>32640</v>
      </c>
    </row>
    <row r="83" spans="2:13">
      <c r="B83" s="376"/>
      <c r="C83" s="109"/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368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48"/>
        <v>0</v>
      </c>
      <c r="I83" s="361">
        <f t="shared" ca="1" si="49"/>
        <v>0</v>
      </c>
      <c r="J83" s="361">
        <f t="shared" ca="1" si="50"/>
        <v>0</v>
      </c>
      <c r="K83" s="362">
        <f t="shared" ca="1" si="51"/>
        <v>0</v>
      </c>
    </row>
    <row r="84" spans="2:13">
      <c r="B84" s="377"/>
      <c r="C84" s="378" t="s">
        <v>475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368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44"/>
        <v>0</v>
      </c>
      <c r="I84" s="361">
        <f t="shared" ca="1" si="45"/>
        <v>0</v>
      </c>
      <c r="J84" s="361">
        <f t="shared" ca="1" si="46"/>
        <v>0</v>
      </c>
      <c r="K84" s="362">
        <f t="shared" ca="1" si="47"/>
        <v>0</v>
      </c>
    </row>
    <row r="85" spans="2:13">
      <c r="B85" s="380">
        <v>1</v>
      </c>
      <c r="C85" s="381" t="s">
        <v>1091</v>
      </c>
      <c r="D85" s="382" t="str">
        <f ca="1">IF(ISERROR(OFFSET('HARGA SATUAN'!$D$6,MATCH(RAB!C85,'HARGA SATUAN'!$C$7:$C$1492,0),0)),"",OFFSET('HARGA SATUAN'!$D$6,MATCH(RAB!C85,'HARGA SATUAN'!$C$7:$C$1492,0),0))</f>
        <v>JASA</v>
      </c>
      <c r="E85" s="383" t="str">
        <f ca="1">IF(ISERROR(OFFSET('HARGA SATUAN'!$E$6,MATCH(RAB!C85,'HARGA SATUAN'!$C$7:$C$1492,0),0)),"",OFFSET('HARGA SATUAN'!$E$6,MATCH(RAB!C85,'HARGA SATUAN'!$C$7:$C$1492,0),0))</f>
        <v>Lot</v>
      </c>
      <c r="F85" s="384">
        <v>1</v>
      </c>
      <c r="G85" s="385">
        <f ca="1">IF(ISERROR(OFFSET('HARGA SATUAN'!$I$6,MATCH(RAB!C85,'HARGA SATUAN'!$C$7:$C$1492,0),0)),0,OFFSET('HARGA SATUAN'!$I$6,MATCH(RAB!C85,'HARGA SATUAN'!$C$7:$C$1492,0),0))</f>
        <v>2.5000000000000001E-2</v>
      </c>
      <c r="H85" s="386">
        <f ca="1">2.5%*(SUM(H14:H84))</f>
        <v>1283396.25</v>
      </c>
      <c r="I85" s="386">
        <f t="shared" ref="I85" ca="1" si="52">2.5%*(SUM(I14:I84))</f>
        <v>395050.35000000003</v>
      </c>
      <c r="J85" s="386">
        <f ca="1">2.5%*(SUM(J14:J84))</f>
        <v>45203.5</v>
      </c>
      <c r="K85" s="387">
        <f ca="1">SUM(H85:J85)</f>
        <v>1723650.1</v>
      </c>
    </row>
    <row r="86" spans="2:13">
      <c r="B86" s="388"/>
      <c r="C86" s="389"/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IF(ISERROR(OFFSET('HARGA SATUAN'!$E$6,MATCH(RAB!C86,'HARGA SATUAN'!$C$7:$C$1492,0),0)),"",OFFSET('HARGA SATUAN'!$E$6,MATCH(RAB!C86,'HARGA SATUAN'!$C$7:$C$1492,0),0))</f>
        <v/>
      </c>
      <c r="F86" s="379"/>
      <c r="G86" s="360" t="str">
        <f ca="1">IF(ISERROR(OFFSET('HARGA SATUAN'!$I$6,MATCH(RAB!C86,'HARGA SATUAN'!$C$7:$C$1492,0),0)),"",OFFSET('HARGA SATUAN'!$I$6,MATCH(RAB!C86,'HARGA SATUAN'!$C$7:$C$1492,0),0))</f>
        <v/>
      </c>
      <c r="H86" s="361">
        <f ca="1">IF(OR(D86="MDU",D86="MDU-KD"),IF(G86="PLN",0,G86*F86),0)</f>
        <v>0</v>
      </c>
      <c r="I86" s="361">
        <f ca="1">IF(D86="HDW",IF(G86="PLN",0,G86*F86),0)</f>
        <v>0</v>
      </c>
      <c r="J86" s="361">
        <f ca="1">IF(D86="JASA",IF(G86="PLN",0,G86*F86),0)</f>
        <v>0</v>
      </c>
      <c r="K86" s="362">
        <f ca="1">SUM(H86:J86)</f>
        <v>0</v>
      </c>
    </row>
    <row r="87" spans="2:13" ht="15.75" thickBot="1">
      <c r="B87" s="390"/>
      <c r="C87" s="391"/>
      <c r="D87" s="392"/>
      <c r="E87" s="393"/>
      <c r="F87" s="393"/>
      <c r="G87" s="393"/>
      <c r="H87" s="394"/>
      <c r="I87" s="394"/>
      <c r="J87" s="394"/>
      <c r="K87" s="395"/>
    </row>
    <row r="88" spans="2:13">
      <c r="B88" s="396"/>
      <c r="C88" s="620" t="s">
        <v>1008</v>
      </c>
      <c r="D88" s="620"/>
      <c r="E88" s="620"/>
      <c r="F88" s="620"/>
      <c r="G88" s="397" t="s">
        <v>9</v>
      </c>
      <c r="H88" s="398">
        <f ca="1">SUM(H14:H86)</f>
        <v>52619246.25</v>
      </c>
      <c r="I88" s="398">
        <f ca="1">SUM(I14:I86)</f>
        <v>16197064.35</v>
      </c>
      <c r="J88" s="398">
        <f ca="1">SUM(J14:J86)</f>
        <v>1853343.5</v>
      </c>
      <c r="K88" s="398">
        <f ca="1">SUM(K14:K86)</f>
        <v>70669654.099999994</v>
      </c>
    </row>
    <row r="89" spans="2:13">
      <c r="B89" s="401"/>
      <c r="C89" s="636" t="s">
        <v>1460</v>
      </c>
      <c r="D89" s="636"/>
      <c r="E89" s="636"/>
      <c r="F89" s="636"/>
      <c r="G89" s="402" t="s">
        <v>9</v>
      </c>
      <c r="H89" s="403">
        <f ca="1">H88*0.11</f>
        <v>5788117.0875000004</v>
      </c>
      <c r="I89" s="403">
        <f ca="1">I88*0.11</f>
        <v>1781677.0785000001</v>
      </c>
      <c r="J89" s="403">
        <f ca="1">J88*0.11</f>
        <v>203867.785</v>
      </c>
      <c r="K89" s="403">
        <f ca="1">K88*0.11</f>
        <v>7773661.9509999994</v>
      </c>
    </row>
    <row r="90" spans="2:13" ht="15.75" thickBot="1">
      <c r="B90" s="401"/>
      <c r="C90" s="634" t="s">
        <v>463</v>
      </c>
      <c r="D90" s="634"/>
      <c r="E90" s="634"/>
      <c r="F90" s="634"/>
      <c r="G90" s="405" t="s">
        <v>9</v>
      </c>
      <c r="H90" s="406">
        <f ca="1">SUM(H88:H89)</f>
        <v>58407363.337499999</v>
      </c>
      <c r="I90" s="406">
        <f ca="1">SUM(I88:I89)</f>
        <v>17978741.4285</v>
      </c>
      <c r="J90" s="405">
        <f ca="1">SUM(J88:J89)</f>
        <v>2057211.2849999999</v>
      </c>
      <c r="K90" s="405">
        <f ca="1">SUM(K88:K89)</f>
        <v>78443316.050999999</v>
      </c>
      <c r="M90" s="490"/>
    </row>
    <row r="91" spans="2:13">
      <c r="B91" s="637" t="str">
        <f ca="1">"Terbilang : "&amp;PROPER(IF(K90=0,"nol",IF(K90&lt;0,"minus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IF(--MID(TEXT(ABS(K90),"000000000000000"),1,3)=0,"",MID(TEXT(ABS(K90),"000000000000000"),1,1)&amp;" ratus "&amp;MID(TEXT(ABS(K90),"000000000000000"),2,1)&amp;" puluh "&amp;MID(TEXT(ABS(K90),"000000000000000"),3,1)&amp;" trilyun ")&amp; IF(--MID(TEXT(ABS(K90),"000000000000000"),4,3)=0,"",MID(TEXT(ABS(K90),"000000000000000"),4,1)&amp;" ratus "&amp;MID(TEXT(ABS(K90),"000000000000000"),5,1)&amp;" puluh "&amp;MID(TEXT(ABS(K90),"000000000000000"),6,1)&amp;" milyar ")&amp; IF(--MID(TEXT(ABS(K90),"000000000000000"),7,3)=0,"",MID(TEXT(ABS(K90),"000000000000000"),7,1)&amp;" ratus "&amp;MID(TEXT(ABS(K90),"000000000000000"),8,1)&amp;" puluh "&amp;MID(TEXT(ABS(K90),"000000000000000"),9,1)&amp;" juta ")&amp; IF(--MID(TEXT(ABS(K90),"000000000000000"),10,3)=0,"",IF(--MID(TEXT(ABS(K90),"000000000000000"),10,3)=1,"*",MID(TEXT(ABS(K90),"000000000000000"),10,1)&amp;" ratus "&amp;MID(TEXT(ABS(K90),"000000000000000"),11,1)&amp;" puluh ")&amp;MID(TEXT(ABS(K90),"000000000000000"),12,1)&amp;" ribu ")&amp; IF(--MID(TEXT(ABS(K90),"000000000000000"),13,3)=0,"",MID(TEXT(ABS(K90),"000000000000000"),13,1)&amp;" ratus "&amp;MID(TEXT(ABS(K90),"000000000000000"),14,1)&amp;" puluh "&amp;MID(TEXT(ABS(K90),"000000000000000"),15,1)),1,"satu"),2,"dua"),3,"tiga"),4,"empat"),5,"lima"),6,"enam"),7,"tujuh"),8,"delapan"),9,"sembilan"),"0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Delapan Juta Empat Ratus Empat Puluh Tiga Ribu Tiga Ratus Enam Belas Rupiah</v>
      </c>
      <c r="C91" s="638"/>
      <c r="D91" s="638"/>
      <c r="E91" s="638"/>
      <c r="F91" s="638"/>
      <c r="G91" s="638"/>
      <c r="H91" s="638"/>
      <c r="I91" s="638"/>
      <c r="J91" s="638"/>
      <c r="K91" s="639"/>
    </row>
    <row r="92" spans="2:13">
      <c r="B92" s="640"/>
      <c r="C92" s="641"/>
      <c r="D92" s="641"/>
      <c r="E92" s="641"/>
      <c r="F92" s="641"/>
      <c r="G92" s="641"/>
      <c r="H92" s="641"/>
      <c r="I92" s="641"/>
      <c r="J92" s="641"/>
      <c r="K92" s="642"/>
    </row>
    <row r="93" spans="2:13" ht="15.75" thickBot="1">
      <c r="B93" s="408" t="str">
        <f>"Harga yang dipakai adalah "&amp;'HARGA SATUAN'!I5&amp;""</f>
        <v>Harga yang dipakai adalah RAB HSS 2023</v>
      </c>
      <c r="C93" s="409"/>
      <c r="D93" s="410"/>
      <c r="E93" s="410"/>
      <c r="F93" s="410"/>
      <c r="G93" s="411"/>
      <c r="H93" s="411"/>
      <c r="I93" s="411"/>
      <c r="J93" s="411"/>
      <c r="K93" s="412"/>
    </row>
    <row r="94" spans="2:13">
      <c r="C94" s="413"/>
      <c r="E94" s="415"/>
      <c r="F94" s="415"/>
      <c r="G94" s="415"/>
    </row>
    <row r="95" spans="2:13">
      <c r="C95" s="337"/>
      <c r="E95" s="415"/>
      <c r="F95" s="415"/>
      <c r="G95" s="415"/>
      <c r="H95" s="643"/>
      <c r="I95" s="643"/>
      <c r="J95" s="644"/>
      <c r="K95" s="644"/>
    </row>
    <row r="96" spans="2:13">
      <c r="C96" s="337"/>
      <c r="E96" s="415"/>
      <c r="F96" s="415"/>
      <c r="G96" s="415"/>
      <c r="H96" s="416"/>
      <c r="I96" s="633" t="s">
        <v>1634</v>
      </c>
      <c r="J96" s="633"/>
      <c r="K96" s="633"/>
    </row>
    <row r="97" spans="3:11">
      <c r="C97" s="337"/>
      <c r="E97" s="415"/>
      <c r="F97" s="415"/>
      <c r="G97" s="415"/>
      <c r="H97" s="416"/>
      <c r="I97" s="633" t="s">
        <v>1635</v>
      </c>
      <c r="J97" s="633"/>
      <c r="K97" s="633"/>
    </row>
    <row r="98" spans="3:11">
      <c r="C98" s="337"/>
      <c r="E98" s="415"/>
      <c r="F98" s="415"/>
      <c r="G98" s="415"/>
      <c r="H98" s="417"/>
      <c r="I98" s="418"/>
      <c r="J98" s="418"/>
      <c r="K98" s="418"/>
    </row>
    <row r="99" spans="3:11">
      <c r="C99" s="337"/>
      <c r="E99" s="415"/>
      <c r="F99" s="415"/>
      <c r="G99" s="415"/>
      <c r="H99" s="417"/>
      <c r="I99" s="417"/>
      <c r="J99" s="417"/>
      <c r="K99" s="417"/>
    </row>
    <row r="100" spans="3:11">
      <c r="C100" s="337"/>
      <c r="E100" s="415"/>
      <c r="F100" s="415"/>
      <c r="G100" s="415"/>
      <c r="H100" s="417"/>
      <c r="I100" s="417"/>
      <c r="J100" s="417"/>
      <c r="K100" s="417"/>
    </row>
    <row r="101" spans="3:11">
      <c r="C101" s="337"/>
      <c r="E101" s="415"/>
      <c r="F101" s="415"/>
      <c r="G101" s="415"/>
      <c r="H101" s="417"/>
      <c r="I101" s="417"/>
      <c r="J101" s="417"/>
      <c r="K101" s="417"/>
    </row>
    <row r="102" spans="3:11">
      <c r="C102" s="337"/>
      <c r="E102" s="415"/>
      <c r="F102" s="415"/>
      <c r="G102" s="415"/>
      <c r="H102" s="419"/>
      <c r="I102" s="633" t="s">
        <v>1636</v>
      </c>
      <c r="J102" s="633"/>
      <c r="K102" s="633"/>
    </row>
    <row r="103" spans="3:11">
      <c r="C103" s="413"/>
      <c r="E103" s="415"/>
      <c r="F103" s="415"/>
      <c r="G103" s="415"/>
      <c r="H103" s="417"/>
      <c r="I103" s="417"/>
      <c r="J103" s="417"/>
      <c r="K103" s="417"/>
    </row>
    <row r="104" spans="3:11">
      <c r="C104" s="413"/>
      <c r="E104" s="415"/>
      <c r="F104" s="415"/>
      <c r="G104" s="415"/>
      <c r="H104" s="417"/>
      <c r="I104" s="417"/>
      <c r="J104" s="417"/>
      <c r="K104" s="417"/>
    </row>
    <row r="105" spans="3:11">
      <c r="C105" s="413"/>
      <c r="E105" s="415"/>
      <c r="F105" s="415"/>
      <c r="G105" s="415"/>
      <c r="H105" s="417"/>
      <c r="I105" s="417"/>
      <c r="J105" s="417"/>
      <c r="K105" s="417"/>
    </row>
  </sheetData>
  <sheetProtection sort="0" autoFilter="0"/>
  <protectedRanges>
    <protectedRange sqref="B79:B83 B75:B77" name="Range1_1"/>
    <protectedRange sqref="F14:F48 F59:F84" name="Range1_1_2_2"/>
    <protectedRange sqref="B78:C78 C75:C77 B26:C31 B59:C61 B33:C35 B32 B37:C48 B36" name="Range1_1_1"/>
    <protectedRange sqref="C65" name="Range1_1_2_2_1"/>
    <protectedRange sqref="C64" name="Range1_1_3"/>
    <protectedRange sqref="C66" name="Range1_1_3_11"/>
    <protectedRange sqref="C32" name="Range1_1_3_3"/>
    <protectedRange sqref="C36" name="Range1_1_3_4"/>
    <protectedRange sqref="C79:C80" name="Range1_1_3_2"/>
    <protectedRange sqref="C81 C83" name="Range1_1_3_5"/>
    <protectedRange sqref="C63" name="Range1_1_3_6"/>
  </protectedRanges>
  <mergeCells count="22">
    <mergeCell ref="I97:K97"/>
    <mergeCell ref="I102:K102"/>
    <mergeCell ref="C90:F90"/>
    <mergeCell ref="G6:K6"/>
    <mergeCell ref="I96:K96"/>
    <mergeCell ref="C89:F89"/>
    <mergeCell ref="B91:K92"/>
    <mergeCell ref="H95:K95"/>
    <mergeCell ref="H11:K11"/>
    <mergeCell ref="H12:H13"/>
    <mergeCell ref="J12:J13"/>
    <mergeCell ref="K12:K13"/>
    <mergeCell ref="O3:P4"/>
    <mergeCell ref="B4:K4"/>
    <mergeCell ref="C88:F88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15">
    <cfRule type="cellIs" dxfId="11" priority="425" operator="equal">
      <formula>0</formula>
    </cfRule>
  </conditionalFormatting>
  <conditionalFormatting sqref="C32:C33">
    <cfRule type="cellIs" dxfId="10" priority="9" operator="equal">
      <formula>0</formula>
    </cfRule>
  </conditionalFormatting>
  <conditionalFormatting sqref="C36">
    <cfRule type="cellIs" dxfId="9" priority="8" operator="equal">
      <formula>0</formula>
    </cfRule>
  </conditionalFormatting>
  <conditionalFormatting sqref="C75">
    <cfRule type="cellIs" dxfId="8" priority="16" operator="equal">
      <formula>0</formula>
    </cfRule>
  </conditionalFormatting>
  <conditionalFormatting sqref="E1:E3 G1:G13 E5:E13 H12:I12 O13 S14:V25 E85:G85 H85:K87 E86:H86 E87:F87">
    <cfRule type="cellIs" dxfId="7" priority="1005" stopIfTrue="1" operator="equal">
      <formula>0</formula>
    </cfRule>
  </conditionalFormatting>
  <conditionalFormatting sqref="E14:K61 E62:E68 G62:K68 E69:K84">
    <cfRule type="cellIs" dxfId="6" priority="6" stopIfTrue="1" operator="equal">
      <formula>0</formula>
    </cfRule>
  </conditionalFormatting>
  <conditionalFormatting sqref="G86:G65552 E91:E65552">
    <cfRule type="cellIs" dxfId="5" priority="139" stopIfTrue="1" operator="equal">
      <formula>0</formula>
    </cfRule>
  </conditionalFormatting>
  <conditionalFormatting sqref="F62:F68">
    <cfRule type="cellIs" dxfId="3" priority="4" stopIfTrue="1" operator="equal">
      <formula>0</formula>
    </cfRule>
  </conditionalFormatting>
  <conditionalFormatting sqref="C79:C80">
    <cfRule type="cellIs" dxfId="2" priority="3" operator="equal">
      <formula>0</formula>
    </cfRule>
  </conditionalFormatting>
  <conditionalFormatting sqref="C81 C83">
    <cfRule type="cellIs" dxfId="1" priority="2" operator="equal">
      <formula>0</formula>
    </cfRule>
  </conditionalFormatting>
  <conditionalFormatting sqref="C6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9:F25 F28:F47 F49:F58 C30:C31 H14:K8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66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4" zoomScale="115" zoomScaleNormal="115" zoomScaleSheetLayoutView="115" workbookViewId="0">
      <selection activeCell="Y52" sqref="Y52:AA55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7" t="s">
        <v>1439</v>
      </c>
      <c r="X2" s="648"/>
      <c r="Y2" s="648"/>
      <c r="Z2" s="648"/>
      <c r="AA2" s="648"/>
      <c r="AB2" s="648"/>
      <c r="AC2" s="648"/>
      <c r="AD2" s="649"/>
    </row>
    <row r="3" spans="3:30">
      <c r="C3" s="238"/>
      <c r="W3" s="650"/>
      <c r="X3" s="651"/>
      <c r="Y3" s="651"/>
      <c r="Z3" s="651"/>
      <c r="AA3" s="651"/>
      <c r="AB3" s="651"/>
      <c r="AC3" s="651"/>
      <c r="AD3" s="65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3" t="s">
        <v>990</v>
      </c>
      <c r="Y5" s="653"/>
      <c r="Z5" s="653"/>
      <c r="AA5" s="653" t="s">
        <v>988</v>
      </c>
      <c r="AB5" s="653"/>
      <c r="AC5" s="653" t="s">
        <v>989</v>
      </c>
      <c r="AD5" s="654"/>
    </row>
    <row r="6" spans="3:30">
      <c r="C6" s="238"/>
      <c r="W6" s="241">
        <v>1</v>
      </c>
      <c r="X6" s="653" t="s">
        <v>993</v>
      </c>
      <c r="Y6" s="653"/>
      <c r="Z6" s="653"/>
      <c r="AA6" s="653"/>
      <c r="AB6" s="653"/>
      <c r="AC6" s="653"/>
      <c r="AD6" s="654"/>
    </row>
    <row r="7" spans="3:30">
      <c r="C7" s="238"/>
      <c r="E7" s="496" t="s">
        <v>1619</v>
      </c>
      <c r="W7" s="241">
        <v>2</v>
      </c>
      <c r="X7" s="653" t="s">
        <v>994</v>
      </c>
      <c r="Y7" s="653"/>
      <c r="Z7" s="653"/>
      <c r="AA7" s="653"/>
      <c r="AB7" s="653"/>
      <c r="AC7" s="653"/>
      <c r="AD7" s="654"/>
    </row>
    <row r="8" spans="3:30">
      <c r="C8" s="238"/>
      <c r="W8" s="241">
        <v>3</v>
      </c>
      <c r="X8" s="653" t="s">
        <v>995</v>
      </c>
      <c r="Y8" s="653"/>
      <c r="Z8" s="653"/>
      <c r="AA8" s="653"/>
      <c r="AB8" s="653"/>
      <c r="AC8" s="653"/>
      <c r="AD8" s="654"/>
    </row>
    <row r="9" spans="3:30">
      <c r="C9" s="238"/>
      <c r="W9" s="241">
        <v>4</v>
      </c>
      <c r="X9" s="653" t="s">
        <v>996</v>
      </c>
      <c r="Y9" s="653"/>
      <c r="Z9" s="653"/>
      <c r="AA9" s="653"/>
      <c r="AB9" s="653"/>
      <c r="AC9" s="653"/>
      <c r="AD9" s="654"/>
    </row>
    <row r="10" spans="3:30">
      <c r="C10" s="238"/>
      <c r="W10" s="241">
        <v>5</v>
      </c>
      <c r="X10" s="653" t="s">
        <v>997</v>
      </c>
      <c r="Y10" s="653"/>
      <c r="Z10" s="653"/>
      <c r="AA10" s="653"/>
      <c r="AB10" s="653"/>
      <c r="AC10" s="653"/>
      <c r="AD10" s="654"/>
    </row>
    <row r="11" spans="3:30">
      <c r="C11" s="238"/>
      <c r="W11" s="241">
        <v>6</v>
      </c>
      <c r="X11" s="653" t="s">
        <v>998</v>
      </c>
      <c r="Y11" s="653"/>
      <c r="Z11" s="653"/>
      <c r="AA11" s="653"/>
      <c r="AB11" s="653"/>
      <c r="AC11" s="653"/>
      <c r="AD11" s="654"/>
    </row>
    <row r="12" spans="3:30">
      <c r="C12" s="238"/>
      <c r="W12" s="241">
        <v>7</v>
      </c>
      <c r="X12" s="653" t="s">
        <v>999</v>
      </c>
      <c r="Y12" s="653"/>
      <c r="Z12" s="653"/>
      <c r="AA12" s="653"/>
      <c r="AB12" s="653"/>
      <c r="AC12" s="653"/>
      <c r="AD12" s="654"/>
    </row>
    <row r="13" spans="3:30" ht="12.75" customHeight="1">
      <c r="C13" s="238"/>
      <c r="W13" s="241">
        <v>8</v>
      </c>
      <c r="X13" s="653" t="s">
        <v>1000</v>
      </c>
      <c r="Y13" s="653"/>
      <c r="Z13" s="653"/>
      <c r="AA13" s="653"/>
      <c r="AB13" s="653"/>
      <c r="AC13" s="653"/>
      <c r="AD13" s="654"/>
    </row>
    <row r="14" spans="3:30">
      <c r="C14" s="238"/>
      <c r="W14" s="241">
        <v>9</v>
      </c>
      <c r="X14" s="653" t="s">
        <v>1001</v>
      </c>
      <c r="Y14" s="653"/>
      <c r="Z14" s="653"/>
      <c r="AA14" s="653"/>
      <c r="AB14" s="653"/>
      <c r="AC14" s="653"/>
      <c r="AD14" s="654"/>
    </row>
    <row r="15" spans="3:30">
      <c r="C15" s="238"/>
      <c r="W15" s="241">
        <v>10</v>
      </c>
      <c r="X15" s="653" t="s">
        <v>1010</v>
      </c>
      <c r="Y15" s="653"/>
      <c r="Z15" s="653"/>
      <c r="AA15" s="653"/>
      <c r="AB15" s="653"/>
      <c r="AC15" s="653"/>
      <c r="AD15" s="654"/>
    </row>
    <row r="16" spans="3:30">
      <c r="C16" s="238"/>
      <c r="W16" s="241">
        <v>11</v>
      </c>
      <c r="X16" s="653" t="s">
        <v>1458</v>
      </c>
      <c r="Y16" s="653"/>
      <c r="Z16" s="653"/>
      <c r="AA16" s="653"/>
      <c r="AB16" s="653"/>
      <c r="AC16" s="653"/>
      <c r="AD16" s="654"/>
    </row>
    <row r="17" spans="3:30">
      <c r="C17" s="238"/>
      <c r="S17" s="242"/>
      <c r="W17" s="241">
        <v>12</v>
      </c>
      <c r="X17" s="653" t="s">
        <v>1011</v>
      </c>
      <c r="Y17" s="653"/>
      <c r="Z17" s="653"/>
      <c r="AA17" s="653"/>
      <c r="AB17" s="653"/>
      <c r="AC17" s="653"/>
      <c r="AD17" s="654"/>
    </row>
    <row r="18" spans="3:30">
      <c r="C18" s="243"/>
      <c r="D18" s="244"/>
      <c r="E18" s="244"/>
      <c r="W18" s="241">
        <v>13</v>
      </c>
      <c r="X18" s="653"/>
      <c r="Y18" s="653"/>
      <c r="Z18" s="653"/>
      <c r="AA18" s="653"/>
      <c r="AB18" s="653"/>
      <c r="AC18" s="653"/>
      <c r="AD18" s="654"/>
    </row>
    <row r="19" spans="3:30">
      <c r="C19" s="238"/>
      <c r="W19" s="245"/>
      <c r="X19" s="670"/>
      <c r="Y19" s="670"/>
      <c r="Z19" s="670"/>
      <c r="AA19" s="670"/>
      <c r="AB19" s="670"/>
      <c r="AC19" s="670"/>
      <c r="AD19" s="671"/>
    </row>
    <row r="20" spans="3:30">
      <c r="C20" s="238"/>
      <c r="W20" s="655" t="s">
        <v>992</v>
      </c>
      <c r="X20" s="656"/>
      <c r="Y20" s="656"/>
      <c r="Z20" s="656"/>
      <c r="AA20" s="656"/>
      <c r="AB20" s="656"/>
      <c r="AC20" s="656"/>
      <c r="AD20" s="657"/>
    </row>
    <row r="21" spans="3:30">
      <c r="C21" s="238"/>
      <c r="W21" s="658" t="s">
        <v>985</v>
      </c>
      <c r="X21" s="659"/>
      <c r="Y21" s="659"/>
      <c r="Z21" s="660"/>
      <c r="AA21" s="661" t="s">
        <v>986</v>
      </c>
      <c r="AB21" s="662"/>
      <c r="AC21" s="662"/>
      <c r="AD21" s="663"/>
    </row>
    <row r="22" spans="3:30">
      <c r="C22" s="238"/>
      <c r="W22" s="664" t="s">
        <v>1613</v>
      </c>
      <c r="X22" s="665"/>
      <c r="Y22" s="498">
        <v>3</v>
      </c>
      <c r="Z22" s="505" t="s">
        <v>1058</v>
      </c>
      <c r="AA22" s="666"/>
      <c r="AB22" s="667"/>
      <c r="AC22" s="248"/>
      <c r="AD22" s="249"/>
    </row>
    <row r="23" spans="3:30">
      <c r="C23" s="238"/>
      <c r="W23" s="664" t="s">
        <v>1614</v>
      </c>
      <c r="X23" s="665"/>
      <c r="Y23" s="498">
        <v>4</v>
      </c>
      <c r="Z23" s="505" t="s">
        <v>1058</v>
      </c>
      <c r="AA23" s="668"/>
      <c r="AB23" s="669"/>
      <c r="AC23" s="248"/>
      <c r="AD23" s="249"/>
    </row>
    <row r="24" spans="3:30">
      <c r="C24" s="238"/>
      <c r="W24" s="674" t="s">
        <v>1615</v>
      </c>
      <c r="X24" s="675"/>
      <c r="Y24" s="246">
        <v>1</v>
      </c>
      <c r="Z24" s="247" t="s">
        <v>1058</v>
      </c>
      <c r="AA24" s="676"/>
      <c r="AB24" s="677"/>
      <c r="AC24" s="248"/>
      <c r="AD24" s="249"/>
    </row>
    <row r="25" spans="3:30">
      <c r="C25" s="238"/>
      <c r="W25" s="674"/>
      <c r="X25" s="675"/>
      <c r="Y25" s="246"/>
      <c r="Z25" s="247"/>
      <c r="AA25" s="668"/>
      <c r="AB25" s="669"/>
      <c r="AC25" s="248"/>
      <c r="AD25" s="249"/>
    </row>
    <row r="26" spans="3:30">
      <c r="C26" s="238"/>
      <c r="W26" s="486"/>
      <c r="X26" s="487"/>
      <c r="Y26" s="246"/>
      <c r="Z26" s="247"/>
      <c r="AA26" s="668"/>
      <c r="AB26" s="669"/>
      <c r="AC26" s="248"/>
      <c r="AD26" s="249"/>
    </row>
    <row r="27" spans="3:30">
      <c r="C27" s="238"/>
      <c r="W27" s="486"/>
      <c r="X27" s="487"/>
      <c r="Y27" s="246"/>
      <c r="Z27" s="247"/>
      <c r="AA27" s="672"/>
      <c r="AB27" s="673"/>
      <c r="AC27" s="248"/>
      <c r="AD27" s="249"/>
    </row>
    <row r="28" spans="3:30">
      <c r="C28" s="238"/>
      <c r="W28" s="486"/>
      <c r="X28" s="487"/>
      <c r="Y28" s="246"/>
      <c r="Z28" s="247"/>
      <c r="AA28" s="672"/>
      <c r="AB28" s="673"/>
      <c r="AC28" s="248"/>
      <c r="AD28" s="249"/>
    </row>
    <row r="29" spans="3:30">
      <c r="C29" s="238"/>
      <c r="W29" s="486"/>
      <c r="X29" s="487"/>
      <c r="Y29" s="246"/>
      <c r="Z29" s="247"/>
      <c r="AA29" s="672"/>
      <c r="AB29" s="673"/>
      <c r="AC29" s="248"/>
      <c r="AD29" s="249"/>
    </row>
    <row r="30" spans="3:30" ht="11.25" customHeight="1">
      <c r="C30" s="238"/>
      <c r="W30" s="488"/>
      <c r="X30" s="489"/>
      <c r="Y30" s="246"/>
      <c r="Z30" s="247"/>
      <c r="AA30" s="672"/>
      <c r="AB30" s="673"/>
      <c r="AC30" s="248"/>
      <c r="AD30" s="249"/>
    </row>
    <row r="31" spans="3:30">
      <c r="C31" s="238"/>
      <c r="U31" s="250"/>
      <c r="W31" s="486"/>
      <c r="X31" s="487"/>
      <c r="Y31" s="246"/>
      <c r="Z31" s="247"/>
      <c r="AA31" s="672"/>
      <c r="AB31" s="673"/>
      <c r="AC31" s="248"/>
      <c r="AD31" s="249"/>
    </row>
    <row r="32" spans="3:30">
      <c r="C32" s="238"/>
      <c r="U32" s="250"/>
      <c r="W32" s="486"/>
      <c r="X32" s="487"/>
      <c r="Y32" s="246"/>
      <c r="Z32" s="247"/>
      <c r="AA32" s="672"/>
      <c r="AB32" s="673"/>
      <c r="AC32" s="248"/>
      <c r="AD32" s="249"/>
    </row>
    <row r="33" spans="3:30">
      <c r="C33" s="238"/>
      <c r="W33" s="486"/>
      <c r="X33" s="487"/>
      <c r="Y33" s="246"/>
      <c r="Z33" s="247"/>
      <c r="AA33" s="672"/>
      <c r="AB33" s="673"/>
      <c r="AC33" s="248"/>
      <c r="AD33" s="249"/>
    </row>
    <row r="34" spans="3:30">
      <c r="C34" s="238"/>
      <c r="W34" s="486"/>
      <c r="X34" s="487"/>
      <c r="Y34" s="246"/>
      <c r="Z34" s="247"/>
      <c r="AA34" s="672"/>
      <c r="AB34" s="673"/>
      <c r="AC34" s="248"/>
      <c r="AD34" s="249"/>
    </row>
    <row r="35" spans="3:30">
      <c r="C35" s="238"/>
      <c r="W35" s="674"/>
      <c r="X35" s="687"/>
      <c r="Y35" s="246"/>
      <c r="Z35" s="247"/>
      <c r="AA35" s="672"/>
      <c r="AB35" s="673"/>
      <c r="AC35" s="248"/>
      <c r="AD35" s="249"/>
    </row>
    <row r="36" spans="3:30">
      <c r="C36" s="238"/>
      <c r="W36" s="678"/>
      <c r="X36" s="679"/>
      <c r="Y36" s="246"/>
      <c r="Z36" s="251"/>
      <c r="AA36" s="680"/>
      <c r="AB36" s="673"/>
      <c r="AC36" s="248"/>
      <c r="AD36" s="249"/>
    </row>
    <row r="37" spans="3:30" ht="12.75" customHeight="1">
      <c r="C37" s="238"/>
      <c r="W37" s="681"/>
      <c r="X37" s="682"/>
      <c r="Y37" s="246"/>
      <c r="Z37" s="251"/>
      <c r="AA37" s="683"/>
      <c r="AB37" s="684"/>
      <c r="AC37" s="252"/>
      <c r="AD37" s="253"/>
    </row>
    <row r="38" spans="3:30" ht="12.75" customHeight="1">
      <c r="C38" s="238"/>
      <c r="W38" s="681"/>
      <c r="X38" s="68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1"/>
      <c r="X39" s="682"/>
      <c r="Y39" s="254"/>
      <c r="Z39" s="257"/>
      <c r="AA39" s="685"/>
      <c r="AB39" s="686"/>
      <c r="AC39" s="252"/>
      <c r="AD39" s="253"/>
    </row>
    <row r="40" spans="3:30" ht="12" customHeight="1">
      <c r="C40" s="238"/>
      <c r="W40" s="691"/>
      <c r="X40" s="692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3"/>
      <c r="X41" s="694"/>
      <c r="Y41" s="260"/>
      <c r="Z41" s="261"/>
      <c r="AA41" s="685"/>
      <c r="AB41" s="686"/>
      <c r="AC41" s="252"/>
      <c r="AD41" s="253"/>
    </row>
    <row r="42" spans="3:30" ht="12" customHeight="1">
      <c r="C42" s="238"/>
      <c r="W42" s="695" t="s">
        <v>1459</v>
      </c>
      <c r="X42" s="696"/>
      <c r="Y42" s="696"/>
      <c r="Z42" s="696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8" t="s">
        <v>11</v>
      </c>
      <c r="X44" s="689"/>
      <c r="Y44" s="653"/>
      <c r="Z44" s="653"/>
      <c r="AA44" s="653"/>
      <c r="AB44" s="653"/>
      <c r="AC44" s="653"/>
      <c r="AD44" s="654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8" t="s">
        <v>984</v>
      </c>
      <c r="X45" s="689"/>
      <c r="Y45" s="653">
        <v>1</v>
      </c>
      <c r="Z45" s="653"/>
      <c r="AA45" s="653"/>
      <c r="AB45" s="653" t="s">
        <v>12</v>
      </c>
      <c r="AC45" s="65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8" t="s">
        <v>15</v>
      </c>
      <c r="X46" s="689"/>
      <c r="Y46" s="690"/>
      <c r="Z46" s="690"/>
      <c r="AA46" s="690"/>
      <c r="AB46" s="653" t="s">
        <v>16</v>
      </c>
      <c r="AC46" s="65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1" t="s">
        <v>17</v>
      </c>
      <c r="X47" s="701"/>
      <c r="Y47" s="701"/>
      <c r="Z47" s="701"/>
      <c r="AA47" s="701"/>
      <c r="AB47" s="701"/>
      <c r="AC47" s="701"/>
      <c r="AD47" s="70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3" t="str">
        <f>RAB!G6</f>
        <v>DPU-POMPA AIR LOIRENG</v>
      </c>
      <c r="X48" s="703"/>
      <c r="Y48" s="703"/>
      <c r="Z48" s="703"/>
      <c r="AA48" s="703"/>
      <c r="AB48" s="703"/>
      <c r="AC48" s="703"/>
      <c r="AD48" s="70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3"/>
      <c r="X49" s="703"/>
      <c r="Y49" s="703"/>
      <c r="Z49" s="703"/>
      <c r="AA49" s="703"/>
      <c r="AB49" s="703"/>
      <c r="AC49" s="703"/>
      <c r="AD49" s="70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3"/>
      <c r="X50" s="703"/>
      <c r="Y50" s="703"/>
      <c r="Z50" s="703"/>
      <c r="AA50" s="703"/>
      <c r="AB50" s="703"/>
      <c r="AC50" s="703"/>
      <c r="AD50" s="70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5"/>
      <c r="X51" s="705"/>
      <c r="Y51" s="705"/>
      <c r="Z51" s="705"/>
      <c r="AA51" s="705"/>
      <c r="AB51" s="705"/>
      <c r="AC51" s="705"/>
      <c r="AD51" s="70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8" t="s">
        <v>18</v>
      </c>
      <c r="X52" s="689"/>
      <c r="Y52" s="653" t="s">
        <v>1630</v>
      </c>
      <c r="Z52" s="653"/>
      <c r="AA52" s="653"/>
      <c r="AB52" s="653"/>
      <c r="AC52" s="653"/>
      <c r="AD52" s="65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8" t="s">
        <v>19</v>
      </c>
      <c r="X53" s="689"/>
      <c r="Y53" s="653" t="s">
        <v>1631</v>
      </c>
      <c r="Z53" s="653"/>
      <c r="AA53" s="653"/>
      <c r="AB53" s="653"/>
      <c r="AC53" s="653"/>
      <c r="AD53" s="65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8" t="s">
        <v>20</v>
      </c>
      <c r="X54" s="689"/>
      <c r="Y54" s="697" t="s">
        <v>1632</v>
      </c>
      <c r="Z54" s="697"/>
      <c r="AA54" s="697"/>
      <c r="AB54" s="653"/>
      <c r="AC54" s="653"/>
      <c r="AD54" s="65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8" t="s">
        <v>21</v>
      </c>
      <c r="X55" s="699"/>
      <c r="Y55" s="697" t="s">
        <v>1633</v>
      </c>
      <c r="Z55" s="697"/>
      <c r="AA55" s="697"/>
      <c r="AB55" s="697"/>
      <c r="AC55" s="697"/>
      <c r="AD55" s="700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25" zoomScale="55" zoomScaleNormal="55" zoomScaleSheetLayoutView="55" workbookViewId="0">
      <selection activeCell="V21" sqref="V21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7" t="s">
        <v>1531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217"/>
      <c r="AE4" s="216"/>
      <c r="AF4" s="216"/>
    </row>
    <row r="5" spans="2:32" ht="13.5" customHeight="1">
      <c r="B5" s="215"/>
      <c r="C5" s="215"/>
      <c r="D5" s="710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711"/>
      <c r="U5" s="711"/>
      <c r="V5" s="711"/>
      <c r="W5" s="711"/>
      <c r="X5" s="711"/>
      <c r="Y5" s="711"/>
      <c r="Z5" s="711"/>
      <c r="AA5" s="711"/>
      <c r="AB5" s="711"/>
      <c r="AC5" s="712"/>
      <c r="AD5" s="217"/>
      <c r="AE5" s="216"/>
      <c r="AF5" s="216"/>
    </row>
    <row r="6" spans="2:32" ht="12.75" customHeight="1">
      <c r="B6" s="215"/>
      <c r="C6" s="215"/>
      <c r="D6" s="710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2"/>
      <c r="AE6" s="216"/>
      <c r="AF6" s="216"/>
    </row>
    <row r="7" spans="2:32" ht="12.75" customHeight="1" thickBot="1">
      <c r="B7" s="215"/>
      <c r="C7" s="215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  <c r="AA7" s="714"/>
      <c r="AB7" s="714"/>
      <c r="AC7" s="71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9" t="s">
        <v>1620</v>
      </c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hyperlinks>
    <hyperlink ref="E9" r:id="rId1" xr:uid="{11565CDF-BD6E-468C-92FA-C9A19F9453F6}"/>
  </hyperlinks>
  <pageMargins left="0.7" right="0.7" top="0.75" bottom="0.75" header="0.3" footer="0.3"/>
  <pageSetup paperSize="9" scale="54" orientation="landscape" horizontalDpi="1200" verticalDpi="1200" r:id="rId2"/>
  <colBreaks count="1" manualBreakCount="1">
    <brk id="32" max="1048575" man="1"/>
  </colBreak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M42" sqref="M42"/>
    </sheetView>
  </sheetViews>
  <sheetFormatPr defaultColWidth="9.140625" defaultRowHeight="12.75"/>
  <cols>
    <col min="1" max="1" width="1.7109375" style="430" customWidth="1"/>
    <col min="2" max="2" width="10.7109375" style="430" customWidth="1"/>
    <col min="3" max="3" width="2.5703125" style="430" customWidth="1"/>
    <col min="4" max="20" width="9.140625" style="430"/>
    <col min="21" max="21" width="14.5703125" style="430" customWidth="1"/>
    <col min="22" max="22" width="3.140625" style="430" customWidth="1"/>
    <col min="23" max="26" width="9.140625" style="430"/>
    <col min="27" max="27" width="2.85546875" style="430" customWidth="1"/>
    <col min="28" max="30" width="4.7109375" style="430" customWidth="1"/>
    <col min="31" max="31" width="1.7109375" style="430" customWidth="1"/>
    <col min="32" max="16384" width="9.140625" style="430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1" t="s">
        <v>1530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182"/>
      <c r="X3" s="441"/>
      <c r="Y3" s="441"/>
      <c r="Z3" s="441"/>
      <c r="AA3" s="441"/>
      <c r="AB3" s="441"/>
      <c r="AC3" s="431"/>
    </row>
    <row r="4" spans="1:29" ht="18.75" customHeight="1">
      <c r="A4" s="18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182"/>
      <c r="X4" s="441"/>
      <c r="Y4" s="441"/>
      <c r="Z4" s="441"/>
      <c r="AA4" s="441"/>
      <c r="AB4" s="441"/>
      <c r="AC4" s="431"/>
    </row>
    <row r="5" spans="1:29" ht="12.75" customHeight="1">
      <c r="A5" s="181"/>
      <c r="C5" s="432"/>
      <c r="W5" s="182"/>
    </row>
    <row r="6" spans="1:29" ht="12.75" customHeight="1">
      <c r="A6" s="181"/>
      <c r="C6" s="716"/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182"/>
      <c r="Y6" s="433"/>
      <c r="Z6" s="433"/>
      <c r="AA6" s="433"/>
      <c r="AB6" s="434"/>
      <c r="AC6" s="434"/>
    </row>
    <row r="7" spans="1:29" ht="18" customHeight="1">
      <c r="A7" s="181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182"/>
      <c r="Y7" s="433"/>
      <c r="Z7" s="433"/>
      <c r="AA7" s="433"/>
      <c r="AB7" s="434"/>
      <c r="AC7" s="434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5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6"/>
      <c r="S54" s="436"/>
      <c r="T54" s="436"/>
      <c r="U54" s="437"/>
      <c r="V54" s="437"/>
      <c r="W54" s="183"/>
      <c r="X54" s="437"/>
      <c r="Y54" s="437"/>
      <c r="Z54" s="437"/>
      <c r="AA54" s="437"/>
      <c r="AB54" s="437"/>
      <c r="AC54" s="437"/>
      <c r="AD54" s="437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2"/>
      <c r="S55" s="443"/>
      <c r="T55" s="443"/>
      <c r="U55" s="186"/>
      <c r="V55" s="187"/>
      <c r="W55" s="188"/>
      <c r="X55" s="437"/>
      <c r="Y55" s="437"/>
      <c r="Z55" s="437"/>
      <c r="AA55" s="438"/>
      <c r="AB55" s="438"/>
      <c r="AC55" s="438"/>
      <c r="AD55" s="438"/>
    </row>
    <row r="56" spans="1:30">
      <c r="U56" s="437"/>
      <c r="V56" s="438"/>
      <c r="W56" s="437"/>
      <c r="X56" s="437"/>
      <c r="Y56" s="437"/>
      <c r="Z56" s="437"/>
      <c r="AA56" s="438"/>
      <c r="AB56" s="437"/>
      <c r="AC56" s="437"/>
      <c r="AD56" s="437"/>
    </row>
    <row r="57" spans="1:30">
      <c r="U57" s="437"/>
      <c r="V57" s="438"/>
      <c r="W57" s="437"/>
      <c r="X57" s="437"/>
      <c r="Y57" s="437"/>
      <c r="Z57" s="437"/>
      <c r="AA57" s="437"/>
      <c r="AB57" s="437"/>
      <c r="AC57" s="437"/>
      <c r="AD57" s="437"/>
    </row>
    <row r="58" spans="1:30">
      <c r="U58" s="437"/>
      <c r="V58" s="438"/>
      <c r="W58" s="437"/>
      <c r="X58" s="437"/>
      <c r="Y58" s="437"/>
      <c r="Z58" s="437"/>
      <c r="AA58" s="437"/>
      <c r="AB58" s="437"/>
      <c r="AC58" s="437"/>
      <c r="AD58" s="437"/>
    </row>
    <row r="59" spans="1:30">
      <c r="U59" s="437"/>
      <c r="V59" s="438"/>
      <c r="W59" s="437"/>
      <c r="X59" s="437"/>
      <c r="Y59" s="437"/>
      <c r="Z59" s="437"/>
      <c r="AA59" s="437"/>
      <c r="AB59" s="437"/>
      <c r="AC59" s="437"/>
      <c r="AD59" s="437"/>
    </row>
    <row r="60" spans="1:30">
      <c r="U60" s="437"/>
      <c r="V60" s="438"/>
      <c r="W60" s="437"/>
      <c r="X60" s="437"/>
      <c r="Y60" s="437"/>
      <c r="Z60" s="437"/>
      <c r="AA60" s="438"/>
      <c r="AB60" s="437"/>
      <c r="AC60" s="437"/>
      <c r="AD60" s="437"/>
    </row>
    <row r="61" spans="1:30">
      <c r="U61" s="437"/>
      <c r="V61" s="438"/>
      <c r="W61" s="437"/>
      <c r="X61" s="437"/>
      <c r="Y61" s="437"/>
      <c r="Z61" s="437"/>
      <c r="AA61" s="437"/>
      <c r="AB61" s="437"/>
      <c r="AC61" s="437"/>
      <c r="AD61" s="437"/>
    </row>
    <row r="62" spans="1:30">
      <c r="U62" s="437"/>
      <c r="V62" s="438"/>
      <c r="W62" s="437"/>
      <c r="X62" s="437"/>
      <c r="Y62" s="437"/>
      <c r="Z62" s="437"/>
      <c r="AA62" s="437"/>
      <c r="AB62" s="437"/>
      <c r="AC62" s="437"/>
      <c r="AD62" s="437"/>
    </row>
    <row r="63" spans="1:30">
      <c r="U63" s="437"/>
      <c r="V63" s="438"/>
      <c r="W63" s="437"/>
      <c r="X63" s="437"/>
      <c r="Y63" s="437"/>
      <c r="Z63" s="437"/>
      <c r="AA63" s="437"/>
      <c r="AB63" s="437"/>
      <c r="AC63" s="437"/>
      <c r="AD63" s="437"/>
    </row>
    <row r="64" spans="1:30">
      <c r="U64" s="437"/>
      <c r="V64" s="438"/>
      <c r="W64" s="437"/>
      <c r="X64" s="437"/>
      <c r="Y64" s="437"/>
      <c r="Z64" s="437"/>
      <c r="AA64" s="437"/>
      <c r="AB64" s="437"/>
      <c r="AC64" s="437"/>
      <c r="AD64" s="437"/>
    </row>
    <row r="65" spans="5:30">
      <c r="U65" s="437"/>
      <c r="V65" s="438"/>
      <c r="W65" s="437"/>
      <c r="X65" s="437"/>
      <c r="Y65" s="437"/>
      <c r="Z65" s="437"/>
      <c r="AA65" s="437"/>
      <c r="AB65" s="437"/>
      <c r="AC65" s="437"/>
      <c r="AD65" s="437"/>
    </row>
    <row r="66" spans="5:30" ht="6" customHeight="1"/>
    <row r="73" spans="5:30">
      <c r="M73" s="439"/>
    </row>
    <row r="74" spans="5:30" ht="15" customHeight="1">
      <c r="E74" s="440"/>
      <c r="M74" s="439"/>
    </row>
    <row r="75" spans="5:30" ht="15" customHeight="1">
      <c r="E75" s="440"/>
      <c r="M75" s="439"/>
    </row>
    <row r="76" spans="5:30" ht="15" customHeight="1">
      <c r="E76" s="440"/>
      <c r="M76" s="439"/>
    </row>
    <row r="77" spans="5:30" ht="15" customHeight="1">
      <c r="E77" s="440"/>
      <c r="M77" s="439"/>
    </row>
    <row r="78" spans="5:30" ht="15" customHeight="1">
      <c r="E78" s="440"/>
      <c r="M78" s="439"/>
    </row>
    <row r="79" spans="5:30" ht="15" customHeight="1">
      <c r="E79" s="440"/>
      <c r="M79" s="439"/>
    </row>
    <row r="80" spans="5:30" ht="15" customHeight="1">
      <c r="E80" s="440"/>
      <c r="M80" s="439"/>
    </row>
    <row r="81" spans="5:13" ht="15" customHeight="1">
      <c r="E81" s="440"/>
      <c r="M81" s="439"/>
    </row>
    <row r="82" spans="5:13" ht="15" customHeight="1">
      <c r="E82" s="440"/>
      <c r="M82" s="439"/>
    </row>
    <row r="83" spans="5:13" ht="15" customHeight="1">
      <c r="E83" s="440"/>
      <c r="M83" s="439"/>
    </row>
    <row r="84" spans="5:13" ht="15" customHeight="1">
      <c r="E84" s="440"/>
      <c r="M84" s="439"/>
    </row>
    <row r="85" spans="5:13" ht="15" customHeight="1">
      <c r="E85" s="440"/>
      <c r="M85" s="439"/>
    </row>
    <row r="86" spans="5:13" ht="15" customHeight="1">
      <c r="E86" s="440"/>
      <c r="M86" s="439"/>
    </row>
    <row r="87" spans="5:13" ht="15" customHeight="1">
      <c r="E87" s="440"/>
      <c r="M87" s="439"/>
    </row>
    <row r="88" spans="5:13" ht="15" customHeight="1">
      <c r="E88" s="440"/>
      <c r="M88" s="439"/>
    </row>
    <row r="89" spans="5:13" ht="15" customHeight="1">
      <c r="E89" s="440"/>
      <c r="M89" s="439"/>
    </row>
    <row r="90" spans="5:13" ht="15" customHeight="1">
      <c r="E90" s="440"/>
      <c r="M90" s="439"/>
    </row>
    <row r="91" spans="5:13" ht="15" customHeight="1">
      <c r="E91" s="440"/>
      <c r="M91" s="439"/>
    </row>
    <row r="92" spans="5:13" ht="15" customHeight="1">
      <c r="E92" s="440"/>
      <c r="M92" s="439"/>
    </row>
    <row r="93" spans="5:13" ht="15" customHeight="1">
      <c r="E93" s="440"/>
      <c r="M93" s="439"/>
    </row>
    <row r="94" spans="5:13" ht="15" customHeight="1">
      <c r="E94" s="440"/>
      <c r="M94" s="439"/>
    </row>
    <row r="95" spans="5:13" ht="15" customHeight="1">
      <c r="E95" s="440"/>
      <c r="M95" s="439"/>
    </row>
    <row r="96" spans="5:13" ht="15" customHeight="1">
      <c r="E96" s="440"/>
    </row>
    <row r="97" spans="5:5" ht="15" customHeight="1">
      <c r="E97" s="440"/>
    </row>
    <row r="98" spans="5:5" ht="15" customHeight="1">
      <c r="E98" s="440"/>
    </row>
    <row r="99" spans="5:5" ht="15" customHeight="1">
      <c r="E99" s="440"/>
    </row>
    <row r="100" spans="5:5" ht="15" customHeight="1">
      <c r="E100" s="440"/>
    </row>
    <row r="101" spans="5:5" ht="15" customHeight="1">
      <c r="E101" s="440"/>
    </row>
    <row r="102" spans="5:5" ht="15" customHeight="1">
      <c r="E102" s="440"/>
    </row>
    <row r="103" spans="5:5" ht="15" customHeight="1">
      <c r="E103" s="440"/>
    </row>
    <row r="104" spans="5:5" ht="15" customHeight="1">
      <c r="E104" s="440"/>
    </row>
    <row r="105" spans="5:5" ht="15" customHeight="1">
      <c r="E105" s="440"/>
    </row>
    <row r="106" spans="5:5" ht="15" customHeight="1">
      <c r="E106" s="440"/>
    </row>
    <row r="107" spans="5:5" ht="15" customHeight="1">
      <c r="E107" s="440"/>
    </row>
    <row r="108" spans="5:5" ht="15" customHeight="1">
      <c r="E108" s="440"/>
    </row>
    <row r="109" spans="5:5" ht="15" customHeight="1">
      <c r="E109" s="440"/>
    </row>
    <row r="110" spans="5:5" ht="15" customHeight="1">
      <c r="E110" s="440"/>
    </row>
    <row r="111" spans="5:5" ht="15" customHeight="1">
      <c r="E111" s="440"/>
    </row>
    <row r="112" spans="5:5" ht="15" customHeight="1">
      <c r="E112" s="440"/>
    </row>
    <row r="113" spans="5:5" ht="15" customHeight="1">
      <c r="E113" s="440"/>
    </row>
    <row r="114" spans="5:5" ht="15" customHeight="1">
      <c r="E114" s="440"/>
    </row>
    <row r="115" spans="5:5" ht="15" customHeight="1">
      <c r="E115" s="440"/>
    </row>
    <row r="116" spans="5:5" ht="15" customHeight="1">
      <c r="E116" s="440"/>
    </row>
    <row r="117" spans="5:5" ht="15" customHeight="1">
      <c r="E117" s="440"/>
    </row>
    <row r="118" spans="5:5" ht="15" customHeight="1">
      <c r="E118" s="440"/>
    </row>
    <row r="119" spans="5:5" ht="15" customHeight="1">
      <c r="E119" s="440"/>
    </row>
    <row r="120" spans="5:5">
      <c r="E120" s="440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2">
        <v>1</v>
      </c>
    </row>
    <row r="2" spans="1:11" ht="48" customHeight="1">
      <c r="A2" s="462">
        <v>3</v>
      </c>
    </row>
    <row r="4" spans="1:11" ht="48" customHeight="1">
      <c r="C4" s="462">
        <v>1</v>
      </c>
    </row>
    <row r="5" spans="1:11" ht="48" customHeight="1">
      <c r="C5" s="462">
        <v>3</v>
      </c>
    </row>
    <row r="7" spans="1:11" ht="48" customHeight="1">
      <c r="E7" s="462">
        <v>1</v>
      </c>
    </row>
    <row r="8" spans="1:11" ht="48" customHeight="1">
      <c r="E8" s="462">
        <v>3</v>
      </c>
    </row>
    <row r="10" spans="1:11" ht="48" customHeight="1">
      <c r="G10" s="462">
        <v>3</v>
      </c>
    </row>
    <row r="11" spans="1:11" ht="48" customHeight="1">
      <c r="G11" s="462">
        <v>1</v>
      </c>
    </row>
    <row r="13" spans="1:11" ht="48" customHeight="1">
      <c r="I13" s="462">
        <v>3</v>
      </c>
    </row>
    <row r="14" spans="1:11" ht="48" customHeight="1">
      <c r="I14" s="462">
        <v>1</v>
      </c>
    </row>
    <row r="16" spans="1:11" ht="48" customHeight="1">
      <c r="K16" s="462">
        <v>3</v>
      </c>
    </row>
    <row r="17" spans="11:21" ht="48" customHeight="1">
      <c r="K17" s="462">
        <v>1</v>
      </c>
    </row>
    <row r="19" spans="11:21" ht="48" customHeight="1">
      <c r="M19" s="462">
        <v>3</v>
      </c>
    </row>
    <row r="20" spans="11:21" ht="48" customHeight="1">
      <c r="M20" s="462">
        <v>1</v>
      </c>
    </row>
    <row r="22" spans="11:21" ht="48" customHeight="1">
      <c r="O22" s="462">
        <v>3</v>
      </c>
    </row>
    <row r="23" spans="11:21" ht="48" customHeight="1">
      <c r="O23" s="462">
        <v>1</v>
      </c>
    </row>
    <row r="25" spans="11:21" ht="57" customHeight="1">
      <c r="Q25" s="462">
        <v>3</v>
      </c>
    </row>
    <row r="26" spans="11:21" ht="57" customHeight="1">
      <c r="Q26" s="462">
        <v>1</v>
      </c>
    </row>
    <row r="28" spans="11:21" ht="57" customHeight="1">
      <c r="S28" s="462">
        <v>3</v>
      </c>
    </row>
    <row r="29" spans="11:21" ht="57" customHeight="1">
      <c r="S29" s="462">
        <v>1</v>
      </c>
    </row>
    <row r="31" spans="11:21" ht="57" customHeight="1">
      <c r="U31" s="462">
        <v>3</v>
      </c>
    </row>
    <row r="32" spans="11:21" ht="57" customHeight="1">
      <c r="U32" s="46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2023-02-27T08:00:50Z</cp:lastPrinted>
  <dcterms:created xsi:type="dcterms:W3CDTF">2011-02-06T11:57:38Z</dcterms:created>
  <dcterms:modified xsi:type="dcterms:W3CDTF">2024-01-31T09:50:33Z</dcterms:modified>
</cp:coreProperties>
</file>