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NOV\5. ALFA KALIKONDANG,SMP GAJAH,KOS DEWI (AMS 29112023)\SMP GAJAH\"/>
    </mc:Choice>
  </mc:AlternateContent>
  <xr:revisionPtr revIDLastSave="0" documentId="13_ncr:1_{9B63D513-1B2A-4FBC-8A1D-5B669D251E19}" xr6:coauthVersionLast="47" xr6:coauthVersionMax="47" xr10:uidLastSave="{00000000-0000-0000-0000-000000000000}"/>
  <bookViews>
    <workbookView xWindow="-120" yWindow="-120" windowWidth="24240" windowHeight="1314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RAB!$A$1:$K$163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18" i="11" l="1"/>
  <c r="F138" i="11"/>
  <c r="F137" i="11"/>
  <c r="F136" i="11"/>
  <c r="F135" i="11"/>
  <c r="F134" i="11"/>
  <c r="F131" i="11"/>
  <c r="F130" i="11"/>
  <c r="F129" i="11"/>
  <c r="F128" i="11"/>
  <c r="F127" i="11"/>
  <c r="F126" i="11"/>
  <c r="F125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D123" i="11"/>
  <c r="H123" i="11" s="1"/>
  <c r="E123" i="11"/>
  <c r="D124" i="11"/>
  <c r="J124" i="11" s="1"/>
  <c r="E124" i="11"/>
  <c r="D125" i="11"/>
  <c r="E125" i="11"/>
  <c r="D126" i="11"/>
  <c r="H126" i="11" s="1"/>
  <c r="E126" i="11"/>
  <c r="D127" i="11"/>
  <c r="H127" i="11" s="1"/>
  <c r="E127" i="11"/>
  <c r="D128" i="11"/>
  <c r="J128" i="11" s="1"/>
  <c r="E128" i="11"/>
  <c r="D129" i="11"/>
  <c r="E129" i="11"/>
  <c r="D130" i="11"/>
  <c r="H130" i="11" s="1"/>
  <c r="E130" i="11"/>
  <c r="D131" i="11"/>
  <c r="H131" i="11" s="1"/>
  <c r="E131" i="11"/>
  <c r="D132" i="11"/>
  <c r="J132" i="11" s="1"/>
  <c r="E132" i="11"/>
  <c r="D133" i="11"/>
  <c r="I133" i="11" s="1"/>
  <c r="E133" i="11"/>
  <c r="D134" i="11"/>
  <c r="H134" i="11" s="1"/>
  <c r="E134" i="11"/>
  <c r="D135" i="11"/>
  <c r="H135" i="11" s="1"/>
  <c r="E135" i="11"/>
  <c r="D136" i="11"/>
  <c r="J136" i="11" s="1"/>
  <c r="E136" i="11"/>
  <c r="D137" i="11"/>
  <c r="E137" i="11"/>
  <c r="D138" i="11"/>
  <c r="H138" i="11" s="1"/>
  <c r="E138" i="11"/>
  <c r="D139" i="11"/>
  <c r="H139" i="11" s="1"/>
  <c r="E139" i="11"/>
  <c r="D140" i="11"/>
  <c r="J140" i="11" s="1"/>
  <c r="E140" i="11"/>
  <c r="D141" i="11"/>
  <c r="I141" i="11" s="1"/>
  <c r="E141" i="11"/>
  <c r="D142" i="11"/>
  <c r="H142" i="11" s="1"/>
  <c r="E142" i="11"/>
  <c r="F78" i="11"/>
  <c r="F77" i="11"/>
  <c r="F76" i="11"/>
  <c r="F75" i="11"/>
  <c r="F72" i="11"/>
  <c r="F71" i="11"/>
  <c r="F70" i="11"/>
  <c r="F69" i="11"/>
  <c r="F66" i="11"/>
  <c r="F65" i="11"/>
  <c r="F64" i="11"/>
  <c r="F63" i="11"/>
  <c r="F62" i="11"/>
  <c r="F61" i="11"/>
  <c r="D59" i="11"/>
  <c r="H59" i="11" s="1"/>
  <c r="E59" i="11"/>
  <c r="G59" i="11"/>
  <c r="D60" i="11"/>
  <c r="J60" i="11" s="1"/>
  <c r="E60" i="11"/>
  <c r="G60" i="11"/>
  <c r="D61" i="11"/>
  <c r="H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J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D69" i="11"/>
  <c r="H69" i="11" s="1"/>
  <c r="E69" i="11"/>
  <c r="G69" i="11"/>
  <c r="D70" i="11"/>
  <c r="H70" i="11" s="1"/>
  <c r="E70" i="11"/>
  <c r="G70" i="11"/>
  <c r="D71" i="11"/>
  <c r="J71" i="11" s="1"/>
  <c r="E71" i="11"/>
  <c r="G71" i="11"/>
  <c r="D72" i="11"/>
  <c r="E72" i="11"/>
  <c r="G72" i="11"/>
  <c r="D73" i="11"/>
  <c r="H73" i="11" s="1"/>
  <c r="E73" i="11"/>
  <c r="G73" i="11"/>
  <c r="D74" i="11"/>
  <c r="H74" i="11" s="1"/>
  <c r="E74" i="11"/>
  <c r="G74" i="11"/>
  <c r="D75" i="11"/>
  <c r="J75" i="11" s="1"/>
  <c r="E75" i="11"/>
  <c r="G75" i="11"/>
  <c r="D76" i="11"/>
  <c r="J76" i="11" s="1"/>
  <c r="E76" i="11"/>
  <c r="G76" i="11"/>
  <c r="D77" i="11"/>
  <c r="H77" i="11" s="1"/>
  <c r="E77" i="11"/>
  <c r="G77" i="11"/>
  <c r="D78" i="11"/>
  <c r="H78" i="11" s="1"/>
  <c r="E78" i="11"/>
  <c r="G78" i="11"/>
  <c r="D79" i="11"/>
  <c r="H79" i="11" s="1"/>
  <c r="E79" i="11"/>
  <c r="G79" i="11"/>
  <c r="D80" i="11"/>
  <c r="J80" i="11" s="1"/>
  <c r="E80" i="11"/>
  <c r="G80" i="11"/>
  <c r="D81" i="11"/>
  <c r="J81" i="11" s="1"/>
  <c r="E81" i="11"/>
  <c r="G81" i="11"/>
  <c r="F57" i="11"/>
  <c r="I137" i="11" l="1"/>
  <c r="I129" i="11"/>
  <c r="I125" i="11"/>
  <c r="J135" i="11"/>
  <c r="H133" i="11"/>
  <c r="I131" i="11"/>
  <c r="J139" i="11"/>
  <c r="H137" i="11"/>
  <c r="I135" i="11"/>
  <c r="J123" i="11"/>
  <c r="H141" i="11"/>
  <c r="I139" i="11"/>
  <c r="J127" i="11"/>
  <c r="H125" i="11"/>
  <c r="I123" i="11"/>
  <c r="J131" i="11"/>
  <c r="H129" i="11"/>
  <c r="I127" i="11"/>
  <c r="I140" i="11"/>
  <c r="I136" i="11"/>
  <c r="I132" i="11"/>
  <c r="I128" i="11"/>
  <c r="I124" i="11"/>
  <c r="J142" i="11"/>
  <c r="H140" i="11"/>
  <c r="J138" i="11"/>
  <c r="H136" i="11"/>
  <c r="J134" i="11"/>
  <c r="H132" i="11"/>
  <c r="K132" i="11" s="1"/>
  <c r="J130" i="11"/>
  <c r="H128" i="11"/>
  <c r="J126" i="11"/>
  <c r="H124" i="11"/>
  <c r="I142" i="11"/>
  <c r="J141" i="11"/>
  <c r="I138" i="11"/>
  <c r="J137" i="11"/>
  <c r="I134" i="11"/>
  <c r="J133" i="11"/>
  <c r="I130" i="11"/>
  <c r="J129" i="11"/>
  <c r="I126" i="11"/>
  <c r="J125" i="11"/>
  <c r="I71" i="11"/>
  <c r="I65" i="11"/>
  <c r="I67" i="11"/>
  <c r="J59" i="11"/>
  <c r="I77" i="11"/>
  <c r="I59" i="11"/>
  <c r="J72" i="11"/>
  <c r="I69" i="11"/>
  <c r="H67" i="11"/>
  <c r="I66" i="11"/>
  <c r="I61" i="11"/>
  <c r="I80" i="11"/>
  <c r="I73" i="11"/>
  <c r="I75" i="11"/>
  <c r="H63" i="11"/>
  <c r="I62" i="11"/>
  <c r="I63" i="11"/>
  <c r="I78" i="11"/>
  <c r="J77" i="11"/>
  <c r="H75" i="11"/>
  <c r="I74" i="11"/>
  <c r="J73" i="11"/>
  <c r="H71" i="11"/>
  <c r="I70" i="11"/>
  <c r="J69" i="11"/>
  <c r="J65" i="11"/>
  <c r="K65" i="11" s="1"/>
  <c r="J61" i="11"/>
  <c r="H80" i="11"/>
  <c r="I81" i="11"/>
  <c r="I76" i="11"/>
  <c r="I72" i="11"/>
  <c r="I68" i="11"/>
  <c r="I64" i="11"/>
  <c r="I60" i="11"/>
  <c r="H81" i="11"/>
  <c r="J79" i="11"/>
  <c r="J78" i="11"/>
  <c r="H76" i="11"/>
  <c r="K76" i="11" s="1"/>
  <c r="J74" i="11"/>
  <c r="H72" i="11"/>
  <c r="J70" i="11"/>
  <c r="H68" i="11"/>
  <c r="J66" i="11"/>
  <c r="H64" i="11"/>
  <c r="J62" i="11"/>
  <c r="H60" i="11"/>
  <c r="I79" i="11"/>
  <c r="K60" i="11" l="1"/>
  <c r="K127" i="11"/>
  <c r="K129" i="11"/>
  <c r="K135" i="11"/>
  <c r="K133" i="11"/>
  <c r="K71" i="11"/>
  <c r="K126" i="11"/>
  <c r="K134" i="11"/>
  <c r="K142" i="11"/>
  <c r="K137" i="11"/>
  <c r="K124" i="11"/>
  <c r="K140" i="11"/>
  <c r="K139" i="11"/>
  <c r="K136" i="11"/>
  <c r="K131" i="11"/>
  <c r="K130" i="11"/>
  <c r="K125" i="11"/>
  <c r="K123" i="11"/>
  <c r="K141" i="11"/>
  <c r="K138" i="11"/>
  <c r="K128" i="11"/>
  <c r="K59" i="11"/>
  <c r="K64" i="11"/>
  <c r="K67" i="11"/>
  <c r="K75" i="11"/>
  <c r="K66" i="11"/>
  <c r="K74" i="11"/>
  <c r="K81" i="11"/>
  <c r="K79" i="11"/>
  <c r="K63" i="11"/>
  <c r="K77" i="11"/>
  <c r="K61" i="11"/>
  <c r="K69" i="11"/>
  <c r="K62" i="11"/>
  <c r="K80" i="11"/>
  <c r="K68" i="11"/>
  <c r="K73" i="11"/>
  <c r="K70" i="11"/>
  <c r="K78" i="11"/>
  <c r="K72" i="11"/>
  <c r="F53" i="11" l="1"/>
  <c r="F52" i="11"/>
  <c r="F51" i="11"/>
  <c r="F50" i="11"/>
  <c r="F49" i="11"/>
  <c r="F46" i="11"/>
  <c r="F45" i="11"/>
  <c r="F44" i="11"/>
  <c r="F43" i="11"/>
  <c r="F42" i="11"/>
  <c r="D39" i="11"/>
  <c r="J39" i="11" s="1"/>
  <c r="E39" i="11"/>
  <c r="G3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5" i="11"/>
  <c r="H55" i="11" s="1"/>
  <c r="E55" i="11"/>
  <c r="G55" i="11"/>
  <c r="D56" i="11"/>
  <c r="E56" i="11"/>
  <c r="G56" i="11"/>
  <c r="J57" i="11"/>
  <c r="D58" i="11"/>
  <c r="H58" i="11" s="1"/>
  <c r="E58" i="11"/>
  <c r="G58" i="11"/>
  <c r="D116" i="11"/>
  <c r="D117" i="11"/>
  <c r="D118" i="11"/>
  <c r="D119" i="11"/>
  <c r="D120" i="11"/>
  <c r="D121" i="11"/>
  <c r="D18" i="11"/>
  <c r="H18" i="11" s="1"/>
  <c r="E18" i="11"/>
  <c r="G18" i="11"/>
  <c r="D19" i="11"/>
  <c r="J19" i="11" s="1"/>
  <c r="E19" i="11"/>
  <c r="G19" i="11"/>
  <c r="D21" i="11"/>
  <c r="H21" i="11" s="1"/>
  <c r="E21" i="11"/>
  <c r="G21" i="11"/>
  <c r="E7" i="64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E37" i="11"/>
  <c r="G37" i="11"/>
  <c r="D38" i="11"/>
  <c r="H38" i="11" s="1"/>
  <c r="E38" i="11"/>
  <c r="G38" i="11"/>
  <c r="D24" i="1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J28" i="11" s="1"/>
  <c r="E28" i="11"/>
  <c r="G28" i="11"/>
  <c r="D23" i="11"/>
  <c r="J23" i="11" s="1"/>
  <c r="E23" i="11"/>
  <c r="G23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G102" i="11"/>
  <c r="G103" i="11"/>
  <c r="D102" i="11"/>
  <c r="H102" i="11" s="1"/>
  <c r="E102" i="11"/>
  <c r="D103" i="11"/>
  <c r="J103" i="11" s="1"/>
  <c r="E103" i="11"/>
  <c r="F121" i="11"/>
  <c r="F119" i="11"/>
  <c r="F118" i="11"/>
  <c r="F117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3" i="11"/>
  <c r="H56" i="11" l="1"/>
  <c r="I44" i="11"/>
  <c r="J58" i="11"/>
  <c r="I39" i="11"/>
  <c r="I45" i="11"/>
  <c r="I42" i="11"/>
  <c r="I58" i="11"/>
  <c r="I51" i="11"/>
  <c r="J53" i="11"/>
  <c r="J46" i="11"/>
  <c r="I48" i="11"/>
  <c r="I46" i="11"/>
  <c r="I53" i="11"/>
  <c r="K53" i="11" s="1"/>
  <c r="H51" i="11"/>
  <c r="J50" i="11"/>
  <c r="H48" i="11"/>
  <c r="J47" i="11"/>
  <c r="H39" i="11"/>
  <c r="I57" i="11"/>
  <c r="J56" i="11"/>
  <c r="J55" i="11"/>
  <c r="H44" i="11"/>
  <c r="I43" i="11"/>
  <c r="J42" i="11"/>
  <c r="I47" i="11"/>
  <c r="I56" i="11"/>
  <c r="H43" i="11"/>
  <c r="I55" i="11"/>
  <c r="I50" i="11"/>
  <c r="I49" i="11"/>
  <c r="I40" i="11"/>
  <c r="I41" i="11"/>
  <c r="H49" i="11"/>
  <c r="H45" i="11"/>
  <c r="H41" i="11"/>
  <c r="H40" i="11"/>
  <c r="I52" i="11"/>
  <c r="H57" i="11"/>
  <c r="H52" i="11"/>
  <c r="J18" i="11"/>
  <c r="I18" i="11"/>
  <c r="J21" i="11"/>
  <c r="I21" i="11"/>
  <c r="I19" i="11"/>
  <c r="H19" i="11"/>
  <c r="H24" i="11"/>
  <c r="J24" i="11"/>
  <c r="J38" i="11"/>
  <c r="I38" i="11"/>
  <c r="I26" i="11"/>
  <c r="J32" i="11"/>
  <c r="I32" i="11"/>
  <c r="I24" i="11"/>
  <c r="I29" i="11"/>
  <c r="J37" i="11"/>
  <c r="I37" i="11"/>
  <c r="I36" i="11"/>
  <c r="J35" i="11"/>
  <c r="I34" i="11"/>
  <c r="I33" i="11"/>
  <c r="J31" i="11"/>
  <c r="H29" i="11"/>
  <c r="H36" i="11"/>
  <c r="H37" i="11"/>
  <c r="I35" i="11"/>
  <c r="I28" i="11"/>
  <c r="H33" i="11"/>
  <c r="I31" i="11"/>
  <c r="I30" i="11"/>
  <c r="H26" i="11"/>
  <c r="H34" i="11"/>
  <c r="H30" i="11"/>
  <c r="H28" i="11"/>
  <c r="I27" i="11"/>
  <c r="J27" i="11"/>
  <c r="H25" i="11"/>
  <c r="I25" i="11"/>
  <c r="I23" i="11"/>
  <c r="H23" i="11"/>
  <c r="I15" i="11"/>
  <c r="J17" i="11"/>
  <c r="H15" i="11"/>
  <c r="I17" i="11"/>
  <c r="I16" i="11"/>
  <c r="H16" i="11"/>
  <c r="J102" i="11"/>
  <c r="I103" i="11"/>
  <c r="H103" i="11"/>
  <c r="I102" i="11"/>
  <c r="D22" i="11"/>
  <c r="J22" i="11" s="1"/>
  <c r="E22" i="11"/>
  <c r="G22" i="11"/>
  <c r="K44" i="11" l="1"/>
  <c r="K52" i="11"/>
  <c r="K47" i="11"/>
  <c r="K39" i="11"/>
  <c r="K58" i="11"/>
  <c r="K57" i="11"/>
  <c r="K46" i="11"/>
  <c r="K45" i="11"/>
  <c r="K55" i="11"/>
  <c r="K51" i="11"/>
  <c r="K42" i="11"/>
  <c r="K48" i="11"/>
  <c r="K56" i="11"/>
  <c r="K40" i="11"/>
  <c r="K50" i="11"/>
  <c r="K43" i="11"/>
  <c r="K49" i="11"/>
  <c r="K18" i="11"/>
  <c r="K41" i="11"/>
  <c r="K21" i="11"/>
  <c r="K24" i="11"/>
  <c r="K19" i="11"/>
  <c r="K38" i="11"/>
  <c r="K32" i="11"/>
  <c r="K26" i="11"/>
  <c r="K28" i="11"/>
  <c r="K31" i="11"/>
  <c r="K35" i="11"/>
  <c r="K37" i="11"/>
  <c r="K29" i="11"/>
  <c r="K36" i="11"/>
  <c r="K34" i="11"/>
  <c r="K30" i="11"/>
  <c r="K27" i="11"/>
  <c r="K33" i="11"/>
  <c r="K25" i="11"/>
  <c r="K23" i="11"/>
  <c r="K15" i="11"/>
  <c r="K17" i="11"/>
  <c r="K102" i="11"/>
  <c r="K103" i="11"/>
  <c r="K16" i="11"/>
  <c r="I22" i="11"/>
  <c r="H22" i="11"/>
  <c r="K22" i="11" l="1"/>
  <c r="F113" i="11" l="1"/>
  <c r="F112" i="11"/>
  <c r="F111" i="11"/>
  <c r="F110" i="11"/>
  <c r="F109" i="11"/>
  <c r="F108" i="11"/>
  <c r="F107" i="11"/>
  <c r="F106" i="11"/>
  <c r="F105" i="11"/>
  <c r="D104" i="11"/>
  <c r="H104" i="11" s="1"/>
  <c r="E104" i="11"/>
  <c r="G104" i="11"/>
  <c r="D105" i="11"/>
  <c r="J105" i="11" s="1"/>
  <c r="E105" i="11"/>
  <c r="G105" i="11"/>
  <c r="D106" i="11"/>
  <c r="J106" i="11" s="1"/>
  <c r="E106" i="11"/>
  <c r="G106" i="11"/>
  <c r="D107" i="11"/>
  <c r="H107" i="11" s="1"/>
  <c r="E107" i="11"/>
  <c r="G107" i="11"/>
  <c r="D108" i="11"/>
  <c r="J108" i="11" s="1"/>
  <c r="E108" i="11"/>
  <c r="G108" i="11"/>
  <c r="D109" i="11"/>
  <c r="J109" i="11" s="1"/>
  <c r="E109" i="11"/>
  <c r="G109" i="11"/>
  <c r="D110" i="11"/>
  <c r="J110" i="11" s="1"/>
  <c r="E110" i="11"/>
  <c r="G110" i="11"/>
  <c r="D111" i="11"/>
  <c r="H111" i="11" s="1"/>
  <c r="E111" i="11"/>
  <c r="G111" i="11"/>
  <c r="D112" i="11"/>
  <c r="H112" i="11" s="1"/>
  <c r="E112" i="11"/>
  <c r="G112" i="11"/>
  <c r="D113" i="11"/>
  <c r="E113" i="11"/>
  <c r="G113" i="11"/>
  <c r="D114" i="11"/>
  <c r="J114" i="11" s="1"/>
  <c r="E114" i="11"/>
  <c r="G114" i="11"/>
  <c r="D82" i="11"/>
  <c r="J82" i="11" s="1"/>
  <c r="E82" i="11"/>
  <c r="G82" i="11"/>
  <c r="D83" i="11"/>
  <c r="I83" i="11" s="1"/>
  <c r="E83" i="11"/>
  <c r="G83" i="11"/>
  <c r="D84" i="11"/>
  <c r="J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I87" i="11" s="1"/>
  <c r="E87" i="11"/>
  <c r="G87" i="11"/>
  <c r="D88" i="11"/>
  <c r="J88" i="11" s="1"/>
  <c r="E88" i="11"/>
  <c r="G88" i="11"/>
  <c r="D89" i="11"/>
  <c r="J89" i="11" s="1"/>
  <c r="E89" i="11"/>
  <c r="G89" i="11"/>
  <c r="D90" i="11"/>
  <c r="J90" i="11" s="1"/>
  <c r="E90" i="11"/>
  <c r="G90" i="11"/>
  <c r="D91" i="11"/>
  <c r="J91" i="11" s="1"/>
  <c r="E91" i="11"/>
  <c r="G91" i="11"/>
  <c r="D92" i="11"/>
  <c r="H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H95" i="11" s="1"/>
  <c r="E95" i="11"/>
  <c r="G95" i="11"/>
  <c r="D96" i="11"/>
  <c r="H96" i="11" s="1"/>
  <c r="E96" i="11"/>
  <c r="G96" i="11"/>
  <c r="D97" i="11"/>
  <c r="J97" i="11" s="1"/>
  <c r="E97" i="11"/>
  <c r="G97" i="11"/>
  <c r="D98" i="11"/>
  <c r="J98" i="11" s="1"/>
  <c r="E98" i="11"/>
  <c r="G98" i="11"/>
  <c r="D99" i="11"/>
  <c r="H99" i="11" s="1"/>
  <c r="E99" i="11"/>
  <c r="G99" i="11"/>
  <c r="D100" i="11"/>
  <c r="H100" i="11" s="1"/>
  <c r="E100" i="11"/>
  <c r="G100" i="11"/>
  <c r="D101" i="11"/>
  <c r="E101" i="11"/>
  <c r="G101" i="11"/>
  <c r="G6" i="11"/>
  <c r="D115" i="11"/>
  <c r="J115" i="11" s="1"/>
  <c r="E115" i="11"/>
  <c r="G115" i="11"/>
  <c r="H116" i="11"/>
  <c r="E116" i="11"/>
  <c r="G116" i="11"/>
  <c r="E117" i="11"/>
  <c r="G117" i="11"/>
  <c r="J118" i="11"/>
  <c r="E118" i="11"/>
  <c r="G118" i="11"/>
  <c r="J119" i="11"/>
  <c r="E119" i="11"/>
  <c r="G119" i="11"/>
  <c r="E120" i="11"/>
  <c r="G120" i="11"/>
  <c r="H121" i="11"/>
  <c r="E121" i="11"/>
  <c r="G121" i="11"/>
  <c r="D122" i="11"/>
  <c r="E122" i="11"/>
  <c r="G122" i="11"/>
  <c r="D20" i="60"/>
  <c r="J122" i="11" l="1"/>
  <c r="J101" i="11"/>
  <c r="J113" i="11"/>
  <c r="J112" i="11"/>
  <c r="J104" i="11"/>
  <c r="I108" i="11"/>
  <c r="I104" i="11"/>
  <c r="I110" i="11"/>
  <c r="H110" i="11"/>
  <c r="H106" i="11"/>
  <c r="I106" i="11"/>
  <c r="I114" i="11"/>
  <c r="I112" i="11"/>
  <c r="I111" i="11"/>
  <c r="J83" i="11"/>
  <c r="H114" i="11"/>
  <c r="H108" i="11"/>
  <c r="I107" i="11"/>
  <c r="I113" i="11"/>
  <c r="I96" i="11"/>
  <c r="J95" i="11"/>
  <c r="H113" i="11"/>
  <c r="J111" i="11"/>
  <c r="H109" i="11"/>
  <c r="J107" i="11"/>
  <c r="H105" i="11"/>
  <c r="J96" i="11"/>
  <c r="I109" i="11"/>
  <c r="I105" i="11"/>
  <c r="I95" i="11"/>
  <c r="I91" i="11"/>
  <c r="J87" i="11"/>
  <c r="I99" i="11"/>
  <c r="H87" i="11"/>
  <c r="J100" i="11"/>
  <c r="J99" i="11"/>
  <c r="H91" i="11"/>
  <c r="J92" i="11"/>
  <c r="H88" i="11"/>
  <c r="I85" i="11"/>
  <c r="I84" i="11"/>
  <c r="I100" i="11"/>
  <c r="I92" i="11"/>
  <c r="I88" i="11"/>
  <c r="H83" i="11"/>
  <c r="H101" i="11"/>
  <c r="H97" i="11"/>
  <c r="H93" i="11"/>
  <c r="H89" i="11"/>
  <c r="H84" i="11"/>
  <c r="I89" i="11"/>
  <c r="H85" i="11"/>
  <c r="K85" i="11" s="1"/>
  <c r="I101" i="11"/>
  <c r="I97" i="11"/>
  <c r="I93" i="11"/>
  <c r="I90" i="11"/>
  <c r="I82" i="11"/>
  <c r="H98" i="11"/>
  <c r="H94" i="11"/>
  <c r="H90" i="11"/>
  <c r="H86" i="11"/>
  <c r="H82" i="11"/>
  <c r="I98" i="11"/>
  <c r="I94" i="11"/>
  <c r="I86" i="11"/>
  <c r="H117" i="11"/>
  <c r="H120" i="11"/>
  <c r="I122" i="11"/>
  <c r="H122" i="11"/>
  <c r="J121" i="11"/>
  <c r="J120" i="11"/>
  <c r="I118" i="11"/>
  <c r="H118" i="11"/>
  <c r="J117" i="11"/>
  <c r="J116" i="11"/>
  <c r="I116" i="11"/>
  <c r="I120" i="11"/>
  <c r="H119" i="11"/>
  <c r="H115" i="11"/>
  <c r="I119" i="11"/>
  <c r="I115" i="11"/>
  <c r="I121" i="11"/>
  <c r="I117" i="11"/>
  <c r="D14" i="11"/>
  <c r="J14" i="11" s="1"/>
  <c r="E14" i="11"/>
  <c r="G14" i="11"/>
  <c r="K19" i="60"/>
  <c r="D19" i="60"/>
  <c r="K110" i="11" l="1"/>
  <c r="K90" i="11"/>
  <c r="K104" i="11"/>
  <c r="K100" i="11"/>
  <c r="K108" i="11"/>
  <c r="K87" i="11"/>
  <c r="K112" i="11"/>
  <c r="K92" i="11"/>
  <c r="K111" i="11"/>
  <c r="K91" i="11"/>
  <c r="K95" i="11"/>
  <c r="K106" i="11"/>
  <c r="K88" i="11"/>
  <c r="K84" i="11"/>
  <c r="K83" i="11"/>
  <c r="K99" i="11"/>
  <c r="K96" i="11"/>
  <c r="K114" i="11"/>
  <c r="K107" i="11"/>
  <c r="K105" i="11"/>
  <c r="K113" i="11"/>
  <c r="K109" i="11"/>
  <c r="K97" i="11"/>
  <c r="K89" i="11"/>
  <c r="K93" i="11"/>
  <c r="K101" i="11"/>
  <c r="K94" i="11"/>
  <c r="K82" i="11"/>
  <c r="K98" i="11"/>
  <c r="K86" i="11"/>
  <c r="K122" i="11"/>
  <c r="K116" i="11"/>
  <c r="K118" i="11"/>
  <c r="K120" i="11"/>
  <c r="K121" i="11"/>
  <c r="K117" i="11"/>
  <c r="K115" i="11"/>
  <c r="K119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4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43" i="11"/>
  <c r="D144" i="11"/>
  <c r="H144" i="11" s="1"/>
  <c r="E14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4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4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44" i="11"/>
  <c r="I14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4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46" i="11"/>
  <c r="H147" i="11" s="1"/>
  <c r="I146" i="11"/>
  <c r="I14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48" i="11"/>
  <c r="I148" i="11"/>
  <c r="F364" i="29"/>
  <c r="F69" i="39"/>
  <c r="F72" i="39"/>
  <c r="F367" i="29"/>
  <c r="J143" i="11"/>
  <c r="K14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46" i="11" l="1"/>
  <c r="K147" i="11" s="1"/>
  <c r="K148" i="11" s="1"/>
  <c r="B14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46" i="11"/>
  <c r="J14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4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<sst xmlns="http://schemas.openxmlformats.org/spreadsheetml/2006/main" count="4811" uniqueCount="1644">
  <si>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</si>
  <si>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</si>
  <si>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</si>
  <si>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</si>
  <si>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</si>
  <si>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</si>
  <si>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</si>
  <si>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</si>
  <si>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</si>
  <si>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</si>
  <si>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</si>
  <si>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</si>
  <si>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</si>
  <si>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</si>
  <si>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</si>
  <si>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</si>
  <si>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</si>
  <si>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</si>
  <si>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</si>
  <si>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</si>
  <si>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</si>
  <si>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</si>
  <si>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</si>
  <si>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</si>
  <si>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</si>
  <si>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</si>
  <si>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</si>
  <si>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</si>
  <si>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</si>
  <si>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</si>
  <si>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</si>
  <si>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</si>
  <si>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</si>
  <si>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</si>
  <si>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</si>
  <si>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</si>
  <si>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</si>
  <si>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</si>
  <si>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</si>
  <si>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</si>
  <si>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</si>
  <si>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</si>
  <si>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</si>
  <si>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</si>
  <si>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</si>
  <si>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</si>
  <si>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</si>
  <si>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</si>
  <si>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</si>
  <si>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</si>
  <si>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</si>
  <si>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</si>
  <si>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</si>
  <si>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</si>
  <si>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</si>
  <si>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</si>
  <si>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</si>
  <si>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</si>
  <si>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</si>
  <si>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</si>
  <si>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</si>
  <si>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</si>
  <si>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</si>
  <si>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</si>
  <si>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</si>
  <si>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</si>
  <si>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</si>
  <si>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</si>
  <si>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</si>
  <si>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</si>
  <si>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</si>
  <si>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</si>
  <si>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</si>
  <si>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</si>
  <si>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</si>
  <si>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</si>
  <si>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</si>
  <si>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</si>
  <si>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</si>
  <si>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</si>
  <si>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</si>
  <si>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</si>
  <si>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</si>
  <si>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</si>
  <si>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</si>
  <si>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</si>
  <si>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</si>
  <si>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</si>
  <si>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</si>
  <si>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</si>
  <si>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</si>
  <si>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</si>
  <si>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</si>
  <si>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</si>
  <si>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</si>
  <si>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</si>
  <si>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</si>
  <si>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</si>
  <si>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</si>
  <si>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</si>
  <si>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</si>
  <si>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</si>
  <si>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</si>
  <si>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</si>
  <si>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</si>
  <si>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</si>
  <si>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</si>
  <si>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</si>
  <si>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</si>
  <si>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</si>
  <si>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</si>
  <si>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</si>
  <si>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</si>
  <si>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</si>
  <si>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</si>
  <si>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</si>
  <si>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</si>
  <si>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</si>
  <si>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</si>
  <si>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</si>
  <si>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</si>
  <si>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</si>
  <si>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</si>
  <si>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</si>
  <si>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</si>
  <si>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</si>
  <si>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</si>
  <si>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</si>
  <si>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</si>
  <si>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</si>
  <si>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</si>
  <si>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</si>
  <si>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</si>
  <si>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</si>
  <si>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</si>
  <si>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</si>
  <si>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</si>
  <si>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</si>
  <si>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</si>
  <si>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</si>
  <si>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</si>
  <si>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</si>
  <si>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</si>
  <si>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</si>
  <si>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</si>
  <si>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</si>
  <si>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</si>
  <si>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</si>
  <si>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</si>
  <si>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</si>
  <si>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</si>
  <si>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</si>
  <si>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</si>
  <si>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</si>
  <si>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</si>
  <si>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</si>
  <si>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</si>
  <si>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</si>
  <si>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</si>
  <si>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</si>
  <si>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</si>
  <si>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</si>
  <si>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</si>
  <si>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</si>
  <si>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</si>
  <si>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</si>
  <si>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</si>
  <si>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</si>
  <si>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</si>
  <si>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</si>
  <si>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</si>
  <si>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</si>
  <si>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</si>
  <si>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</si>
  <si>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</si>
  <si>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</si>
  <si>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</si>
  <si>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</si>
  <si>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</si>
  <si>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</si>
  <si>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</si>
  <si>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</si>
  <si>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</si>
  <si>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</si>
  <si>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</si>
  <si>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</si>
  <si>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</si>
  <si>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</si>
  <si>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</si>
  <si>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</si>
  <si>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</si>
  <si>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</si>
  <si>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</si>
  <si>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</si>
  <si>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</si>
  <si>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</si>
  <si>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</si>
  <si>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</si>
  <si>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</si>
  <si>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</si>
  <si>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</si>
  <si>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</si>
  <si>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</si>
  <si>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</si>
  <si>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</si>
  <si>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</si>
  <si>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</si>
  <si>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</si>
  <si>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</si>
  <si>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</si>
  <si>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</si>
  <si>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</si>
  <si>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</si>
  <si>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</si>
  <si>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</si>
  <si>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</si>
  <si>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</si>
  <si>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</si>
  <si>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</si>
  <si>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</si>
  <si>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</si>
  <si>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</si>
  <si>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</si>
  <si>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</si>
  <si>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</si>
  <si>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</si>
  <si>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</si>
  <si>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</si>
  <si>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</si>
  <si>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</si>
  <si>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</si>
  <si>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</si>
  <si>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</si>
  <si>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</si>
  <si>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</si>
  <si>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</si>
  <si>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</si>
  <si>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</si>
  <si>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</si>
  <si>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</si>
  <si>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</si>
  <si>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</si>
  <si>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</si>
  <si>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</si>
  <si>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</si>
  <si>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</si>
  <si>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</si>
  <si>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</si>
  <si>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</si>
  <si>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</si>
  <si>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</si>
  <si>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</si>
  <si>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</si>
  <si>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</si>
  <si>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</si>
  <si>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</si>
  <si>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</si>
  <si>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</si>
  <si>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</si>
  <si>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</si>
  <si>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</si>
  <si>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</si>
  <si>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</si>
  <si>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</si>
  <si>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</si>
  <si>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</si>
  <si>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</si>
  <si>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</si>
  <si>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</si>
  <si>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</si>
  <si>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</si>
  <si>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</si>
  <si>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</si>
  <si>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</si>
  <si>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</si>
  <si>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</si>
  <si>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</si>
  <si>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</si>
  <si>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</si>
  <si>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</si>
  <si>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</si>
  <si>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</si>
  <si>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</si>
  <si>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</si>
  <si>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</si>
  <si>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</si>
  <si>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</si>
  <si>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</si>
  <si>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</si>
  <si>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</si>
  <si>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</si>
  <si>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</si>
  <si>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</si>
  <si>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</si>
  <si>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</si>
  <si>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</si>
  <si>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</si>
  <si>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</si>
  <si>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</si>
  <si>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</si>
  <si>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</si>
  <si>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</si>
  <si>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</si>
  <si>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</si>
  <si>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</si>
  <si>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</si>
  <si>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</si>
  <si>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</si>
  <si>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</si>
  <si>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</si>
  <si>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</si>
  <si>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</si>
  <si>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</si>
  <si>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</si>
  <si>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</si>
  <si>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</si>
  <si>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</si>
  <si>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</si>
  <si>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</si>
  <si>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</si>
  <si>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</si>
  <si>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</si>
  <si>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</si>
  <si>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</si>
  <si>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</si>
  <si>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</si>
  <si>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</si>
  <si>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</si>
  <si>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</si>
  <si>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</si>
  <si>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</si>
  <si>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</si>
  <si>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</si>
  <si>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</si>
  <si>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</si>
  <si>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</si>
  <si>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</si>
  <si>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</si>
  <si>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</si>
  <si>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</si>
  <si>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</si>
  <si>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</si>
  <si>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</si>
  <si>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</si>
  <si>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</si>
  <si>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</si>
  <si>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</si>
  <si>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</si>
  <si>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</si>
  <si>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</si>
  <si>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</si>
  <si>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</si>
  <si>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</si>
  <si>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</si>
  <si>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</si>
  <si>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</si>
  <si>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</si>
  <si>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</si>
  <si>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</si>
  <si>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</si>
  <si>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</si>
  <si>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</si>
  <si>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</si>
  <si>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</si>
  <si>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</si>
  <si>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</si>
  <si>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</si>
  <si>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</si>
  <si>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</si>
  <si>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</si>
  <si>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</si>
  <si>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</si>
  <si>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</si>
  <si>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</si>
  <si>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</si>
  <si>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</si>
  <si>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</si>
  <si>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</si>
  <si>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</si>
  <si>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</si>
  <si>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</si>
  <si>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</si>
  <si>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</si>
  <si>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</si>
  <si>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</si>
  <si>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</si>
  <si>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</si>
  <si>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</si>
  <si>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</si>
  <si>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</si>
  <si>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</si>
  <si>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</si>
  <si>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</si>
  <si>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</si>
  <si>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</si>
  <si>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</si>
  <si>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</si>
  <si>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</si>
  <si>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</si>
  <si>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</si>
  <si>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</si>
  <si>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</si>
  <si>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</si>
  <si>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</si>
  <si>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</si>
  <si>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</si>
  <si>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</si>
  <si>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</si>
  <si>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</si>
  <si>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</si>
  <si>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</si>
  <si>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</si>
  <si>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</si>
  <si>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</si>
  <si>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</si>
  <si>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</si>
  <si>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</si>
  <si>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</si>
  <si>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</si>
  <si>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</si>
  <si>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</si>
  <si>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</si>
  <si>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</si>
  <si>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</si>
  <si>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</si>
  <si>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</si>
  <si>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</si>
  <si>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</si>
  <si>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</si>
  <si>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</si>
  <si>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</si>
  <si>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</si>
  <si>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</si>
  <si>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</si>
  <si>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</si>
  <si>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</si>
  <si>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</si>
  <si>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</si>
  <si>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</si>
  <si>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</si>
  <si>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</si>
  <si>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</si>
  <si>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</si>
  <si>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</si>
  <si>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</si>
  <si>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</si>
  <si>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</si>
  <si>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</si>
  <si>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</si>
  <si>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</si>
  <si>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</si>
  <si>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</si>
  <si>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</si>
  <si>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</si>
  <si>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</si>
  <si>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</si>
  <si>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</si>
  <si>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</si>
  <si>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</si>
  <si>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</si>
  <si>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</si>
  <si>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</si>
  <si>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</si>
  <si>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</si>
  <si>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</si>
  <si>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</si>
  <si>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</si>
  <si>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</si>
  <si>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</si>
  <si>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</si>
  <si>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</si>
  <si>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</si>
  <si>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</si>
  <si>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</si>
  <si>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</si>
  <si>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</si>
  <si>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</si>
  <si>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</si>
  <si>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</si>
  <si>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</si>
  <si>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</si>
  <si>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</si>
  <si>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</si>
  <si>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</si>
  <si>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</si>
  <si>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</si>
  <si>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</si>
  <si>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</si>
  <si>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</si>
  <si>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</si>
  <si>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</si>
  <si>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</si>
  <si>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</si>
  <si>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</si>
  <si>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</si>
  <si>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</si>
  <si>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</si>
  <si>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</si>
  <si>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</si>
  <si>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</si>
  <si>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</si>
  <si>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</si>
  <si>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</si>
  <si>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</si>
  <si>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</si>
  <si>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</si>
  <si>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</si>
  <si>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</si>
  <si>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</si>
  <si>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</si>
  <si>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</si>
  <si>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</si>
  <si>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</si>
  <si>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</si>
  <si>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</si>
  <si>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</si>
  <si>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</si>
  <si>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</si>
  <si>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</si>
  <si>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</si>
  <si>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</si>
  <si>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</si>
  <si>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</si>
  <si>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</si>
  <si>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</si>
  <si>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</si>
  <si>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</si>
  <si>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</si>
  <si>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</si>
  <si>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</si>
  <si>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</si>
  <si>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</si>
  <si>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</si>
  <si>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</si>
  <si>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</si>
  <si>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</si>
  <si>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</si>
  <si>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</si>
  <si>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</si>
  <si>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</si>
  <si>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</si>
  <si>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</si>
  <si>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</si>
  <si>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</si>
  <si>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</si>
  <si>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</si>
  <si>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</si>
  <si>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</si>
  <si>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</si>
  <si>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</si>
  <si>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</si>
  <si>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</si>
  <si>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</si>
  <si>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</si>
  <si>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</si>
  <si>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</si>
  <si>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</si>
  <si>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</si>
  <si>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</si>
  <si>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</si>
  <si>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</si>
  <si>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</si>
  <si>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</si>
  <si>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</si>
  <si>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</si>
  <si>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</si>
  <si>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</si>
  <si>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</si>
  <si>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</si>
  <si>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</si>
  <si>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</si>
  <si>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</si>
  <si>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</si>
  <si>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</si>
  <si>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</si>
  <si>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</si>
  <si>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</si>
  <si>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</si>
  <si>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</si>
  <si>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</si>
  <si>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</si>
  <si>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</si>
  <si>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</si>
  <si>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</si>
  <si>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</si>
  <si>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</si>
  <si>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</si>
  <si>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</si>
  <si>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</si>
  <si>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</si>
  <si>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</si>
  <si>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</si>
  <si>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</si>
  <si>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</si>
  <si>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</si>
  <si>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</si>
  <si>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</si>
  <si>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</si>
  <si>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</si>
  <si>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</si>
  <si>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</si>
  <si>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</si>
  <si>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</si>
  <si>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</si>
  <si>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</si>
  <si>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</si>
  <si>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</si>
  <si>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</si>
  <si>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</si>
  <si>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</si>
  <si>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</si>
  <si>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</si>
  <si>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</si>
  <si>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</si>
  <si>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</si>
  <si>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</si>
  <si>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</si>
  <si>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</si>
  <si>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</si>
  <si>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</si>
  <si>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</si>
  <si>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</si>
  <si>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</si>
  <si>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</si>
  <si>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</si>
  <si>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</si>
  <si>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</si>
  <si>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</si>
  <si>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</si>
  <si>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</si>
  <si>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</si>
  <si>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</si>
  <si>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</si>
  <si>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</si>
  <si>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</si>
  <si>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</si>
  <si>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</si>
  <si>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</si>
  <si>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</si>
  <si>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</si>
  <si>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</si>
  <si>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</si>
  <si>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</si>
  <si>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</si>
  <si>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</si>
  <si>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</si>
  <si>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</si>
  <si>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</si>
  <si>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</si>
  <si>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</si>
  <si>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</si>
  <si>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</si>
  <si>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</si>
  <si>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</si>
  <si>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</si>
  <si>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</si>
  <si>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</si>
  <si>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</si>
  <si>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</si>
  <si>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</si>
  <si>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</si>
  <si>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</si>
  <si>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</si>
  <si>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</si>
  <si>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</si>
  <si>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</si>
  <si>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</si>
  <si>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</si>
  <si>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</si>
  <si>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</si>
  <si>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</si>
  <si>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</si>
  <si>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</si>
  <si>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</si>
  <si>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</si>
  <si>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</si>
  <si>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</si>
  <si>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</si>
  <si>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</si>
  <si>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</si>
  <si>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</si>
  <si>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</si>
  <si>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</si>
  <si>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</si>
  <si>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</si>
  <si>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</si>
  <si>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</si>
  <si>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</si>
  <si>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</si>
  <si>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</si>
  <si>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</si>
  <si>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</si>
  <si>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</si>
  <si>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</si>
  <si>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</si>
  <si>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</si>
  <si>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</si>
  <si>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</si>
  <si>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</si>
  <si>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</si>
  <si>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</si>
  <si>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</si>
  <si>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</si>
  <si>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</si>
  <si>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</si>
  <si>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</si>
  <si>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</si>
  <si>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</si>
  <si>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</si>
  <si>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</si>
  <si>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</si>
  <si>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</si>
  <si>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</si>
  <si>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</si>
  <si>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</si>
  <si>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</si>
  <si>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</si>
  <si>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</si>
  <si>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</si>
  <si>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</si>
  <si>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</si>
  <si>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</si>
  <si>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</si>
  <si>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</si>
  <si>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</si>
  <si>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</si>
  <si>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</si>
  <si>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</si>
  <si>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</si>
  <si>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</si>
  <si>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</si>
  <si>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</si>
  <si>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</si>
  <si>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</si>
  <si>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</si>
  <si>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</si>
  <si>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</si>
  <si>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</si>
  <si>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</si>
  <si>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</si>
  <si>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</si>
  <si>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</si>
  <si>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</si>
  <si>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</si>
  <si>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</si>
  <si>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</si>
  <si>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</si>
  <si>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</si>
  <si>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</si>
  <si>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</si>
  <si>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</si>
  <si>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</si>
  <si>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</si>
  <si>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</si>
  <si>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</si>
  <si>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</si>
  <si>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</si>
  <si>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</si>
  <si>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</si>
  <si>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</si>
  <si>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</si>
  <si>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</si>
  <si>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</si>
  <si>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</si>
  <si>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</si>
  <si>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</si>
  <si>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</si>
  <si>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</si>
  <si>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</si>
  <si>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</si>
  <si>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</si>
  <si>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</si>
  <si>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</si>
  <si>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</si>
  <si>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</si>
  <si>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</si>
  <si>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</si>
  <si>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</si>
  <si>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</si>
  <si>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</si>
  <si>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</si>
  <si>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</si>
  <si>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</si>
  <si>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</si>
  <si>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</si>
  <si>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</si>
  <si>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</si>
  <si>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</si>
  <si>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</si>
  <si>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</si>
  <si>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</si>
  <si>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</si>
  <si>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</si>
  <si>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</si>
  <si>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</si>
  <si>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</si>
  <si>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</si>
  <si>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</si>
  <si>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</si>
  <si>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</si>
  <si>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</si>
  <si>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</si>
  <si>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</si>
  <si>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</si>
  <si>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</si>
  <si>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</si>
  <si>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</si>
  <si>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</si>
  <si>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</si>
  <si>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</si>
  <si>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</si>
  <si>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</si>
  <si>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</si>
  <si>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</si>
  <si>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</si>
  <si>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</si>
  <si>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</si>
  <si>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</si>
  <si>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</si>
  <si>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</si>
  <si>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</si>
  <si>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</si>
  <si>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</si>
  <si>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</si>
  <si>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</si>
  <si>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</si>
  <si>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</si>
  <si>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</si>
  <si>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</si>
  <si>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</si>
  <si>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</si>
  <si>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</si>
  <si>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</si>
  <si>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</si>
  <si>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</si>
  <si>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</si>
  <si>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</si>
  <si>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</si>
  <si>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</si>
  <si>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</si>
  <si>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</si>
  <si>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</si>
  <si>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</si>
  <si>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</si>
  <si>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</si>
  <si>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</si>
  <si>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</si>
  <si>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</si>
  <si>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</si>
  <si>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</si>
  <si>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</si>
  <si>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</si>
  <si>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</si>
  <si>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</si>
  <si>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</si>
  <si>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</si>
  <si>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</si>
  <si>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</si>
  <si>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</si>
  <si>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</si>
  <si>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</si>
  <si>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</si>
  <si>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</si>
  <si>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</si>
  <si>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</si>
  <si>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</si>
  <si>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</si>
  <si>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</si>
  <si>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</si>
  <si>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</si>
  <si>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</si>
  <si>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</si>
  <si>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</si>
  <si>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</si>
  <si>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</si>
  <si>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</si>
  <si>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</si>
  <si>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</si>
  <si>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</si>
  <si>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</si>
  <si>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</si>
  <si>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</si>
  <si>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</si>
  <si>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</si>
  <si>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</si>
  <si>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</si>
  <si>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</si>
  <si>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</si>
  <si>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</si>
  <si>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</si>
  <si>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</si>
  <si>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</si>
  <si>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</si>
  <si>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</si>
  <si>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</si>
  <si>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</si>
  <si>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</si>
  <si>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</si>
  <si>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</si>
  <si>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</si>
  <si>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</si>
  <si>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</si>
  <si>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</si>
  <si>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</si>
  <si>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</si>
  <si>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</si>
  <si>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</si>
  <si>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</si>
  <si>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</si>
  <si>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</si>
  <si>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</si>
  <si>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</si>
  <si>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</si>
  <si>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</si>
  <si>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</si>
  <si>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</si>
  <si>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</si>
  <si>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</si>
  <si>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</si>
  <si>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</si>
  <si>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</si>
  <si>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</si>
  <si>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</si>
  <si>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</si>
  <si>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</si>
  <si>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</si>
  <si>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</si>
  <si>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</si>
  <si>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</si>
  <si>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</si>
  <si>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</si>
  <si>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</si>
  <si>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</si>
  <si>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</si>
  <si>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</si>
  <si>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</si>
  <si>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</si>
  <si>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</si>
  <si>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</si>
  <si>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</si>
  <si>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</si>
  <si>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</si>
  <si>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</si>
  <si>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</si>
  <si>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</si>
  <si>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</si>
  <si>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</si>
  <si>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</si>
  <si>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</si>
  <si>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</si>
  <si>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</si>
  <si>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</si>
  <si>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</si>
  <si>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</si>
  <si>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</si>
  <si>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</si>
  <si>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</si>
  <si>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</si>
  <si>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</si>
  <si>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</si>
  <si>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</si>
  <si>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</si>
  <si>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</si>
  <si>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</si>
  <si>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</si>
  <si>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</si>
  <si>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</si>
  <si>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</si>
  <si>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</si>
  <si>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</si>
  <si>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</si>
  <si>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</si>
  <si>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</si>
  <si>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</si>
  <si>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</si>
  <si>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</si>
  <si>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</si>
  <si>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</si>
  <si>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</si>
  <si>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</si>
  <si>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</si>
  <si>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</si>
  <si>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</si>
  <si>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</si>
  <si>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</si>
  <si>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</si>
  <si>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</si>
  <si>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</si>
  <si>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</si>
  <si>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</si>
  <si>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</si>
  <si>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</si>
  <si>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</si>
  <si>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</si>
  <si>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</si>
  <si>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</si>
  <si>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</si>
  <si>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</si>
  <si>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</si>
  <si>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</si>
  <si>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</si>
  <si>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</si>
  <si>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</si>
  <si>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</si>
  <si>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</si>
  <si>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</si>
  <si>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</si>
  <si>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</si>
  <si>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</si>
  <si>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</si>
  <si>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</si>
  <si>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</si>
  <si>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</si>
  <si>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</si>
  <si>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</si>
  <si>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</si>
  <si>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</si>
  <si>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</si>
  <si>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</si>
  <si>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</si>
  <si>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</si>
  <si>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</si>
  <si>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</si>
  <si>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</si>
  <si>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</si>
  <si>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</si>
  <si>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</si>
  <si>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</si>
  <si>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</si>
  <si>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</si>
  <si>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</si>
  <si>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</si>
  <si>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</si>
  <si>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</si>
  <si>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</si>
  <si>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</si>
  <si>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</si>
  <si>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</si>
  <si>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</si>
  <si>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</si>
  <si>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</si>
  <si>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</si>
  <si>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</si>
  <si>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</si>
  <si>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</si>
  <si>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</si>
  <si>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</si>
  <si>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</si>
  <si>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</si>
  <si>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</si>
  <si>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</si>
  <si>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</si>
  <si>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</si>
  <si>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</si>
  <si>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</si>
  <si>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</si>
  <si>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</si>
  <si>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</si>
  <si>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</si>
  <si>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</si>
  <si>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</si>
  <si>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</si>
  <si>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</si>
  <si>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</si>
  <si>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</si>
  <si>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</si>
  <si>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</si>
  <si>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</si>
  <si>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</si>
  <si>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</si>
  <si>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</si>
  <si>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</si>
  <si>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</si>
  <si>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</si>
  <si>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</si>
  <si>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</si>
  <si>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</si>
  <si>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</si>
  <si>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</si>
  <si>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</si>
  <si>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</si>
  <si>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</si>
  <si>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</si>
  <si>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</si>
  <si>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</si>
  <si>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</si>
  <si>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</si>
  <si>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</si>
  <si>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</si>
  <si>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</si>
  <si>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</si>
  <si>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</si>
  <si>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</si>
  <si>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</si>
  <si>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</si>
  <si>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</si>
  <si>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</si>
  <si>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</si>
  <si>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</si>
  <si>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</si>
  <si>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</si>
  <si>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</si>
  <si>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</si>
  <si>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</si>
  <si>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</si>
  <si>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</si>
  <si>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</si>
  <si>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</si>
  <si>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</si>
  <si>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</si>
  <si>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</si>
  <si>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</si>
  <si>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</si>
  <si>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</si>
  <si>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</si>
  <si>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</si>
  <si>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</si>
  <si>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</si>
  <si>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</si>
  <si>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</si>
  <si>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</si>
  <si>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</si>
  <si>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</si>
  <si>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</si>
  <si>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</si>
  <si>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</si>
  <si>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</si>
  <si>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</si>
  <si>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</si>
  <si>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</si>
  <si>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</si>
  <si>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</si>
  <si>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</si>
  <si>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</si>
  <si>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</si>
  <si>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</si>
  <si>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</si>
  <si>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</si>
  <si>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</si>
  <si>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</si>
  <si>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</si>
  <si>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</si>
  <si>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</si>
  <si>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</si>
  <si>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</si>
  <si>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</si>
  <si>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</si>
  <si>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</si>
  <si>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</si>
  <si>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</si>
  <si>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</si>
  <si>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</si>
  <si>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</si>
  <si>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</si>
  <si>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</si>
  <si>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</si>
  <si>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</si>
  <si>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</si>
  <si>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</si>
  <si>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</si>
  <si>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</si>
  <si>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</si>
  <si>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</si>
  <si>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</si>
  <si>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</si>
  <si>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</si>
  <si>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</si>
  <si>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</si>
  <si>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</si>
  <si>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</si>
  <si>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</si>
  <si>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</si>
  <si>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</si>
  <si>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</si>
  <si>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</si>
  <si>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</si>
  <si>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</si>
  <si>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</si>
  <si>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</si>
  <si>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</si>
  <si>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</si>
  <si>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</si>
  <si>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</si>
  <si>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</si>
  <si>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</si>
  <si>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</si>
  <si>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</si>
  <si>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</si>
  <si>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</si>
  <si>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</si>
  <si>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</si>
  <si>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</si>
  <si>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</si>
  <si>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</si>
  <si>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</si>
  <si>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</si>
  <si>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</si>
  <si>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</si>
  <si>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</si>
  <si>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</si>
  <si>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</si>
  <si>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</si>
  <si>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</si>
  <si>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</si>
  <si>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</si>
  <si>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</si>
  <si>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</si>
  <si>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</si>
  <si>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</si>
  <si>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</si>
  <si>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</si>
  <si>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</si>
  <si>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</si>
  <si>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</si>
  <si>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</si>
  <si>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</si>
  <si>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</si>
  <si>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</si>
  <si>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</si>
  <si>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</si>
  <si>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</si>
  <si>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</si>
  <si>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</si>
  <si>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</si>
  <si>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</si>
  <si>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</si>
  <si>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</si>
  <si>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</si>
  <si>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</si>
  <si>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</si>
  <si>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</si>
  <si>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</si>
  <si>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</si>
  <si>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</si>
  <si>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</si>
  <si>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</si>
  <si>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</si>
  <si>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</si>
  <si>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</si>
  <si>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</si>
  <si>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</si>
  <si>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</si>
  <si>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</si>
  <si>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</si>
  <si>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</si>
  <si>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</si>
  <si>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</si>
  <si>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</si>
  <si>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</si>
  <si>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</si>
  <si>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</si>
  <si>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</si>
  <si>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</si>
  <si>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</si>
  <si>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</si>
  <si>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</si>
  <si>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</si>
  <si>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</si>
  <si>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</si>
  <si>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</si>
  <si>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</si>
  <si>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</si>
  <si>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</si>
  <si>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</si>
  <si>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</si>
  <si>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</si>
  <si>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</si>
  <si>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</si>
  <si>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</si>
  <si>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</si>
  <si>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</si>
  <si>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</si>
  <si>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</si>
  <si>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</si>
  <si>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</si>
  <si>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</si>
  <si>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</si>
  <si>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</si>
  <si>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</si>
  <si>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</si>
  <si>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</si>
  <si>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</si>
  <si>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</si>
  <si>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</si>
  <si>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</si>
  <si>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</si>
  <si>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</si>
  <si>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</si>
  <si>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</si>
  <si>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</si>
  <si>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</si>
  <si>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</si>
  <si>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</si>
  <si>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</si>
  <si>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</si>
  <si>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</si>
  <si>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</si>
  <si>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</si>
  <si>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</si>
  <si>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</si>
  <si>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</si>
  <si>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</si>
  <si>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</si>
  <si>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</si>
  <si>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</si>
  <si>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</si>
  <si>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</si>
  <si>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</si>
  <si>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</si>
  <si>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</si>
  <si>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</si>
  <si>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</si>
  <si>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</si>
  <si>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</si>
  <si>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</si>
  <si>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</si>
  <si>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</si>
  <si>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</si>
  <si>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</si>
  <si>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</si>
  <si>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</si>
  <si>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</si>
  <si>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</si>
  <si>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</si>
  <si>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</si>
  <si>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</si>
  <si>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</si>
  <si>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</si>
  <si>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</si>
  <si>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</si>
  <si>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</si>
  <si>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</si>
  <si>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</si>
  <si>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</si>
  <si>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</si>
  <si>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</si>
  <si>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</si>
  <si>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</si>
  <si>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</si>
  <si>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</si>
  <si>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</si>
  <si>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</si>
  <si>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</si>
  <si>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</si>
  <si>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</si>
  <si>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</si>
  <si>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</si>
  <si>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</si>
  <si>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</si>
  <si>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</si>
  <si>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</si>
  <si>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</si>
  <si>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</si>
  <si>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</si>
  <si>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</si>
  <si>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</si>
  <si>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</si>
  <si>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</si>
  <si>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</si>
  <si>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</si>
  <si>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</si>
  <si>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</si>
  <si>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</si>
  <si>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</si>
  <si>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</si>
  <si>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</si>
  <si>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</si>
  <si>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</si>
  <si>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</si>
  <si>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</si>
  <si>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</si>
  <si>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</si>
  <si>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</si>
  <si>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</si>
  <si>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</si>
  <si>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</si>
  <si>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</si>
  <si>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</si>
  <si>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</si>
  <si>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</si>
  <si>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</si>
  <si>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</si>
  <si>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</si>
  <si>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</si>
  <si>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</si>
  <si>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</si>
  <si>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</si>
  <si>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</si>
  <si>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</si>
  <si>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</si>
  <si>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</si>
  <si>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</si>
  <si>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</si>
  <si>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</si>
  <si>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</si>
  <si>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</si>
  <si>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</si>
  <si>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</si>
  <si>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</si>
  <si>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</si>
  <si>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</si>
  <si>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</si>
  <si>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</si>
  <si>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</si>
  <si>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</si>
  <si>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</si>
  <si>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</si>
  <si>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</si>
  <si>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</si>
  <si>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</si>
  <si>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</si>
  <si>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</si>
  <si>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</si>
  <si>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</si>
  <si>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</si>
  <si>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</si>
  <si>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</si>
  <si>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</si>
  <si>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</si>
  <si>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</si>
  <si>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</si>
  <si>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</si>
  <si>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</si>
  <si>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</si>
  <si>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</si>
  <si>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</si>
  <si>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</si>
  <si>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</si>
  <si>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</si>
  <si>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</si>
  <si>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</si>
  <si>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</si>
  <si>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</si>
  <si>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</si>
  <si>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</si>
  <si>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</si>
  <si>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</si>
  <si>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</si>
  <si>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</si>
  <si>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</si>
  <si>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</si>
  <si>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</si>
  <si>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</si>
  <si>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</si>
  <si>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</si>
  <si>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</si>
  <si>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</si>
  <si>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</si>
  <si>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</si>
  <si>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</si>
  <si>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</si>
  <si>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</si>
  <si>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</si>
  <si>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</si>
  <si>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</si>
  <si>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</si>
  <si>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</si>
  <si>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</si>
  <si>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</si>
  <si>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</si>
  <si>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</si>
  <si>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</si>
  <si>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</si>
  <si>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</si>
  <si>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</si>
  <si>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</si>
  <si>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</si>
  <si>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</si>
  <si>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</si>
  <si>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</si>
  <si>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</si>
  <si>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</si>
  <si>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</si>
  <si>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</si>
  <si>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</si>
  <si>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</si>
  <si>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</si>
  <si>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</si>
  <si>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</si>
  <si>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</si>
  <si>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</si>
  <si>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</si>
  <si>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</si>
  <si>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</si>
  <si>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</si>
  <si>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</si>
  <si>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</si>
  <si>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</si>
  <si>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</si>
  <si>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</si>
  <si>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</si>
  <si>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</si>
  <si>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</si>
  <si>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</si>
  <si>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</si>
  <si>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</si>
  <si>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</si>
  <si>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</si>
  <si>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</si>
  <si>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</si>
  <si>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</si>
  <si>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</si>
  <si>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</si>
  <si>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</si>
  <si>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</si>
  <si>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</si>
  <si>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</si>
  <si>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</si>
  <si>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</si>
  <si>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</si>
  <si>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</si>
  <si>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</si>
  <si>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</si>
  <si>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</si>
  <si>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</si>
  <si>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</si>
  <si>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</si>
  <si>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</si>
  <si>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</si>
  <si>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</si>
  <si>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</si>
  <si>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</si>
  <si>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</si>
  <si>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</si>
  <si>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</si>
  <si>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</si>
  <si>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</si>
  <si>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</si>
  <si>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</si>
  <si>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</si>
  <si>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</si>
  <si>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</si>
  <si>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</si>
  <si>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</si>
  <si>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</si>
  <si>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</si>
  <si>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</si>
  <si>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</si>
  <si>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</si>
  <si>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</si>
  <si>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</si>
  <si>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</si>
  <si>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</si>
  <si>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</si>
  <si>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</si>
  <si>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</si>
  <si>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</si>
  <si>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</si>
  <si>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</si>
  <si>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</si>
  <si>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</si>
  <si>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</si>
  <si>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</si>
  <si>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</si>
  <si>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</si>
  <si>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</si>
  <si>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</si>
  <si>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</si>
  <si>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</si>
  <si>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</si>
  <si>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</si>
  <si>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</si>
  <si>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</si>
  <si>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</si>
  <si>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</si>
  <si>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</si>
  <si>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</si>
  <si>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</si>
  <si>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</si>
  <si>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</si>
  <si>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</si>
  <si>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</si>
  <si>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</si>
  <si>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</si>
  <si>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</si>
  <si>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</si>
  <si>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</si>
  <si>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</si>
  <si>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</si>
  <si>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</si>
  <si>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</si>
  <si>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</si>
  <si>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</si>
  <si>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</si>
  <si>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</si>
  <si>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</si>
  <si>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</si>
  <si>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</si>
  <si>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</si>
  <si>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</si>
  <si>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</si>
  <si>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</si>
  <si>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</si>
  <si>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</si>
  <si>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</si>
  <si>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</si>
  <si>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</si>
  <si>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</si>
  <si>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</si>
  <si>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</si>
  <si>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</si>
  <si>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</si>
  <si>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</si>
  <si>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</si>
  <si>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</si>
  <si>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</si>
  <si>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</si>
  <si>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</si>
  <si>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</si>
  <si>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</si>
  <si>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</si>
  <si>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</si>
  <si>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</si>
  <si>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</si>
  <si>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</si>
  <si>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>CC1-A</t>
  </si>
  <si>
    <t xml:space="preserve">Pemasangan APP </t>
  </si>
  <si>
    <t>Trafo 3 Fasa 50 KVA 1 Tiang (G312-A)</t>
  </si>
  <si>
    <t>KONSTRUKSI JTR 3 PHASE</t>
  </si>
  <si>
    <t>K3-169/19/35</t>
  </si>
  <si>
    <t>KDS 16</t>
  </si>
  <si>
    <t>KONSTRUKSI JARINGAN 3 PHASE</t>
  </si>
  <si>
    <t>CJ6-T</t>
  </si>
  <si>
    <t>MJ6-T</t>
  </si>
  <si>
    <t>Upah Pasang Penghantar TR LVTC 2x35 + 1x35mm²</t>
  </si>
  <si>
    <t>CE1-3</t>
  </si>
  <si>
    <t>F1-3</t>
  </si>
  <si>
    <t>CM2-12A</t>
  </si>
  <si>
    <t>SCHOOR</t>
  </si>
  <si>
    <t>KONDUKTOR</t>
  </si>
  <si>
    <t>Pemasangan APP 3 Fasa Di Bangunan</t>
  </si>
  <si>
    <t>CM2-11</t>
  </si>
  <si>
    <t>KOORDINAT : -6.874204, 110.733624</t>
  </si>
  <si>
    <t>Daya 23.000 VA</t>
  </si>
  <si>
    <t>DS GAJAH,KEC GAJAH DEMAK</t>
  </si>
  <si>
    <t>Staf teknik</t>
  </si>
  <si>
    <t>TL Teknik</t>
  </si>
  <si>
    <t>MULP</t>
  </si>
  <si>
    <t>Mbag Ren</t>
  </si>
  <si>
    <t>Demak, 28 November 2023</t>
  </si>
  <si>
    <t>MANAGER</t>
  </si>
  <si>
    <t>ACHMAD SUHENDRO</t>
  </si>
  <si>
    <t>S2</t>
  </si>
  <si>
    <t>SMP GAJAH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</si>
</sst>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41" fontId="21" fillId="0" borderId="0" applyFont="0" applyFill="0" applyBorder="0" applyAlignment="0" applyProtection="0"/>
    <xf numFmtId="0" fontId="4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23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1" fillId="0" borderId="21" xfId="1451" applyBorder="1" applyAlignment="1">
      <alignment horizontal="left" vertical="center" wrapText="1"/>
    </xf>
    <xf numFmtId="0" fontId="21" fillId="0" borderId="21" xfId="1451" applyBorder="1" applyAlignment="1">
      <alignment horizontal="center" wrapText="1"/>
    </xf>
    <xf numFmtId="0" fontId="21" fillId="0" borderId="21" xfId="1451" applyBorder="1" applyAlignment="1">
      <alignment horizontal="center" vertical="center" wrapText="1"/>
    </xf>
    <xf numFmtId="3" fontId="114" fillId="0" borderId="21" xfId="1451" applyNumberFormat="1" applyFont="1" applyBorder="1" applyAlignment="1">
      <alignment horizontal="center" vertical="center" wrapText="1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2" fillId="0" borderId="21" xfId="1652" applyFont="1" applyBorder="1" applyAlignment="1">
      <alignment horizontal="center" vertical="center"/>
    </xf>
    <xf numFmtId="0" fontId="128" fillId="48" borderId="21" xfId="1652" applyFont="1" applyFill="1" applyBorder="1" applyAlignment="1">
      <alignment vertical="center" wrapText="1"/>
    </xf>
    <xf numFmtId="0" fontId="151" fillId="48" borderId="21" xfId="1451" applyFont="1" applyFill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1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1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56030</xdr:colOff>
      <xdr:row>37</xdr:row>
      <xdr:rowOff>22412</xdr:rowOff>
    </xdr:from>
    <xdr:to>
      <xdr:col>19</xdr:col>
      <xdr:colOff>351268</xdr:colOff>
      <xdr:row>39</xdr:row>
      <xdr:rowOff>159285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FC6082-EB64-433C-B314-8A7C3C8EA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84942" y="8830236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224118</xdr:colOff>
      <xdr:row>158</xdr:row>
      <xdr:rowOff>156882</xdr:rowOff>
    </xdr:from>
    <xdr:to>
      <xdr:col>10</xdr:col>
      <xdr:colOff>519356</xdr:colOff>
      <xdr:row>161</xdr:row>
      <xdr:rowOff>103255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20C4B-97C1-4B5C-86B3-4ABE0A65D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0" y="30592058"/>
          <a:ext cx="295238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336288</xdr:colOff>
      <xdr:row>12</xdr:row>
      <xdr:rowOff>32797</xdr:rowOff>
    </xdr:from>
    <xdr:to>
      <xdr:col>11</xdr:col>
      <xdr:colOff>336289</xdr:colOff>
      <xdr:row>47</xdr:row>
      <xdr:rowOff>38069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4D7D3969-A08E-408E-A17A-0F01E31AA263}"/>
            </a:ext>
          </a:extLst>
        </xdr:cNvPr>
        <xdr:cNvCxnSpPr>
          <a:cxnSpLocks/>
        </xdr:cNvCxnSpPr>
      </xdr:nvCxnSpPr>
      <xdr:spPr>
        <a:xfrm flipH="1" flipV="1">
          <a:off x="4080027" y="1854971"/>
          <a:ext cx="1" cy="526472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231513</xdr:colOff>
      <xdr:row>12</xdr:row>
      <xdr:rowOff>32797</xdr:rowOff>
    </xdr:from>
    <xdr:to>
      <xdr:col>11</xdr:col>
      <xdr:colOff>231514</xdr:colOff>
      <xdr:row>47</xdr:row>
      <xdr:rowOff>38069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6CB4C9D1-DF03-44A8-97EB-DD6C7B243A9B}"/>
            </a:ext>
          </a:extLst>
        </xdr:cNvPr>
        <xdr:cNvCxnSpPr>
          <a:cxnSpLocks/>
        </xdr:cNvCxnSpPr>
      </xdr:nvCxnSpPr>
      <xdr:spPr>
        <a:xfrm flipH="1" flipV="1">
          <a:off x="3975252" y="1854971"/>
          <a:ext cx="1" cy="526472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57703</xdr:colOff>
      <xdr:row>29</xdr:row>
      <xdr:rowOff>71936</xdr:rowOff>
    </xdr:from>
    <xdr:to>
      <xdr:col>10</xdr:col>
      <xdr:colOff>214748</xdr:colOff>
      <xdr:row>30</xdr:row>
      <xdr:rowOff>94416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CE6A8516-F82A-4FED-B952-9434B9420C95}"/>
            </a:ext>
          </a:extLst>
        </xdr:cNvPr>
        <xdr:cNvGrpSpPr/>
      </xdr:nvGrpSpPr>
      <xdr:grpSpPr>
        <a:xfrm>
          <a:off x="3410503" y="4520111"/>
          <a:ext cx="157045" cy="1653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088780DB-5049-E78F-6624-8BA5058CE66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C4E93507-120E-8315-ADDD-E40922A7E545}"/>
              </a:ext>
            </a:extLst>
          </xdr:cNvPr>
          <xdr:cNvCxnSpPr>
            <a:stCxn id="68" idx="1"/>
            <a:endCxn id="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B78C2BEF-22FE-95A7-1DC8-334EE3D5E64D}"/>
              </a:ext>
            </a:extLst>
          </xdr:cNvPr>
          <xdr:cNvCxnSpPr>
            <a:stCxn id="68" idx="3"/>
            <a:endCxn id="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237159</xdr:colOff>
      <xdr:row>29</xdr:row>
      <xdr:rowOff>80678</xdr:rowOff>
    </xdr:from>
    <xdr:to>
      <xdr:col>13</xdr:col>
      <xdr:colOff>14183</xdr:colOff>
      <xdr:row>30</xdr:row>
      <xdr:rowOff>103158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69580647-0BD7-4919-94D5-2BA3BF77EC85}"/>
            </a:ext>
          </a:extLst>
        </xdr:cNvPr>
        <xdr:cNvGrpSpPr/>
      </xdr:nvGrpSpPr>
      <xdr:grpSpPr>
        <a:xfrm>
          <a:off x="4351959" y="4528853"/>
          <a:ext cx="158024" cy="1653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1B49B13A-14E8-E392-2AFE-2E2251562EC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5137A282-7324-CE70-C40C-9BF109CCD777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AD7E44F-B98B-DB38-4738-D6AAF12F6233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214748</xdr:colOff>
      <xdr:row>30</xdr:row>
      <xdr:rowOff>12774</xdr:rowOff>
    </xdr:from>
    <xdr:to>
      <xdr:col>12</xdr:col>
      <xdr:colOff>237159</xdr:colOff>
      <xdr:row>30</xdr:row>
      <xdr:rowOff>21516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22CB5236-A5D8-4A4A-A13A-E5CCF1E5CF42}"/>
            </a:ext>
          </a:extLst>
        </xdr:cNvPr>
        <xdr:cNvCxnSpPr>
          <a:stCxn id="68" idx="6"/>
          <a:endCxn id="72" idx="2"/>
        </xdr:cNvCxnSpPr>
      </xdr:nvCxnSpPr>
      <xdr:spPr>
        <a:xfrm>
          <a:off x="3577487" y="4526796"/>
          <a:ext cx="784411" cy="87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231755</xdr:colOff>
      <xdr:row>22</xdr:row>
      <xdr:rowOff>7771</xdr:rowOff>
    </xdr:from>
    <xdr:to>
      <xdr:col>13</xdr:col>
      <xdr:colOff>8779</xdr:colOff>
      <xdr:row>23</xdr:row>
      <xdr:rowOff>21969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A63A7853-DD21-4EF7-8B43-9FB700644091}"/>
            </a:ext>
          </a:extLst>
        </xdr:cNvPr>
        <xdr:cNvGrpSpPr/>
      </xdr:nvGrpSpPr>
      <xdr:grpSpPr>
        <a:xfrm>
          <a:off x="4346555" y="3389146"/>
          <a:ext cx="158024" cy="1665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91D80DD2-E29F-616A-BA62-2B451BA09C1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FA32B779-F3C4-A8F2-C97E-FB4AED9E6F51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7FB628D5-D2C9-B17C-4940-5929A0D2289D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239942</xdr:colOff>
      <xdr:row>40</xdr:row>
      <xdr:rowOff>26455</xdr:rowOff>
    </xdr:from>
    <xdr:to>
      <xdr:col>13</xdr:col>
      <xdr:colOff>15987</xdr:colOff>
      <xdr:row>41</xdr:row>
      <xdr:rowOff>40653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8E621F9B-9571-4B0A-9818-78D001E9E982}"/>
            </a:ext>
          </a:extLst>
        </xdr:cNvPr>
        <xdr:cNvGrpSpPr/>
      </xdr:nvGrpSpPr>
      <xdr:grpSpPr>
        <a:xfrm>
          <a:off x="4354742" y="6160555"/>
          <a:ext cx="157045" cy="1665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E66DECC0-0C8A-C3BD-1B02-00804F6F1A4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A6E3195D-C151-D11C-648C-76C0BAF69AAC}"/>
              </a:ext>
            </a:extLst>
          </xdr:cNvPr>
          <xdr:cNvCxnSpPr>
            <a:stCxn id="87" idx="1"/>
            <a:endCxn id="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920E4166-A6DA-98C5-63EA-B19FB10FAAF1}"/>
              </a:ext>
            </a:extLst>
          </xdr:cNvPr>
          <xdr:cNvCxnSpPr>
            <a:stCxn id="87" idx="3"/>
            <a:endCxn id="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310767</xdr:colOff>
      <xdr:row>23</xdr:row>
      <xdr:rowOff>21969</xdr:rowOff>
    </xdr:from>
    <xdr:to>
      <xdr:col>12</xdr:col>
      <xdr:colOff>316171</xdr:colOff>
      <xdr:row>29</xdr:row>
      <xdr:rowOff>80678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954A8847-14F8-48BA-B9D8-88297DA3CF85}"/>
            </a:ext>
          </a:extLst>
        </xdr:cNvPr>
        <xdr:cNvCxnSpPr>
          <a:stCxn id="72" idx="0"/>
          <a:endCxn id="83" idx="4"/>
        </xdr:cNvCxnSpPr>
      </xdr:nvCxnSpPr>
      <xdr:spPr>
        <a:xfrm flipH="1" flipV="1">
          <a:off x="4435506" y="3500665"/>
          <a:ext cx="5404" cy="9532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16565</xdr:colOff>
      <xdr:row>26</xdr:row>
      <xdr:rowOff>75043</xdr:rowOff>
    </xdr:from>
    <xdr:to>
      <xdr:col>9</xdr:col>
      <xdr:colOff>130661</xdr:colOff>
      <xdr:row>34</xdr:row>
      <xdr:rowOff>100865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78C136D5-DF7B-4EF0-93E5-0C4FF0C86D5C}"/>
            </a:ext>
          </a:extLst>
        </xdr:cNvPr>
        <xdr:cNvSpPr/>
      </xdr:nvSpPr>
      <xdr:spPr>
        <a:xfrm>
          <a:off x="1474304" y="4001000"/>
          <a:ext cx="1638096" cy="12102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>
              <a:solidFill>
                <a:schemeClr val="tx1"/>
              </a:solidFill>
            </a:rPr>
            <a:t>SMP</a:t>
          </a:r>
          <a:r>
            <a:rPr lang="en-ID" sz="1400" baseline="0">
              <a:solidFill>
                <a:schemeClr val="tx1"/>
              </a:solidFill>
            </a:rPr>
            <a:t> NEGERI 1 GAJAH</a:t>
          </a:r>
          <a:endParaRPr lang="en-ID" sz="14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316171</xdr:colOff>
      <xdr:row>30</xdr:row>
      <xdr:rowOff>103158</xdr:rowOff>
    </xdr:from>
    <xdr:to>
      <xdr:col>12</xdr:col>
      <xdr:colOff>318465</xdr:colOff>
      <xdr:row>40</xdr:row>
      <xdr:rowOff>26455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AE66A35F-825E-46CC-8FCD-EA076A656C5C}"/>
            </a:ext>
          </a:extLst>
        </xdr:cNvPr>
        <xdr:cNvCxnSpPr>
          <a:stCxn id="87" idx="0"/>
          <a:endCxn id="72" idx="4"/>
        </xdr:cNvCxnSpPr>
      </xdr:nvCxnSpPr>
      <xdr:spPr>
        <a:xfrm flipH="1" flipV="1">
          <a:off x="4440910" y="4617180"/>
          <a:ext cx="2294" cy="14472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48561</xdr:colOff>
      <xdr:row>28</xdr:row>
      <xdr:rowOff>121917</xdr:rowOff>
    </xdr:from>
    <xdr:to>
      <xdr:col>12</xdr:col>
      <xdr:colOff>234662</xdr:colOff>
      <xdr:row>29</xdr:row>
      <xdr:rowOff>132705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773B6CAD-3D76-4D60-BFC5-C8EF6304D290}"/>
            </a:ext>
          </a:extLst>
        </xdr:cNvPr>
        <xdr:cNvSpPr/>
      </xdr:nvSpPr>
      <xdr:spPr>
        <a:xfrm>
          <a:off x="4173300" y="4346047"/>
          <a:ext cx="186101" cy="159875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800" b="0"/>
        </a:p>
      </xdr:txBody>
    </xdr:sp>
    <xdr:clientData/>
  </xdr:twoCellAnchor>
  <xdr:twoCellAnchor>
    <xdr:from>
      <xdr:col>10</xdr:col>
      <xdr:colOff>277355</xdr:colOff>
      <xdr:row>28</xdr:row>
      <xdr:rowOff>116554</xdr:rowOff>
    </xdr:from>
    <xdr:to>
      <xdr:col>11</xdr:col>
      <xdr:colOff>89231</xdr:colOff>
      <xdr:row>29</xdr:row>
      <xdr:rowOff>127342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B70562CC-8EC3-4DAA-A893-204E3E9F9BEC}"/>
            </a:ext>
          </a:extLst>
        </xdr:cNvPr>
        <xdr:cNvSpPr/>
      </xdr:nvSpPr>
      <xdr:spPr>
        <a:xfrm>
          <a:off x="3640094" y="4340684"/>
          <a:ext cx="192876" cy="15987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800" b="0"/>
        </a:p>
      </xdr:txBody>
    </xdr:sp>
    <xdr:clientData/>
  </xdr:twoCellAnchor>
  <xdr:twoCellAnchor>
    <xdr:from>
      <xdr:col>13</xdr:col>
      <xdr:colOff>215062</xdr:colOff>
      <xdr:row>28</xdr:row>
      <xdr:rowOff>6029</xdr:rowOff>
    </xdr:from>
    <xdr:to>
      <xdr:col>15</xdr:col>
      <xdr:colOff>255759</xdr:colOff>
      <xdr:row>34</xdr:row>
      <xdr:rowOff>138964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7F438FDC-B5BB-4086-B660-BECE76578EF8}"/>
            </a:ext>
          </a:extLst>
        </xdr:cNvPr>
        <xdr:cNvSpPr/>
      </xdr:nvSpPr>
      <xdr:spPr>
        <a:xfrm>
          <a:off x="4710862" y="4301804"/>
          <a:ext cx="802697" cy="103781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8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8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>
              <a:solidFill>
                <a:srgbClr val="FF0000"/>
              </a:solidFill>
            </a:rPr>
            <a:t>1 CG312-A</a:t>
          </a:r>
        </a:p>
        <a:p>
          <a:pPr algn="l"/>
          <a:r>
            <a:rPr lang="en-US" sz="80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800">
              <a:solidFill>
                <a:srgbClr val="FF0000"/>
              </a:solidFill>
            </a:rPr>
            <a:t>1 M8-01</a:t>
          </a:r>
        </a:p>
        <a:p>
          <a:pPr algn="l"/>
          <a:r>
            <a:rPr lang="en-US" sz="800">
              <a:solidFill>
                <a:srgbClr val="FF0000"/>
              </a:solidFill>
            </a:rPr>
            <a:t>1 CM2-11</a:t>
          </a:r>
        </a:p>
        <a:p>
          <a:pPr algn="l"/>
          <a:r>
            <a:rPr lang="en-US" sz="80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13</xdr:col>
      <xdr:colOff>138863</xdr:colOff>
      <xdr:row>21</xdr:row>
      <xdr:rowOff>20937</xdr:rowOff>
    </xdr:from>
    <xdr:to>
      <xdr:col>15</xdr:col>
      <xdr:colOff>198609</xdr:colOff>
      <xdr:row>25</xdr:row>
      <xdr:rowOff>15140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922934C1-F89E-40B9-8EC6-4A1D04FF1CE3}"/>
            </a:ext>
          </a:extLst>
        </xdr:cNvPr>
        <xdr:cNvSpPr/>
      </xdr:nvSpPr>
      <xdr:spPr>
        <a:xfrm>
          <a:off x="4644602" y="3201459"/>
          <a:ext cx="821746" cy="59055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1 C11-200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1 CC1-A</a:t>
          </a:r>
        </a:p>
        <a:p>
          <a:pPr algn="l"/>
          <a:r>
            <a:rPr lang="en-US" sz="800">
              <a:solidFill>
                <a:srgbClr val="FF0000"/>
              </a:solidFill>
            </a:rPr>
            <a:t>1 P12-200</a:t>
          </a:r>
        </a:p>
      </xdr:txBody>
    </xdr:sp>
    <xdr:clientData/>
  </xdr:twoCellAnchor>
  <xdr:twoCellAnchor>
    <xdr:from>
      <xdr:col>10</xdr:col>
      <xdr:colOff>136226</xdr:colOff>
      <xdr:row>23</xdr:row>
      <xdr:rowOff>21969</xdr:rowOff>
    </xdr:from>
    <xdr:to>
      <xdr:col>12</xdr:col>
      <xdr:colOff>310767</xdr:colOff>
      <xdr:row>29</xdr:row>
      <xdr:rowOff>71936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F92ED94D-9474-48D6-8114-3D28B688CBDF}"/>
            </a:ext>
          </a:extLst>
        </xdr:cNvPr>
        <xdr:cNvCxnSpPr>
          <a:stCxn id="83" idx="4"/>
          <a:endCxn id="68" idx="0"/>
        </xdr:cNvCxnSpPr>
      </xdr:nvCxnSpPr>
      <xdr:spPr>
        <a:xfrm flipH="1">
          <a:off x="3498965" y="3500665"/>
          <a:ext cx="936541" cy="9444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195742</xdr:colOff>
      <xdr:row>29</xdr:row>
      <xdr:rowOff>98801</xdr:rowOff>
    </xdr:from>
    <xdr:to>
      <xdr:col>11</xdr:col>
      <xdr:colOff>284927</xdr:colOff>
      <xdr:row>30</xdr:row>
      <xdr:rowOff>77816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6093A639-0B7E-4DA7-85AD-B711985D2914}"/>
            </a:ext>
          </a:extLst>
        </xdr:cNvPr>
        <xdr:cNvGrpSpPr/>
      </xdr:nvGrpSpPr>
      <xdr:grpSpPr>
        <a:xfrm rot="10800000">
          <a:off x="3929542" y="4546976"/>
          <a:ext cx="89185" cy="121890"/>
          <a:chOff x="5827632" y="7098831"/>
          <a:chExt cx="106506" cy="143091"/>
        </a:xfrm>
      </xdr:grpSpPr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1DD52286-2AF6-A634-25D1-18EB6BDAC678}"/>
              </a:ext>
            </a:extLst>
          </xdr:cNvPr>
          <xdr:cNvCxnSpPr/>
        </xdr:nvCxnSpPr>
        <xdr:spPr>
          <a:xfrm flipV="1">
            <a:off x="5827632" y="7098831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4896380C-8326-5C34-43C1-4157A9B54219}"/>
              </a:ext>
            </a:extLst>
          </xdr:cNvPr>
          <xdr:cNvCxnSpPr/>
        </xdr:nvCxnSpPr>
        <xdr:spPr>
          <a:xfrm flipV="1">
            <a:off x="5863134" y="7099697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F7B14F12-54C5-6808-582D-FA0FB51061D2}"/>
              </a:ext>
            </a:extLst>
          </xdr:cNvPr>
          <xdr:cNvCxnSpPr/>
        </xdr:nvCxnSpPr>
        <xdr:spPr>
          <a:xfrm flipV="1">
            <a:off x="5902966" y="7100563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9E9D16C-D58A-39EC-DA5F-60AB504C515C}"/>
              </a:ext>
            </a:extLst>
          </xdr:cNvPr>
          <xdr:cNvCxnSpPr/>
        </xdr:nvCxnSpPr>
        <xdr:spPr>
          <a:xfrm flipV="1">
            <a:off x="5934138" y="7101429"/>
            <a:ext cx="0" cy="14049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161925</xdr:colOff>
      <xdr:row>38</xdr:row>
      <xdr:rowOff>104775</xdr:rowOff>
    </xdr:from>
    <xdr:to>
      <xdr:col>15</xdr:col>
      <xdr:colOff>221671</xdr:colOff>
      <xdr:row>42</xdr:row>
      <xdr:rowOff>98978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72A6C3B8-BFD2-4BB5-B6D0-A66C2CA71254}"/>
            </a:ext>
          </a:extLst>
        </xdr:cNvPr>
        <xdr:cNvSpPr/>
      </xdr:nvSpPr>
      <xdr:spPr>
        <a:xfrm>
          <a:off x="4657725" y="5934075"/>
          <a:ext cx="821746" cy="603803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1 C11-200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1 CC1-A</a:t>
          </a:r>
        </a:p>
        <a:p>
          <a:pPr algn="l"/>
          <a:r>
            <a:rPr lang="en-US" sz="800">
              <a:solidFill>
                <a:srgbClr val="FF0000"/>
              </a:solidFill>
            </a:rPr>
            <a:t>1 P12-200</a:t>
          </a:r>
        </a:p>
      </xdr:txBody>
    </xdr:sp>
    <xdr:clientData/>
  </xdr:twoCellAnchor>
  <xdr:twoCellAnchor>
    <xdr:from>
      <xdr:col>9</xdr:col>
      <xdr:colOff>209550</xdr:colOff>
      <xdr:row>31</xdr:row>
      <xdr:rowOff>19051</xdr:rowOff>
    </xdr:from>
    <xdr:to>
      <xdr:col>11</xdr:col>
      <xdr:colOff>133350</xdr:colOff>
      <xdr:row>34</xdr:row>
      <xdr:rowOff>57151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257FCA4A-B3F0-413D-A821-F82F815E455C}"/>
            </a:ext>
          </a:extLst>
        </xdr:cNvPr>
        <xdr:cNvSpPr/>
      </xdr:nvSpPr>
      <xdr:spPr>
        <a:xfrm>
          <a:off x="3181350" y="4762501"/>
          <a:ext cx="685800" cy="4953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1 C11-200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1 CG105</a:t>
          </a:r>
        </a:p>
        <a:p>
          <a:pPr algn="l"/>
          <a:r>
            <a:rPr lang="en-US" sz="80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27</xdr:col>
      <xdr:colOff>228600</xdr:colOff>
      <xdr:row>50</xdr:row>
      <xdr:rowOff>200025</xdr:rowOff>
    </xdr:from>
    <xdr:to>
      <xdr:col>27</xdr:col>
      <xdr:colOff>304800</xdr:colOff>
      <xdr:row>52</xdr:row>
      <xdr:rowOff>43971</xdr:rowOff>
    </xdr:to>
    <xdr:sp macro="" textlink="">
      <xdr:nvSpPr>
        <xdr:cNvPr id="168" name="Freeform: Shape 167">
          <a:extLst>
            <a:ext uri="{FF2B5EF4-FFF2-40B4-BE49-F238E27FC236}">
              <a16:creationId xmlns:a16="http://schemas.microsoft.com/office/drawing/2014/main" id="{0D5A9301-558F-47F7-9E50-48A30A13EA46}"/>
            </a:ext>
          </a:extLst>
        </xdr:cNvPr>
        <xdr:cNvSpPr/>
      </xdr:nvSpPr>
      <xdr:spPr>
        <a:xfrm>
          <a:off x="10153650" y="7867650"/>
          <a:ext cx="76200" cy="243996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66675</xdr:colOff>
      <xdr:row>52</xdr:row>
      <xdr:rowOff>38100</xdr:rowOff>
    </xdr:from>
    <xdr:to>
      <xdr:col>28</xdr:col>
      <xdr:colOff>123825</xdr:colOff>
      <xdr:row>53</xdr:row>
      <xdr:rowOff>66540</xdr:rowOff>
    </xdr:to>
    <xdr:sp macro="" textlink="">
      <xdr:nvSpPr>
        <xdr:cNvPr id="169" name="Freeform: Shape 168">
          <a:extLst>
            <a:ext uri="{FF2B5EF4-FFF2-40B4-BE49-F238E27FC236}">
              <a16:creationId xmlns:a16="http://schemas.microsoft.com/office/drawing/2014/main" id="{559EF086-F52A-490F-B8C1-5E124090084F}"/>
            </a:ext>
          </a:extLst>
        </xdr:cNvPr>
        <xdr:cNvSpPr/>
      </xdr:nvSpPr>
      <xdr:spPr>
        <a:xfrm>
          <a:off x="10372725" y="8105775"/>
          <a:ext cx="57150" cy="18084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201707</xdr:colOff>
      <xdr:row>16</xdr:row>
      <xdr:rowOff>0</xdr:rowOff>
    </xdr:from>
    <xdr:to>
      <xdr:col>16</xdr:col>
      <xdr:colOff>409328</xdr:colOff>
      <xdr:row>46</xdr:row>
      <xdr:rowOff>28115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E4A79E-487A-5E4C-95CA-48BF9117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4383" y="2655794"/>
          <a:ext cx="6258798" cy="47345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3" t="s">
        <v>1134</v>
      </c>
      <c r="C4" s="533"/>
      <c r="D4" s="533"/>
      <c r="E4" s="533"/>
      <c r="F4" s="533"/>
      <c r="G4" s="533"/>
      <c r="H4" s="53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4" t="s">
        <v>0</v>
      </c>
      <c r="C7" s="534" t="s">
        <v>1</v>
      </c>
      <c r="D7" s="535" t="s">
        <v>42</v>
      </c>
      <c r="E7" s="535" t="s">
        <v>43</v>
      </c>
      <c r="F7" s="535" t="s">
        <v>1135</v>
      </c>
      <c r="G7" s="536" t="s">
        <v>41</v>
      </c>
      <c r="H7" s="532" t="s">
        <v>1042</v>
      </c>
      <c r="I7" s="532" t="s">
        <v>1137</v>
      </c>
      <c r="J7" s="532" t="s">
        <v>1026</v>
      </c>
      <c r="K7" s="526" t="s">
        <v>1024</v>
      </c>
      <c r="L7" s="527"/>
    </row>
    <row r="8" spans="1:12" ht="15" customHeight="1">
      <c r="B8" s="534"/>
      <c r="C8" s="534"/>
      <c r="D8" s="535"/>
      <c r="E8" s="535"/>
      <c r="F8" s="535"/>
      <c r="G8" s="536"/>
      <c r="H8" s="532"/>
      <c r="I8" s="532"/>
      <c r="J8" s="532"/>
      <c r="K8" s="528"/>
      <c r="L8" s="529"/>
    </row>
    <row r="9" spans="1:12" ht="15" customHeight="1">
      <c r="B9" s="534"/>
      <c r="C9" s="534"/>
      <c r="D9" s="535"/>
      <c r="E9" s="535"/>
      <c r="F9" s="535"/>
      <c r="G9" s="536"/>
      <c r="H9" s="532"/>
      <c r="I9" s="532"/>
      <c r="J9" s="532"/>
      <c r="K9" s="530"/>
      <c r="L9" s="53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3x35+1x35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60</v>
      </c>
      <c r="G19" s="41">
        <f ca="1">IF(ISERROR(OFFSET('HARGA SATUAN'!$I$6,MATCH(C19,'HARGA SATUAN'!$C$7:$C$1492,0),0)),"",OFFSET('HARGA SATUAN'!$I$6,MATCH(C19,'HARGA SATUAN'!$C$7:$C$1492,0),0))</f>
        <v>30400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 4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10</v>
      </c>
      <c r="G21" s="41">
        <f ca="1">IF(ISERROR(OFFSET('HARGA SATUAN'!$I$6,MATCH(C21,'HARGA SATUAN'!$C$7:$C$1492,0),0)),"",OFFSET('HARGA SATUAN'!$I$6,MATCH(C21,'HARGA SATUAN'!$C$7:$C$1492,0),0))</f>
        <v>13500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SUMIFS(RAB!$F$14:$F$142,RAB!$C$14:$C$142,C714)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SUMIFS(RAB!$F$14:$F$142,RAB!$C$14:$C$142,C715)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SUMIFS(RAB!$F$14:$F$142,RAB!$C$14:$C$142,C716)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SUMIFS(RAB!$F$14:$F$142,RAB!$C$14:$C$142,C717)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SUMIFS(RAB!$F$14:$F$142,RAB!$C$14:$C$142,C718)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SUMIFS(RAB!$F$14:$F$142,RAB!$C$14:$C$142,C719)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SUMIFS(RAB!$F$14:$F$142,RAB!$C$14:$C$142,C720)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SUMIFS(RAB!$F$14:$F$142,RAB!$C$14:$C$142,C721)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SUMIFS(RAB!$F$14:$F$142,RAB!$C$14:$C$142,C722)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SUMIFS(RAB!$F$14:$F$142,RAB!$C$14:$C$142,C723)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SUMIFS(RAB!$F$14:$F$142,RAB!$C$14:$C$142,C724)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SUMIFS(RAB!$F$14:$F$142,RAB!$C$14:$C$142,C725)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SUMIFS(RAB!$F$14:$F$142,RAB!$C$14:$C$142,C726)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SUMIFS(RAB!$F$14:$F$142,RAB!$C$14:$C$142,C727)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SUMIFS(RAB!$F$14:$F$142,RAB!$C$14:$C$142,C728)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SUMIFS(RAB!$F$14:$F$142,RAB!$C$14:$C$142,C729)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SUMIFS(RAB!$F$14:$F$142,RAB!$C$14:$C$142,C730)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SUMIFS(RAB!$F$14:$F$142,RAB!$C$14:$C$142,C731)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SUMIFS(RAB!$F$14:$F$142,RAB!$C$14:$C$142,C732)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SUMIFS(RAB!$F$14:$F$142,RAB!$C$14:$C$142,C733)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SUMIFS(RAB!$F$14:$F$142,RAB!$C$14:$C$142,C734)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SUMIFS(RAB!$F$14:$F$142,RAB!$C$14:$C$142,C735)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SUMIFS(RAB!$F$14:$F$142,RAB!$C$14:$C$142,C736)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SUMIFS(RAB!$F$14:$F$142,RAB!$C$14:$C$142,C737)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SUMIFS(RAB!$F$14:$F$142,RAB!$C$14:$C$142,C738)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SUMIFS(RAB!$F$14:$F$142,RAB!$C$14:$C$142,C739)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SUMIFS(RAB!$F$14:$F$142,RAB!$C$14:$C$142,C740)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SUMIFS(RAB!$F$14:$F$142,RAB!$C$14:$C$142,C741)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SUMIFS(RAB!$F$14:$F$142,RAB!$C$14:$C$142,C742)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SUMIFS(RAB!$F$14:$F$142,RAB!$C$14:$C$142,C743)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SUMIFS(RAB!$F$14:$F$142,RAB!$C$14:$C$142,C744)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SUMIFS(RAB!$F$14:$F$142,RAB!$C$14:$C$142,C745)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SUMIFS(RAB!$F$14:$F$142,RAB!$C$14:$C$142,C746)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SUMIFS(RAB!$F$14:$F$142,RAB!$C$14:$C$142,C747)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SUMIFS(RAB!$F$14:$F$142,RAB!$C$14:$C$142,C748)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SUMIFS(RAB!$F$14:$F$142,RAB!$C$14:$C$142,C749)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SUMIFS(RAB!$F$14:$F$142,RAB!$C$14:$C$142,C750)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SUMIFS(RAB!$F$14:$F$142,RAB!$C$14:$C$142,C751)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SUMIFS(RAB!$F$14:$F$142,RAB!$C$14:$C$142,C752)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SUMIFS(RAB!$F$14:$F$142,RAB!$C$14:$C$142,C753)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SUMIFS(RAB!$F$14:$F$142,RAB!$C$14:$C$142,C754)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SUMIFS(RAB!$F$14:$F$142,RAB!$C$14:$C$142,C755)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SUMIFS(RAB!$F$14:$F$142,RAB!$C$14:$C$142,C756)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SUMIFS(RAB!$F$14:$F$142,RAB!$C$14:$C$142,C757)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SUMIFS(RAB!$F$14:$F$142,RAB!$C$14:$C$142,C758)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SUMIFS(RAB!$F$14:$F$142,RAB!$C$14:$C$142,C759)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SUMIFS(RAB!$F$14:$F$142,RAB!$C$14:$C$142,C760)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SUMIFS(RAB!$F$14:$F$142,RAB!$C$14:$C$142,C761)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SUMIFS(RAB!$F$14:$F$142,RAB!$C$14:$C$142,C762)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SUMIFS(RAB!$F$14:$F$142,RAB!$C$14:$C$142,C763)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SUMIFS(RAB!$F$14:$F$142,RAB!$C$14:$C$142,C764)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SUMIFS(RAB!$F$14:$F$142,RAB!$C$14:$C$142,C765)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SUMIFS(RAB!$F$14:$F$142,RAB!$C$14:$C$142,C766)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SUMIFS(RAB!$F$14:$F$142,RAB!$C$14:$C$142,C767)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SUMIFS(RAB!$F$14:$F$142,RAB!$C$14:$C$142,C768)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SUMIFS(RAB!$F$14:$F$142,RAB!$C$14:$C$142,C769)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SUMIFS(RAB!$F$14:$F$142,RAB!$C$14:$C$142,C770)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SUMIFS(RAB!$F$14:$F$142,RAB!$C$14:$C$142,C771)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SUMIFS(RAB!$F$14:$F$142,RAB!$C$14:$C$142,C772)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SUMIFS(RAB!$F$14:$F$142,RAB!$C$14:$C$142,C773)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SUMIFS(RAB!$F$14:$F$142,RAB!$C$14:$C$142,C774)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SUMIFS(RAB!$F$14:$F$142,RAB!$C$14:$C$142,C775)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SUMIFS(RAB!$F$14:$F$142,RAB!$C$14:$C$142,C776)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SUMIFS(RAB!$F$14:$F$142,RAB!$C$14:$C$142,C777)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SUMIFS(RAB!$F$14:$F$142,RAB!$C$14:$C$142,C778)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SUMIFS(RAB!$F$14:$F$142,RAB!$C$14:$C$142,C779)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SUMIFS(RAB!$F$14:$F$142,RAB!$C$14:$C$142,C780)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SUMIFS(RAB!$F$14:$F$142,RAB!$C$14:$C$142,C781)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SUMIFS(RAB!$F$14:$F$142,RAB!$C$14:$C$142,C782)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SUMIFS(RAB!$F$14:$F$142,RAB!$C$14:$C$142,C783)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SUMIFS(RAB!$F$14:$F$142,RAB!$C$14:$C$142,C784)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SUMIFS(RAB!$F$14:$F$142,RAB!$C$14:$C$142,C785)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SUMIFS(RAB!$F$14:$F$142,RAB!$C$14:$C$142,C786)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SUMIFS(RAB!$F$14:$F$142,RAB!$C$14:$C$142,C787)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SUMIFS(RAB!$F$14:$F$142,RAB!$C$14:$C$142,C788)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SUMIFS(RAB!$F$14:$F$142,RAB!$C$14:$C$142,C789)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SUMIFS(RAB!$F$14:$F$142,RAB!$C$14:$C$142,C790)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SUMIFS(RAB!$F$14:$F$142,RAB!$C$14:$C$142,C791)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SUMIFS(RAB!$F$14:$F$142,RAB!$C$14:$C$142,C792)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SUMIFS(RAB!$F$14:$F$142,RAB!$C$14:$C$142,C793)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SUMIFS(RAB!$F$14:$F$142,RAB!$C$14:$C$142,C794)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SUMIFS(RAB!$F$14:$F$142,RAB!$C$14:$C$142,C795)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SUMIFS(RAB!$F$14:$F$142,RAB!$C$14:$C$142,C796)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SUMIFS(RAB!$F$14:$F$142,RAB!$C$14:$C$142,C797)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SUMIFS(RAB!$F$14:$F$142,RAB!$C$14:$C$142,C798)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SUMIFS(RAB!$F$14:$F$142,RAB!$C$14:$C$142,C799)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SUMIFS(RAB!$F$14:$F$142,RAB!$C$14:$C$142,C800)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SUMIFS(RAB!$F$14:$F$142,RAB!$C$14:$C$142,C801)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SUMIFS(RAB!$F$14:$F$142,RAB!$C$14:$C$142,C802)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SUMIFS(RAB!$F$14:$F$142,RAB!$C$14:$C$142,C803)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SUMIFS(RAB!$F$14:$F$142,RAB!$C$14:$C$142,C804)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SUMIFS(RAB!$F$14:$F$142,RAB!$C$14:$C$142,C805)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SUMIFS(RAB!$F$14:$F$142,RAB!$C$14:$C$142,C806)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SUMIFS(RAB!$F$14:$F$142,RAB!$C$14:$C$142,C807)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SUMIFS(RAB!$F$14:$F$142,RAB!$C$14:$C$142,C808)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SUMIFS(RAB!$F$14:$F$142,RAB!$C$14:$C$142,C809)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SUMIFS(RAB!$F$14:$F$142,RAB!$C$14:$C$142,C810)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SUMIFS(RAB!$F$14:$F$142,RAB!$C$14:$C$142,C811)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SUMIFS(RAB!$F$14:$F$142,RAB!$C$14:$C$142,C812)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SUMIFS(RAB!$F$14:$F$142,RAB!$C$14:$C$142,C813)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SUMIFS(RAB!$F$14:$F$142,RAB!$C$14:$C$142,C814)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SUMIFS(RAB!$F$14:$F$142,RAB!$C$14:$C$142,C815)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SUMIFS(RAB!$F$14:$F$142,RAB!$C$14:$C$142,C816)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SUMIFS(RAB!$F$14:$F$142,RAB!$C$14:$C$142,C817)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SUMIFS(RAB!$F$14:$F$142,RAB!$C$14:$C$142,C818)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SUMIFS(RAB!$F$14:$F$142,RAB!$C$14:$C$142,C819)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SUMIFS(RAB!$F$14:$F$142,RAB!$C$14:$C$142,C820)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SUMIFS(RAB!$F$14:$F$142,RAB!$C$14:$C$142,C821)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SUMIFS(RAB!$F$14:$F$142,RAB!$C$14:$C$142,C822)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SUMIFS(RAB!$F$14:$F$142,RAB!$C$14:$C$142,C823)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SUMIFS(RAB!$F$14:$F$142,RAB!$C$14:$C$142,C824)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SUMIFS(RAB!$F$14:$F$142,RAB!$C$14:$C$142,C825)</f>
        <v>3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SUMIFS(RAB!$F$14:$F$142,RAB!$C$14:$C$142,C826)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SUMIFS(RAB!$F$14:$F$142,RAB!$C$14:$C$142,C827)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SUMIFS(RAB!$F$14:$F$142,RAB!$C$14:$C$142,C828)</f>
        <v>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SUMIFS(RAB!$F$14:$F$142,RAB!$C$14:$C$142,C829)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SUMIFS(RAB!$F$14:$F$142,RAB!$C$14:$C$142,C830)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SUMIFS(RAB!$F$14:$F$142,RAB!$C$14:$C$142,C831)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SUMIFS(RAB!$F$14:$F$142,RAB!$C$14:$C$142,C832)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SUMIFS(RAB!$F$14:$F$142,RAB!$C$14:$C$142,C833)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SUMIFS(RAB!$F$14:$F$142,RAB!$C$14:$C$142,C834)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SUMIFS(RAB!$F$14:$F$142,RAB!$C$14:$C$142,C835)</f>
        <v>60</v>
      </c>
      <c r="E835" s="26">
        <f t="shared" ca="1" si="34"/>
        <v>1</v>
      </c>
      <c r="F835" s="26">
        <f ca="1">IF(D835=0,0,SUM($E$713:E835))</f>
        <v>8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SUMIFS(RAB!$F$14:$F$142,RAB!$C$14:$C$142,C836)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SUMIFS(RAB!$F$14:$F$142,RAB!$C$14:$C$142,C837)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SUMIFS(RAB!$F$14:$F$142,RAB!$C$14:$C$142,C838)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SUMIFS(RAB!$F$14:$F$142,RAB!$C$14:$C$142,C839)</f>
        <v>10</v>
      </c>
      <c r="E839" s="26">
        <f t="shared" ca="1" si="34"/>
        <v>1</v>
      </c>
      <c r="F839" s="26">
        <f ca="1">IF(D839=0,0,SUM($E$713:E839))</f>
        <v>10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SUMIFS(RAB!$F$14:$F$142,RAB!$C$14:$C$142,C840)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SUMIFS(RAB!$F$14:$F$142,RAB!$C$14:$C$142,C841)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SUMIFS(RAB!$F$14:$F$142,RAB!$C$14:$C$142,C842)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SUMIFS(RAB!$F$14:$F$142,RAB!$C$14:$C$142,C843)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SUMIFS(RAB!$F$14:$F$142,RAB!$C$14:$C$142,C844)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SUMIFS(RAB!$F$14:$F$142,RAB!$C$14:$C$142,C845)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SUMIFS(RAB!$F$14:$F$142,RAB!$C$14:$C$142,C846)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SUMIFS(RAB!$F$14:$F$142,RAB!$C$14:$C$142,C847)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SUMIFS(RAB!$F$14:$F$142,RAB!$C$14:$C$142,C848)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SUMIFS(RAB!$F$14:$F$142,RAB!$C$14:$C$142,C849)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SUMIFS(RAB!$F$14:$F$142,RAB!$C$14:$C$142,C850)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SUMIFS(RAB!$F$14:$F$142,RAB!$C$14:$C$142,C851)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SUMIFS(RAB!$F$14:$F$142,RAB!$C$14:$C$142,C852)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SUMIFS(RAB!$F$14:$F$142,RAB!$C$14:$C$142,C853)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SUMIFS(RAB!$F$14:$F$142,RAB!$C$14:$C$142,C854)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SUMIFS(RAB!$F$14:$F$142,RAB!$C$14:$C$142,C855)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SUMIFS(RAB!$F$14:$F$142,RAB!$C$14:$C$142,C856)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SUMIFS(RAB!$F$14:$F$142,RAB!$C$14:$C$142,C857)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SUMIFS(RAB!$F$14:$F$142,RAB!$C$14:$C$142,C858)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SUMIFS(RAB!$F$14:$F$142,RAB!$C$14:$C$142,C859)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SUMIFS(RAB!$F$14:$F$142,RAB!$C$14:$C$142,C860)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SUMIFS(RAB!$F$14:$F$142,RAB!$C$14:$C$142,C861)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SUMIFS(RAB!$F$14:$F$142,RAB!$C$14:$C$142,C862)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SUMIFS(RAB!$F$14:$F$142,RAB!$C$14:$C$142,C863)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SUMIFS(RAB!$F$14:$F$142,RAB!$C$14:$C$142,C864)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SUMIFS(RAB!$F$14:$F$142,RAB!$C$14:$C$142,C865)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SUMIFS(RAB!$F$14:$F$142,RAB!$C$14:$C$142,C866)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SUMIFS(RAB!$F$14:$F$142,RAB!$C$14:$C$142,C867)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SUMIFS(RAB!$F$14:$F$142,RAB!$C$14:$C$142,C868)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SUMIFS(RAB!$F$14:$F$142,RAB!$C$14:$C$142,C869)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SUMIFS(RAB!$F$14:$F$142,RAB!$C$14:$C$142,C870)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SUMIFS(RAB!$F$14:$F$142,RAB!$C$14:$C$142,C871)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SUMIFS(RAB!$F$14:$F$142,RAB!$C$14:$C$142,C872)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SUMIFS(RAB!$F$14:$F$142,RAB!$C$14:$C$142,C873)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SUMIFS(RAB!$F$14:$F$142,RAB!$C$14:$C$142,C874)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SUMIFS(RAB!$F$14:$F$142,RAB!$C$14:$C$142,C875)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SUMIFS(RAB!$F$14:$F$142,RAB!$C$14:$C$142,C876)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SUMIFS(RAB!$F$14:$F$142,RAB!$C$14:$C$142,C877)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SUMIFS(RAB!$F$14:$F$142,RAB!$C$14:$C$142,C878)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SUMIFS(RAB!$F$14:$F$142,RAB!$C$14:$C$142,C879)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SUMIFS(RAB!$F$14:$F$142,RAB!$C$14:$C$142,C880)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SUMIFS(RAB!$F$14:$F$142,RAB!$C$14:$C$142,C881)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SUMIFS(RAB!$F$14:$F$142,RAB!$C$14:$C$142,C882)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SUMIFS(RAB!$F$14:$F$142,RAB!$C$14:$C$142,C883)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SUMIFS(RAB!$F$14:$F$142,RAB!$C$14:$C$142,C884)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SUMIFS(RAB!$F$14:$F$142,RAB!$C$14:$C$142,C885)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SUMIFS(RAB!$F$14:$F$142,RAB!$C$14:$C$142,C886)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SUMIFS(RAB!$F$14:$F$142,RAB!$C$14:$C$142,C887)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SUMIFS(RAB!$F$14:$F$142,RAB!$C$14:$C$142,C888)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SUMIFS(RAB!$F$14:$F$142,RAB!$C$14:$C$142,C889)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SUMIFS(RAB!$F$14:$F$142,RAB!$C$14:$C$142,C890)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SUMIFS(RAB!$F$14:$F$142,RAB!$C$14:$C$142,C891)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SUMIFS(RAB!$F$14:$F$142,RAB!$C$14:$C$142,C892)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SUMIFS(RAB!$F$14:$F$142,RAB!$C$14:$C$142,C893)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SUMIFS(RAB!$F$14:$F$142,RAB!$C$14:$C$142,C894)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SUMIFS(RAB!$F$14:$F$142,RAB!$C$14:$C$142,C895)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SUMIFS(RAB!$F$14:$F$142,RAB!$C$14:$C$142,C896)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SUMIFS(RAB!$F$14:$F$142,RAB!$C$14:$C$142,C897)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SUMIFS(RAB!$F$14:$F$142,RAB!$C$14:$C$142,C898)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SUMIFS(RAB!$F$14:$F$142,RAB!$C$14:$C$142,C899)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SUMIFS(RAB!$F$14:$F$142,RAB!$C$14:$C$142,C900)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SUMIFS(RAB!$F$14:$F$142,RAB!$C$14:$C$142,C901)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SUMIFS(RAB!$F$14:$F$142,RAB!$C$14:$C$142,C902)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SUMIFS(RAB!$F$14:$F$142,RAB!$C$14:$C$142,C903)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SUMIFS(RAB!$F$14:$F$142,RAB!$C$14:$C$142,C904)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SUMIFS(RAB!$F$14:$F$142,RAB!$C$14:$C$142,C905)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SUMIFS(RAB!$F$14:$F$142,RAB!$C$14:$C$142,C906)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SUMIFS(RAB!$F$14:$F$142,RAB!$C$14:$C$142,C907)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SUMIFS(RAB!$F$14:$F$142,RAB!$C$14:$C$142,C908)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SUMIFS(RAB!$F$14:$F$142,RAB!$C$14:$C$142,C909)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SUMIFS(RAB!$F$14:$F$142,RAB!$C$14:$C$142,C910)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SUMIFS(RAB!$F$14:$F$142,RAB!$C$14:$C$142,C911)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SUMIFS(RAB!$F$14:$F$142,RAB!$C$14:$C$142,C912)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SUMIFS(RAB!$F$14:$F$142,RAB!$C$14:$C$142,C913)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SUMIFS(RAB!$F$14:$F$142,RAB!$C$14:$C$142,C914)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SUMIFS(RAB!$F$14:$F$142,RAB!$C$14:$C$142,C915)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SUMIFS(RAB!$F$14:$F$142,RAB!$C$14:$C$142,C916)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SUMIFS(RAB!$F$14:$F$142,RAB!$C$14:$C$142,C917)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SUMIFS(RAB!$F$14:$F$142,RAB!$C$14:$C$142,C918)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SUMIFS(RAB!$F$14:$F$142,RAB!$C$14:$C$142,C919)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SUMIFS(RAB!$F$14:$F$142,RAB!$C$14:$C$142,C920)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SUMIFS(RAB!$F$14:$F$142,RAB!$C$14:$C$142,C921)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SUMIFS(RAB!$F$14:$F$142,RAB!$C$14:$C$142,C922)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SUMIFS(RAB!$F$14:$F$142,RAB!$C$14:$C$142,C923)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SUMIFS(RAB!$F$14:$F$142,RAB!$C$14:$C$142,C924)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SUMIFS(RAB!$F$14:$F$142,RAB!$C$14:$C$142,C925)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SUMIFS(RAB!$F$14:$F$142,RAB!$C$14:$C$142,C926)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SUMIFS(RAB!$F$14:$F$142,RAB!$C$14:$C$142,C927)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SUMIFS(RAB!$F$14:$F$142,RAB!$C$14:$C$142,C928)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SUMIFS(RAB!$F$14:$F$142,RAB!$C$14:$C$142,C929)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SUMIFS(RAB!$F$14:$F$142,RAB!$C$14:$C$142,C930)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SUMIFS(RAB!$F$14:$F$142,RAB!$C$14:$C$142,C931)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SUMIFS(RAB!$F$14:$F$142,RAB!$C$14:$C$142,C932)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SUMIFS(RAB!$F$14:$F$142,RAB!$C$14:$C$142,C933)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SUMIFS(RAB!$F$14:$F$142,RAB!$C$14:$C$142,C934)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SUMIFS(RAB!$F$14:$F$142,RAB!$C$14:$C$142,C935)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SUMIFS(RAB!$F$14:$F$142,RAB!$C$14:$C$142,C936)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SUMIFS(RAB!$F$14:$F$142,RAB!$C$14:$C$142,C937)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SUMIFS(RAB!$F$14:$F$142,RAB!$C$14:$C$142,C938)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SUMIFS(RAB!$F$14:$F$142,RAB!$C$14:$C$142,C939)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SUMIFS(RAB!$F$14:$F$142,RAB!$C$14:$C$142,C940)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SUMIFS(RAB!$F$14:$F$142,RAB!$C$14:$C$142,C941)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SUMIFS(RAB!$F$14:$F$142,RAB!$C$14:$C$142,C942)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SUMIFS(RAB!$F$14:$F$142,RAB!$C$14:$C$142,C943)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SUMIFS(RAB!$F$14:$F$142,RAB!$C$14:$C$142,C944)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SUMIFS(RAB!$F$14:$F$142,RAB!$C$14:$C$142,C945)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SUMIFS(RAB!$F$14:$F$142,RAB!$C$14:$C$142,C946)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SUMIFS(RAB!$F$14:$F$142,RAB!$C$14:$C$142,C947)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SUMIFS(RAB!$F$14:$F$142,RAB!$C$14:$C$142,C948)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SUMIFS(RAB!$F$14:$F$142,RAB!$C$14:$C$142,C949)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SUMIFS(RAB!$F$14:$F$142,RAB!$C$14:$C$142,C950)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SUMIFS(RAB!$F$14:$F$142,RAB!$C$14:$C$142,C951)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SUMIFS(RAB!$F$14:$F$142,RAB!$C$14:$C$142,C952)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SUMIFS(RAB!$F$14:$F$142,RAB!$C$14:$C$142,C953)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SUMIFS(RAB!$F$14:$F$142,RAB!$C$14:$C$142,C954)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SUMIFS(RAB!$F$14:$F$142,RAB!$C$14:$C$142,C955)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SUMIFS(RAB!$F$14:$F$142,RAB!$C$14:$C$142,C956)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SUMIFS(RAB!$F$14:$F$142,RAB!$C$14:$C$142,C957)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SUMIFS(RAB!$F$14:$F$142,RAB!$C$14:$C$142,C958)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SUMIFS(RAB!$F$14:$F$142,RAB!$C$14:$C$142,C959)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SUMIFS(RAB!$F$14:$F$142,RAB!$C$14:$C$142,C960)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SUMIFS(RAB!$F$14:$F$142,RAB!$C$14:$C$142,C961)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SUMIFS(RAB!$F$14:$F$142,RAB!$C$14:$C$142,C962)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SUMIFS(RAB!$F$14:$F$142,RAB!$C$14:$C$142,C963)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SUMIFS(RAB!$F$14:$F$142,RAB!$C$14:$C$142,C964)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SUMIFS(RAB!$F$14:$F$142,RAB!$C$14:$C$142,C965)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SUMIFS(RAB!$F$14:$F$142,RAB!$C$14:$C$142,C966)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SUMIFS(RAB!$F$14:$F$142,RAB!$C$14:$C$142,C967)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SUMIFS(RAB!$F$14:$F$142,RAB!$C$14:$C$142,C968)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SUMIFS(RAB!$F$14:$F$142,RAB!$C$14:$C$142,C969)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SUMIFS(RAB!$F$14:$F$142,RAB!$C$14:$C$142,C970)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SUMIFS(RAB!$F$14:$F$142,RAB!$C$14:$C$142,C971)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SUMIFS(RAB!$F$14:$F$142,RAB!$C$14:$C$142,C972)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SUMIFS(RAB!$F$14:$F$142,RAB!$C$14:$C$142,C973)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SUMIFS(RAB!$F$14:$F$142,RAB!$C$14:$C$142,C974)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SUMIFS(RAB!$F$14:$F$142,RAB!$C$14:$C$142,C975)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SUMIFS(RAB!$F$14:$F$142,RAB!$C$14:$C$142,C976)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SUMIFS(RAB!$F$14:$F$142,RAB!$C$14:$C$142,C977)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SUMIFS(RAB!$F$14:$F$142,RAB!$C$14:$C$142,C978)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SUMIFS(RAB!$F$14:$F$142,RAB!$C$14:$C$142,C979)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SUMIFS(RAB!$F$14:$F$142,RAB!$C$14:$C$142,C980)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SUMIFS(RAB!$F$14:$F$142,RAB!$C$14:$C$142,C981)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SUMIFS(RAB!$F$14:$F$142,RAB!$C$14:$C$142,C982)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SUMIFS(RAB!$F$14:$F$142,RAB!$C$14:$C$142,C983)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SUMIFS(RAB!$F$14:$F$142,RAB!$C$14:$C$142,C984)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SUMIFS(RAB!$F$14:$F$142,RAB!$C$14:$C$142,C985)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SUMIFS(RAB!$F$14:$F$142,RAB!$C$14:$C$142,C986)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SUMIFS(RAB!$F$14:$F$142,RAB!$C$14:$C$142,C987)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SUMIFS(RAB!$F$14:$F$142,RAB!$C$14:$C$142,C988)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SUMIFS(RAB!$F$14:$F$142,RAB!$C$14:$C$142,C989)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SUMIFS(RAB!$F$14:$F$142,RAB!$C$14:$C$142,C990)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SUMIFS(RAB!$F$14:$F$142,RAB!$C$14:$C$142,C991)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SUMIFS(RAB!$F$14:$F$142,RAB!$C$14:$C$142,C992)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SUMIFS(RAB!$F$14:$F$142,RAB!$C$14:$C$142,C993)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SUMIFS(RAB!$F$14:$F$142,RAB!$C$14:$C$142,C994)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SUMIFS(RAB!$F$14:$F$142,RAB!$C$14:$C$142,C995)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SUMIFS(RAB!$F$14:$F$142,RAB!$C$14:$C$142,C996)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SUMIFS(RAB!$F$14:$F$142,RAB!$C$14:$C$142,C997)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SUMIFS(RAB!$F$14:$F$142,RAB!$C$14:$C$142,C998)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SUMIFS(RAB!$F$14:$F$142,RAB!$C$14:$C$142,C999)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SUMIFS(RAB!$F$14:$F$142,RAB!$C$14:$C$142,C1000)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SUMIFS(RAB!$F$14:$F$142,RAB!$C$14:$C$142,C1001)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SUMIFS(RAB!$F$14:$F$142,RAB!$C$14:$C$142,C1002)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SUMIFS(RAB!$F$14:$F$142,RAB!$C$14:$C$142,C1003)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SUMIFS(RAB!$F$14:$F$142,RAB!$C$14:$C$142,C1004)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SUMIFS(RAB!$F$14:$F$142,RAB!$C$14:$C$142,C1005)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SUMIFS(RAB!$F$14:$F$142,RAB!$C$14:$C$142,C1006)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SUMIFS(RAB!$F$14:$F$142,RAB!$C$14:$C$142,C1007)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SUMIFS(RAB!$F$14:$F$142,RAB!$C$14:$C$142,C1008)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SUMIFS(RAB!$F$14:$F$142,RAB!$C$14:$C$142,C1009)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SUMIFS(RAB!$F$14:$F$142,RAB!$C$14:$C$142,C1010)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SUMIFS(RAB!$F$14:$F$142,RAB!$C$14:$C$142,C1011)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SUMIFS(RAB!$F$14:$F$142,RAB!$C$14:$C$142,C1012)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SUMIFS(RAB!$F$14:$F$142,RAB!$C$14:$C$142,C1013)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SUMIFS(RAB!$F$14:$F$142,RAB!$C$14:$C$142,C1014)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SUMIFS(RAB!$F$14:$F$142,RAB!$C$14:$C$142,C1015)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SUMIFS(RAB!$F$14:$F$142,RAB!$C$14:$C$142,C1016)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SUMIFS(RAB!$F$14:$F$142,RAB!$C$14:$C$142,C1017)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SUMIFS(RAB!$F$14:$F$142,RAB!$C$14:$C$142,C1018)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SUMIFS(RAB!$F$14:$F$142,RAB!$C$14:$C$142,C1019)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SUMIFS(RAB!$F$14:$F$142,RAB!$C$14:$C$142,C1020)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SUMIFS(RAB!$F$14:$F$142,RAB!$C$14:$C$142,C1021)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SUMIFS(RAB!$F$14:$F$142,RAB!$C$14:$C$142,C1022)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SUMIFS(RAB!$F$14:$F$142,RAB!$C$14:$C$142,C1023)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SUMIFS(RAB!$F$14:$F$142,RAB!$C$14:$C$142,C1024)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SUMIFS(RAB!$F$14:$F$142,RAB!$C$14:$C$142,C1025)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SUMIFS(RAB!$F$14:$F$142,RAB!$C$14:$C$142,C1026)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SUMIFS(RAB!$F$14:$F$142,RAB!$C$14:$C$142,C1027)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SUMIFS(RAB!$F$14:$F$142,RAB!$C$14:$C$142,C1028)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SUMIFS(RAB!$F$14:$F$142,RAB!$C$14:$C$142,C1029)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SUMIFS(RAB!$F$14:$F$142,RAB!$C$14:$C$142,C1030)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SUMIFS(RAB!$F$14:$F$142,RAB!$C$14:$C$142,C1031)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SUMIFS(RAB!$F$14:$F$142,RAB!$C$14:$C$142,C1032)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SUMIFS(RAB!$F$14:$F$142,RAB!$C$14:$C$142,C1033)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SUMIFS(RAB!$F$14:$F$142,RAB!$C$14:$C$142,C1034)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SUMIFS(RAB!$F$14:$F$142,RAB!$C$14:$C$142,C1035)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SUMIFS(RAB!$F$14:$F$142,RAB!$C$14:$C$142,C1036)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SUMIFS(RAB!$F$14:$F$142,RAB!$C$14:$C$142,C1037)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SUMIFS(RAB!$F$14:$F$142,RAB!$C$14:$C$142,C1038)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SUMIFS(RAB!$F$14:$F$142,RAB!$C$14:$C$142,C1039)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SUMIFS(RAB!$F$14:$F$142,RAB!$C$14:$C$142,C1040)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SUMIFS(RAB!$F$14:$F$142,RAB!$C$14:$C$142,C1041)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SUMIFS(RAB!$F$14:$F$142,RAB!$C$14:$C$142,C1042)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SUMIFS(RAB!$F$14:$F$142,RAB!$C$14:$C$142,C1043)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SUMIFS(RAB!$F$14:$F$142,RAB!$C$14:$C$142,C1044)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SUMIFS(RAB!$F$14:$F$142,RAB!$C$14:$C$142,C1045)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SUMIFS(RAB!$F$14:$F$142,RAB!$C$14:$C$142,C1046)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SUMIFS(RAB!$F$14:$F$142,RAB!$C$14:$C$142,C1047)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SUMIFS(RAB!$F$14:$F$142,RAB!$C$14:$C$142,C1048)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SUMIFS(RAB!$F$14:$F$142,RAB!$C$14:$C$142,C1049)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SUMIFS(RAB!$F$14:$F$142,RAB!$C$14:$C$142,C1050)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SUMIFS(RAB!$F$14:$F$142,RAB!$C$14:$C$142,C1051)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SUMIFS(RAB!$F$14:$F$142,RAB!$C$14:$C$142,C1052)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SUMIFS(RAB!$F$14:$F$142,RAB!$C$14:$C$142,C1053)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SUMIFS(RAB!$F$14:$F$142,RAB!$C$14:$C$142,C1054)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SUMIFS(RAB!$F$14:$F$142,RAB!$C$14:$C$142,C1055)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SUMIFS(RAB!$F$14:$F$142,RAB!$C$14:$C$142,C1056)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SUMIFS(RAB!$F$14:$F$142,RAB!$C$14:$C$142,C1057)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SUMIFS(RAB!$F$14:$F$142,RAB!$C$14:$C$142,C1058)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SUMIFS(RAB!$F$14:$F$142,RAB!$C$14:$C$142,C1059)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SUMIFS(RAB!$F$14:$F$142,RAB!$C$14:$C$142,C1060)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SUMIFS(RAB!$F$14:$F$142,RAB!$C$14:$C$142,C1061)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SUMIFS(RAB!$F$14:$F$142,RAB!$C$14:$C$142,C1062)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SUMIFS(RAB!$F$14:$F$142,RAB!$C$14:$C$142,C1063)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SUMIFS(RAB!$F$14:$F$142,RAB!$C$14:$C$142,C1064)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SUMIFS(RAB!$F$14:$F$142,RAB!$C$14:$C$142,C1065)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SUMIFS(RAB!$F$14:$F$142,RAB!$C$14:$C$142,C1066)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SUMIFS(RAB!$F$14:$F$142,RAB!$C$14:$C$142,C1067)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SUMIFS(RAB!$F$14:$F$142,RAB!$C$14:$C$142,C1068)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SUMIFS(RAB!$F$14:$F$142,RAB!$C$14:$C$142,C1069)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SUMIFS(RAB!$F$14:$F$142,RAB!$C$14:$C$142,C1070)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SUMIFS(RAB!$F$14:$F$142,RAB!$C$14:$C$142,C1071)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SUMIFS(RAB!$F$14:$F$142,RAB!$C$14:$C$142,C1072)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SUMIFS(RAB!$F$14:$F$142,RAB!$C$14:$C$142,C1073)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SUMIFS(RAB!$F$14:$F$142,RAB!$C$14:$C$142,C1074)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SUMIFS(RAB!$F$14:$F$142,RAB!$C$14:$C$142,C1075)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SUMIFS(RAB!$F$14:$F$142,RAB!$C$14:$C$142,C1076)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SUMIFS(RAB!$F$14:$F$142,RAB!$C$14:$C$142,C1077)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SUMIFS(RAB!$F$14:$F$142,RAB!$C$14:$C$142,C1078)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SUMIFS(RAB!$F$14:$F$142,RAB!$C$14:$C$142,C1079)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SUMIFS(RAB!$F$14:$F$142,RAB!$C$14:$C$142,C1080)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SUMIFS(RAB!$F$14:$F$142,RAB!$C$14:$C$142,C1081)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SUMIFS(RAB!$F$14:$F$142,RAB!$C$14:$C$142,C1082)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SUMIFS(RAB!$F$14:$F$142,RAB!$C$14:$C$142,C1083)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SUMIFS(RAB!$F$14:$F$142,RAB!$C$14:$C$142,C1084)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SUMIFS(RAB!$F$14:$F$142,RAB!$C$14:$C$142,C1085)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SUMIFS(RAB!$F$14:$F$142,RAB!$C$14:$C$142,C1086)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SUMIFS(RAB!$F$14:$F$142,RAB!$C$14:$C$142,C1087)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SUMIFS(RAB!$F$14:$F$142,RAB!$C$14:$C$142,C1088)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SUMIFS(RAB!$F$14:$F$142,RAB!$C$14:$C$142,C1089)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SUMIFS(RAB!$F$14:$F$142,RAB!$C$14:$C$142,C1090)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SUMIFS(RAB!$F$14:$F$142,RAB!$C$14:$C$142,C1091)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SUMIFS(RAB!$F$14:$F$142,RAB!$C$14:$C$142,C1092)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SUMIFS(RAB!$F$14:$F$142,RAB!$C$14:$C$142,C1093)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SUMIFS(RAB!$F$14:$F$142,RAB!$C$14:$C$142,C1094)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SUMIFS(RAB!$F$14:$F$142,RAB!$C$14:$C$142,C1095)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SUMIFS(RAB!$F$14:$F$142,RAB!$C$14:$C$142,C1096)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SUMIFS(RAB!$F$14:$F$142,RAB!$C$14:$C$142,C1097)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SUMIFS(RAB!$F$14:$F$142,RAB!$C$14:$C$142,C1098)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SUMIFS(RAB!$F$14:$F$142,RAB!$C$14:$C$142,C1099)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SUMIFS(RAB!$F$14:$F$142,RAB!$C$14:$C$142,C1100)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SUMIFS(RAB!$F$14:$F$142,RAB!$C$14:$C$142,C1101)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SUMIFS(RAB!$F$14:$F$142,RAB!$C$14:$C$142,C1102)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SUMIFS(RAB!$F$14:$F$142,RAB!$C$14:$C$142,C1103)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SUMIFS(RAB!$F$14:$F$142,RAB!$C$14:$C$142,C1104)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SUMIFS(RAB!$F$14:$F$142,RAB!$C$14:$C$142,C1105)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SUMIFS(RAB!$F$14:$F$142,RAB!$C$14:$C$142,C1106)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SUMIFS(RAB!$F$14:$F$142,RAB!$C$14:$C$142,C1107)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SUMIFS(RAB!$F$14:$F$142,RAB!$C$14:$C$142,C1108)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SUMIFS(RAB!$F$14:$F$142,RAB!$C$14:$C$142,C1109)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SUMIFS(RAB!$F$14:$F$142,RAB!$C$14:$C$142,C1110)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SUMIFS(RAB!$F$14:$F$142,RAB!$C$14:$C$142,C1111)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SUMIFS(RAB!$F$14:$F$142,RAB!$C$14:$C$142,C1112)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SUMIFS(RAB!$F$14:$F$142,RAB!$C$14:$C$142,C1113)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SUMIFS(RAB!$F$14:$F$142,RAB!$C$14:$C$142,C1114)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SUMIFS(RAB!$F$14:$F$142,RAB!$C$14:$C$142,C1115)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SUMIFS(RAB!$F$14:$F$142,RAB!$C$14:$C$142,C1116)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SUMIFS(RAB!$F$14:$F$142,RAB!$C$14:$C$142,C1117)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SUMIFS(RAB!$F$14:$F$142,RAB!$C$14:$C$142,C1118)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SUMIFS(RAB!$F$14:$F$142,RAB!$C$14:$C$142,C1119)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SUMIFS(RAB!$F$14:$F$142,RAB!$C$14:$C$142,C1120)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SUMIFS(RAB!$F$14:$F$142,RAB!$C$14:$C$142,C1121)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SUMIFS(RAB!$F$14:$F$142,RAB!$C$14:$C$142,C1122)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SUMIFS(RAB!$F$14:$F$142,RAB!$C$14:$C$142,C1123)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SUMIFS(RAB!$F$14:$F$142,RAB!$C$14:$C$142,C1124)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SUMIFS(RAB!$F$14:$F$142,RAB!$C$14:$C$142,C1125)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SUMIFS(RAB!$F$14:$F$142,RAB!$C$14:$C$142,C1126)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SUMIFS(RAB!$F$14:$F$142,RAB!$C$14:$C$142,C1127)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SUMIFS(RAB!$F$14:$F$142,RAB!$C$14:$C$142,C1128)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SUMIFS(RAB!$F$14:$F$142,RAB!$C$14:$C$142,C1129)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SUMIFS(RAB!$F$14:$F$142,RAB!$C$14:$C$142,C1130)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SUMIFS(RAB!$F$14:$F$142,RAB!$C$14:$C$142,C1131)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SUMIFS(RAB!$F$14:$F$142,RAB!$C$14:$C$142,C1132)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SUMIFS(RAB!$F$14:$F$142,RAB!$C$14:$C$142,C1133)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SUMIFS(RAB!$F$14:$F$142,RAB!$C$14:$C$142,C1134)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SUMIFS(RAB!$F$14:$F$142,RAB!$C$14:$C$142,C1135)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SUMIFS(RAB!$F$14:$F$142,RAB!$C$14:$C$142,C1136)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SUMIFS(RAB!$F$14:$F$142,RAB!$C$14:$C$142,C1137)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SUMIFS(RAB!$F$14:$F$142,RAB!$C$14:$C$142,C1138)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SUMIFS(RAB!$F$14:$F$142,RAB!$C$14:$C$142,C1139)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SUMIFS(RAB!$F$14:$F$142,RAB!$C$14:$C$142,C1140)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SUMIFS(RAB!$F$14:$F$142,RAB!$C$14:$C$142,C1141)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SUMIFS(RAB!$F$14:$F$142,RAB!$C$14:$C$142,C1142)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SUMIFS(RAB!$F$14:$F$142,RAB!$C$14:$C$142,C1143)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SUMIFS(RAB!$F$14:$F$142,RAB!$C$14:$C$142,C1144)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SUMIFS(RAB!$F$14:$F$142,RAB!$C$14:$C$142,C1145)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SUMIFS(RAB!$F$14:$F$142,RAB!$C$14:$C$142,C1146)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SUMIFS(RAB!$F$14:$F$142,RAB!$C$14:$C$142,C1147)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SUMIFS(RAB!$F$14:$F$142,RAB!$C$14:$C$142,C1148)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SUMIFS(RAB!$F$14:$F$142,RAB!$C$14:$C$142,C1149)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SUMIFS(RAB!$F$14:$F$142,RAB!$C$14:$C$142,C1150)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SUMIFS(RAB!$F$14:$F$142,RAB!$C$14:$C$142,C1151)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SUMIFS(RAB!$F$14:$F$142,RAB!$C$14:$C$142,C1152)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SUMIFS(RAB!$F$14:$F$142,RAB!$C$14:$C$142,C1153)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SUMIFS(RAB!$F$14:$F$142,RAB!$C$14:$C$142,C1154)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SUMIFS(RAB!$F$14:$F$142,RAB!$C$14:$C$142,C1155)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SUMIFS(RAB!$F$14:$F$142,RAB!$C$14:$C$142,C1156)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SUMIFS(RAB!$F$14:$F$142,RAB!$C$14:$C$142,C1157)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SUMIFS(RAB!$F$14:$F$142,RAB!$C$14:$C$142,C1158)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SUMIFS(RAB!$F$14:$F$142,RAB!$C$14:$C$142,C1159)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SUMIFS(RAB!$F$14:$F$142,RAB!$C$14:$C$142,C1160)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SUMIFS(RAB!$F$14:$F$142,RAB!$C$14:$C$142,C1161)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SUMIFS(RAB!$F$14:$F$142,RAB!$C$14:$C$142,C1162)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SUMIFS(RAB!$F$14:$F$142,RAB!$C$14:$C$142,C1163)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SUMIFS(RAB!$F$14:$F$142,RAB!$C$14:$C$142,C1164)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SUMIFS(RAB!$F$14:$F$142,RAB!$C$14:$C$142,C1165)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SUMIFS(RAB!$F$14:$F$142,RAB!$C$14:$C$142,C1166)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SUMIFS(RAB!$F$14:$F$142,RAB!$C$14:$C$142,C1167)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SUMIFS(RAB!$F$14:$F$142,RAB!$C$14:$C$142,C1168)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SUMIFS(RAB!$F$14:$F$142,RAB!$C$14:$C$142,C1169)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SUMIFS(RAB!$F$14:$F$142,RAB!$C$14:$C$142,C1170)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SUMIFS(RAB!$F$14:$F$142,RAB!$C$14:$C$142,C1171)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SUMIFS(RAB!$F$14:$F$142,RAB!$C$14:$C$142,C1172)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SUMIFS(RAB!$F$14:$F$142,RAB!$C$14:$C$142,C1173)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SUMIFS(RAB!$F$14:$F$142,RAB!$C$14:$C$142,C1174)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SUMIFS(RAB!$F$14:$F$142,RAB!$C$14:$C$142,C1175)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SUMIFS(RAB!$F$14:$F$142,RAB!$C$14:$C$142,C1176)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SUMIFS(RAB!$F$14:$F$142,RAB!$C$14:$C$142,C1177)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SUMIFS(RAB!$F$14:$F$142,RAB!$C$14:$C$142,C1178)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SUMIFS(RAB!$F$14:$F$142,RAB!$C$14:$C$142,C1179)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SUMIFS(RAB!$F$14:$F$142,RAB!$C$14:$C$142,C1180)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SUMIFS(RAB!$F$14:$F$142,RAB!$C$14:$C$142,C1181)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SUMIFS(RAB!$F$14:$F$142,RAB!$C$14:$C$142,C1182)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SUMIFS(RAB!$F$14:$F$142,RAB!$C$14:$C$142,C1183)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SUMIFS(RAB!$F$14:$F$142,RAB!$C$14:$C$142,C1184)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SUMIFS(RAB!$F$14:$F$142,RAB!$C$14:$C$142,C1185)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SUMIFS(RAB!$F$14:$F$142,RAB!$C$14:$C$142,C1186)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SUMIFS(RAB!$F$14:$F$142,RAB!$C$14:$C$142,C1187)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SUMIFS(RAB!$F$14:$F$142,RAB!$C$14:$C$142,C1188)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SUMIFS(RAB!$F$14:$F$142,RAB!$C$14:$C$142,C1189)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SUMIFS(RAB!$F$14:$F$142,RAB!$C$14:$C$142,C1190)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SUMIFS(RAB!$F$14:$F$142,RAB!$C$14:$C$142,C1191)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SUMIFS(RAB!$F$14:$F$142,RAB!$C$14:$C$142,C1192)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SUMIFS(RAB!$F$14:$F$142,RAB!$C$14:$C$142,C1193)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SUMIFS(RAB!$F$14:$F$142,RAB!$C$14:$C$142,C1194)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SUMIFS(RAB!$F$14:$F$142,RAB!$C$14:$C$142,C1195)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SUMIFS(RAB!$F$14:$F$142,RAB!$C$14:$C$142,C1196)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SUMIFS(RAB!$F$14:$F$142,RAB!$C$14:$C$142,C1197)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SUMIFS(RAB!$F$14:$F$142,RAB!$C$14:$C$142,C1198)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SUMIFS(RAB!$F$14:$F$142,RAB!$C$14:$C$142,C1199)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SUMIFS(RAB!$F$14:$F$142,RAB!$C$14:$C$142,C1200)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SUMIFS(RAB!$F$14:$F$142,RAB!$C$14:$C$142,C1201)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SUMIFS(RAB!$F$14:$F$142,RAB!$C$14:$C$142,C1202)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SUMIFS(RAB!$F$14:$F$142,RAB!$C$14:$C$142,C1203)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SUMIFS(RAB!$F$14:$F$142,RAB!$C$14:$C$142,C1204)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SUMIFS(RAB!$F$14:$F$142,RAB!$C$14:$C$142,C1205)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SUMIFS(RAB!$F$14:$F$142,RAB!$C$14:$C$142,C1206)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SUMIFS(RAB!$F$14:$F$142,RAB!$C$14:$C$142,C1207)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SUMIFS(RAB!$F$14:$F$142,RAB!$C$14:$C$142,C1208)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SUMIFS(RAB!$F$14:$F$142,RAB!$C$14:$C$142,C1209)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SUMIFS(RAB!$F$14:$F$142,RAB!$C$14:$C$142,C1210)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SUMIFS(RAB!$F$14:$F$142,RAB!$C$14:$C$142,C1211)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SUMIFS(RAB!$F$14:$F$142,RAB!$C$14:$C$142,C1212)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SUMIFS(RAB!$F$14:$F$142,RAB!$C$14:$C$142,C1213)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SUMIFS(RAB!$F$14:$F$142,RAB!$C$14:$C$142,C1214)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SUMIFS(RAB!$F$14:$F$142,RAB!$C$14:$C$142,C1215)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SUMIFS(RAB!$F$14:$F$142,RAB!$C$14:$C$142,C1216)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SUMIFS(RAB!$F$14:$F$142,RAB!$C$14:$C$142,C1217)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SUMIFS(RAB!$F$14:$F$142,RAB!$C$14:$C$142,C1218)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SUMIFS(RAB!$F$14:$F$142,RAB!$C$14:$C$142,C1219)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SUMIFS(RAB!$F$14:$F$142,RAB!$C$14:$C$142,C1220)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SUMIFS(RAB!$F$14:$F$142,RAB!$C$14:$C$142,C1221)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SUMIFS(RAB!$F$14:$F$142,RAB!$C$14:$C$142,C1222)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SUMIFS(RAB!$F$14:$F$142,RAB!$C$14:$C$142,C1223)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SUMIFS(RAB!$F$14:$F$142,RAB!$C$14:$C$142,C1224)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SUMIFS(RAB!$F$14:$F$142,RAB!$C$14:$C$142,C1225)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SUMIFS(RAB!$F$14:$F$142,RAB!$C$14:$C$142,C1226)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SUMIFS(RAB!$F$14:$F$142,RAB!$C$14:$C$142,C1227)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SUMIFS(RAB!$F$14:$F$142,RAB!$C$14:$C$142,C1228)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SUMIFS(RAB!$F$14:$F$142,RAB!$C$14:$C$142,C1229)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SUMIFS(RAB!$F$14:$F$142,RAB!$C$14:$C$142,C1230)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SUMIFS(RAB!$F$14:$F$142,RAB!$C$14:$C$142,C1231)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SUMIFS(RAB!$F$14:$F$142,RAB!$C$14:$C$142,C1232)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SUMIFS(RAB!$F$14:$F$142,RAB!$C$14:$C$142,C1233)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SUMIFS(RAB!$F$14:$F$142,RAB!$C$14:$C$142,C1234)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SUMIFS(RAB!$F$14:$F$142,RAB!$C$14:$C$142,C1235)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SUMIFS(RAB!$F$14:$F$142,RAB!$C$14:$C$142,C1236)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SUMIFS(RAB!$F$14:$F$142,RAB!$C$14:$C$142,C1237)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SUMIFS(RAB!$F$14:$F$142,RAB!$C$14:$C$142,C1238)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SUMIFS(RAB!$F$14:$F$142,RAB!$C$14:$C$142,C1239)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SUMIFS(RAB!$F$14:$F$142,RAB!$C$14:$C$142,C1240)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SUMIFS(RAB!$F$14:$F$142,RAB!$C$14:$C$142,C1241)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SUMIFS(RAB!$F$14:$F$142,RAB!$C$14:$C$142,C1242)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SUMIFS(RAB!$F$14:$F$142,RAB!$C$14:$C$142,C1243)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SUMIFS(RAB!$F$14:$F$142,RAB!$C$14:$C$142,C1244)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SUMIFS(RAB!$F$14:$F$142,RAB!$C$14:$C$142,C1245)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SUMIFS(RAB!$F$14:$F$142,RAB!$C$14:$C$142,C1246)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SUMIFS(RAB!$F$14:$F$142,RAB!$C$14:$C$142,C1247)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SUMIFS(RAB!$F$14:$F$142,RAB!$C$14:$C$142,C1248)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SUMIFS(RAB!$F$14:$F$142,RAB!$C$14:$C$142,C1249)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SUMIFS(RAB!$F$14:$F$142,RAB!$C$14:$C$142,C1250)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SUMIFS(RAB!$F$14:$F$142,RAB!$C$14:$C$142,C1251)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SUMIFS(RAB!$F$14:$F$142,RAB!$C$14:$C$142,C1252)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SUMIFS(RAB!$F$14:$F$142,RAB!$C$14:$C$142,C1253)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SUMIFS(RAB!$F$14:$F$142,RAB!$C$14:$C$142,C1254)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SUMIFS(RAB!$F$14:$F$142,RAB!$C$14:$C$142,C1255)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SUMIFS(RAB!$F$14:$F$142,RAB!$C$14:$C$142,C1256)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SUMIFS(RAB!$F$14:$F$142,RAB!$C$14:$C$142,C1257)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SUMIFS(RAB!$F$14:$F$142,RAB!$C$14:$C$142,C1258)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SUMIFS(RAB!$F$14:$F$142,RAB!$C$14:$C$142,C1259)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SUMIFS(RAB!$F$14:$F$142,RAB!$C$14:$C$142,C1260)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SUMIFS(RAB!$F$14:$F$142,RAB!$C$14:$C$142,C1261)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SUMIFS(RAB!$F$14:$F$142,RAB!$C$14:$C$142,C1262)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SUMIFS(RAB!$F$14:$F$142,RAB!$C$14:$C$142,C1263)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SUMIFS(RAB!$F$14:$F$142,RAB!$C$14:$C$142,C1264)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SUMIFS(RAB!$F$14:$F$142,RAB!$C$14:$C$142,C1265)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SUMIFS(RAB!$F$14:$F$142,RAB!$C$14:$C$142,C1266)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SUMIFS(RAB!$F$14:$F$142,RAB!$C$14:$C$142,C1267)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SUMIFS(RAB!$F$14:$F$142,RAB!$C$14:$C$142,C1268)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SUMIFS(RAB!$F$14:$F$142,RAB!$C$14:$C$142,C1269)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SUMIFS(RAB!$F$14:$F$142,RAB!$C$14:$C$142,C1270)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SUMIFS(RAB!$F$14:$F$142,RAB!$C$14:$C$142,C1271)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SUMIFS(RAB!$F$14:$F$142,RAB!$C$14:$C$142,C1272)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SUMIFS(RAB!$F$14:$F$142,RAB!$C$14:$C$142,C1273)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SUMIFS(RAB!$F$14:$F$142,RAB!$C$14:$C$142,C1274)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SUMIFS(RAB!$F$14:$F$142,RAB!$C$14:$C$142,C1275)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SUMIFS(RAB!$F$14:$F$142,RAB!$C$14:$C$142,C1276)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SUMIFS(RAB!$F$14:$F$142,RAB!$C$14:$C$142,C1277)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SUMIFS(RAB!$F$14:$F$142,RAB!$C$14:$C$142,C1278)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SUMIFS(RAB!$F$14:$F$142,RAB!$C$14:$C$142,C1279)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SUMIFS(RAB!$F$14:$F$142,RAB!$C$14:$C$142,C1280)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SUMIFS(RAB!$F$14:$F$142,RAB!$C$14:$C$142,C1281)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SUMIFS(RAB!$F$14:$F$142,RAB!$C$14:$C$142,C1282)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SUMIFS(RAB!$F$14:$F$142,RAB!$C$14:$C$142,C1283)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SUMIFS(RAB!$F$14:$F$142,RAB!$C$14:$C$142,C1284)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SUMIFS(RAB!$F$14:$F$142,RAB!$C$14:$C$142,C1285)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SUMIFS(RAB!$F$14:$F$142,RAB!$C$14:$C$142,C1286)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SUMIFS(RAB!$F$14:$F$142,RAB!$C$14:$C$142,C1287)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SUMIFS(RAB!$F$14:$F$142,RAB!$C$14:$C$142,C1288)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SUMIFS(RAB!$F$14:$F$142,RAB!$C$14:$C$142,C1289)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SUMIFS(RAB!$F$14:$F$142,RAB!$C$14:$C$142,C1290)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SUMIFS(RAB!$F$14:$F$142,RAB!$C$14:$C$142,C1291)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SUMIFS(RAB!$F$14:$F$142,RAB!$C$14:$C$142,C1292)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SUMIFS(RAB!$F$14:$F$142,RAB!$C$14:$C$142,C1293)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SUMIFS(RAB!$F$14:$F$142,RAB!$C$14:$C$142,C1294)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SUMIFS(RAB!$F$14:$F$142,RAB!$C$14:$C$142,C1295)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SUMIFS(RAB!$F$14:$F$142,RAB!$C$14:$C$142,C1296)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SUMIFS(RAB!$F$14:$F$142,RAB!$C$14:$C$142,C1297)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SUMIFS(RAB!$F$14:$F$142,RAB!$C$14:$C$142,C1298)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SUMIFS(RAB!$F$14:$F$142,RAB!$C$14:$C$142,C1299)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SUMIFS(RAB!$F$14:$F$142,RAB!$C$14:$C$142,C1300)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SUMIFS(RAB!$F$14:$F$142,RAB!$C$14:$C$142,C1301)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SUMIFS(RAB!$F$14:$F$142,RAB!$C$14:$C$142,C1302)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SUMIFS(RAB!$F$14:$F$142,RAB!$C$14:$C$142,C1303)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SUMIFS(RAB!$F$14:$F$142,RAB!$C$14:$C$142,C1304)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SUMIFS(RAB!$F$14:$F$142,RAB!$C$14:$C$142,C1305)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SUMIFS(RAB!$F$14:$F$142,RAB!$C$14:$C$142,C1306)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SUMIFS(RAB!$F$14:$F$142,RAB!$C$14:$C$142,C1307)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SUMIFS(RAB!$F$14:$F$142,RAB!$C$14:$C$142,C1308)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SUMIFS(RAB!$F$14:$F$142,RAB!$C$14:$C$142,C1309)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SUMIFS(RAB!$F$14:$F$142,RAB!$C$14:$C$142,C1310)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SUMIFS(RAB!$F$14:$F$142,RAB!$C$14:$C$142,C1311)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SUMIFS(RAB!$F$14:$F$142,RAB!$C$14:$C$142,C1312)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SUMIFS(RAB!$F$14:$F$142,RAB!$C$14:$C$142,C1313)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SUMIFS(RAB!$F$14:$F$142,RAB!$C$14:$C$142,C1314)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SUMIFS(RAB!$F$14:$F$142,RAB!$C$14:$C$142,C1315)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SUMIFS(RAB!$F$14:$F$142,RAB!$C$14:$C$142,C1316)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SUMIFS(RAB!$F$14:$F$142,RAB!$C$14:$C$142,C1317)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SUMIFS(RAB!$F$14:$F$142,RAB!$C$14:$C$142,C1318)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SUMIFS(RAB!$F$14:$F$142,RAB!$C$14:$C$142,C1319)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SUMIFS(RAB!$F$14:$F$142,RAB!$C$14:$C$142,C1320)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1127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1" t="str">
        <f>RAB!G6</f>
        <v>SMP GAJAH</v>
      </c>
      <c r="H6" s="561"/>
      <c r="I6" s="561"/>
      <c r="J6" s="561"/>
      <c r="K6" s="56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GAJAH,KEC GAJAH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5" t="s">
        <v>41</v>
      </c>
      <c r="H11" s="543" t="s">
        <v>3</v>
      </c>
      <c r="I11" s="543"/>
      <c r="J11" s="543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44"/>
      <c r="E12" s="544"/>
      <c r="F12" s="544"/>
      <c r="G12" s="546"/>
      <c r="H12" s="552" t="s">
        <v>46</v>
      </c>
      <c r="I12" s="552" t="s">
        <v>5</v>
      </c>
      <c r="J12" s="544" t="s">
        <v>47</v>
      </c>
      <c r="K12" s="55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44"/>
      <c r="E13" s="544"/>
      <c r="F13" s="544"/>
      <c r="G13" s="547"/>
      <c r="H13" s="553"/>
      <c r="I13" s="553"/>
      <c r="J13" s="544"/>
      <c r="K13" s="55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2" t="s">
        <v>1008</v>
      </c>
      <c r="D38" s="562"/>
      <c r="E38" s="562"/>
      <c r="F38" s="562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63" t="s">
        <v>462</v>
      </c>
      <c r="D39" s="563"/>
      <c r="E39" s="563"/>
      <c r="F39" s="563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4" t="s">
        <v>463</v>
      </c>
      <c r="D40" s="554"/>
      <c r="E40" s="554"/>
      <c r="F40" s="554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55" t="e">
        <f ca="1">"Terbilang : ( "&amp;L42&amp;" Rupiah )"</f>
        <v>#NAME?</v>
      </c>
      <c r="C41" s="556"/>
      <c r="D41" s="556"/>
      <c r="E41" s="556"/>
      <c r="F41" s="556"/>
      <c r="G41" s="556"/>
      <c r="H41" s="556"/>
      <c r="I41" s="556"/>
      <c r="J41" s="556"/>
      <c r="K41" s="557"/>
      <c r="L41" s="44"/>
      <c r="R41" s="58"/>
      <c r="S41" s="58"/>
      <c r="T41" s="58"/>
    </row>
    <row r="42" spans="1:20" s="36" customFormat="1">
      <c r="A42" s="30"/>
      <c r="B42" s="558"/>
      <c r="C42" s="559"/>
      <c r="D42" s="559"/>
      <c r="E42" s="559"/>
      <c r="F42" s="559"/>
      <c r="G42" s="559"/>
      <c r="H42" s="559"/>
      <c r="I42" s="559"/>
      <c r="J42" s="559"/>
      <c r="K42" s="56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9"/>
      <c r="I45" s="549"/>
      <c r="J45" s="550"/>
      <c r="K45" s="55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9"/>
      <c r="I46" s="549"/>
      <c r="J46" s="550"/>
      <c r="K46" s="55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9"/>
      <c r="I47" s="549"/>
      <c r="J47" s="550"/>
      <c r="K47" s="55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9"/>
      <c r="I52" s="549"/>
      <c r="J52" s="550"/>
      <c r="K52" s="55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SUMIFS(RAB!$F$14:$F$142,RAB!$C$14:$C$142,'REKAP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SUMIFS(RAB!$F$14:$F$142,RAB!$C$14:$C$142,'REKAP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SUMIFS(RAB!$F$14:$F$142,RAB!$C$14:$C$142,'REKAP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SUMIFS(RAB!$F$14:$F$142,RAB!$C$14:$C$142,'REKAP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SUMIFS(RAB!$F$14:$F$142,RAB!$C$14:$C$142,'REKAP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SUMIFS(RAB!$F$14:$F$142,RAB!$C$14:$C$142,'REKAP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SUMIFS(RAB!$F$14:$F$142,RAB!$C$14:$C$142,'REKAP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SUMIFS(RAB!$F$14:$F$142,RAB!$C$14:$C$142,'REKAP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SUMIFS(RAB!$F$14:$F$142,RAB!$C$14:$C$142,'REKAP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SUMIFS(RAB!$F$14:$F$142,RAB!$C$14:$C$142,'REKAP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SUMIFS(RAB!$F$14:$F$142,RAB!$C$14:$C$142,'REKAP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SUMIFS(RAB!$F$14:$F$142,RAB!$C$14:$C$142,'REKAP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SUMIFS(RAB!$F$14:$F$142,RAB!$C$14:$C$142,'REKAP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SUMIFS(RAB!$F$14:$F$142,RAB!$C$14:$C$142,'REKAP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SUMIFS(RAB!$F$14:$F$142,RAB!$C$14:$C$142,'REKAP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SUMIFS(RAB!$F$14:$F$142,RAB!$C$14:$C$142,'REKAP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SUMIFS(RAB!$F$14:$F$142,RAB!$C$14:$C$142,'REKAP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SUMIFS(RAB!$F$14:$F$142,RAB!$C$14:$C$142,'REKAP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SUMIFS(RAB!$F$14:$F$142,RAB!$C$14:$C$142,'REKAP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SUMIFS(RAB!$F$14:$F$142,RAB!$C$14:$C$142,'REKAP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1034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1" t="str">
        <f>RAB!G6</f>
        <v>SMP GAJAH</v>
      </c>
      <c r="H6" s="561"/>
      <c r="I6" s="561"/>
      <c r="J6" s="561"/>
      <c r="K6" s="56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GAJAH,KEC GAJAH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5" t="s">
        <v>41</v>
      </c>
      <c r="H11" s="543" t="s">
        <v>3</v>
      </c>
      <c r="I11" s="543"/>
      <c r="J11" s="543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44"/>
      <c r="E12" s="544"/>
      <c r="F12" s="544"/>
      <c r="G12" s="546"/>
      <c r="H12" s="552" t="s">
        <v>46</v>
      </c>
      <c r="I12" s="552" t="s">
        <v>5</v>
      </c>
      <c r="J12" s="544" t="s">
        <v>47</v>
      </c>
      <c r="K12" s="55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44"/>
      <c r="E13" s="544"/>
      <c r="F13" s="544"/>
      <c r="G13" s="547"/>
      <c r="H13" s="553"/>
      <c r="I13" s="553"/>
      <c r="J13" s="544"/>
      <c r="K13" s="55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530700</v>
      </c>
      <c r="I21" s="42">
        <f t="shared" ca="1" si="2"/>
        <v>0</v>
      </c>
      <c r="J21" s="42">
        <f t="shared" ca="1" si="3"/>
        <v>0</v>
      </c>
      <c r="K21" s="43">
        <f t="shared" ca="1" si="0"/>
        <v>530700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127800</v>
      </c>
      <c r="I22" s="42">
        <f t="shared" ca="1" si="2"/>
        <v>0</v>
      </c>
      <c r="J22" s="42">
        <f t="shared" ca="1" si="3"/>
        <v>0</v>
      </c>
      <c r="K22" s="43">
        <f t="shared" ca="1" si="0"/>
        <v>127800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3x35+1x35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60</v>
      </c>
      <c r="G23" s="41">
        <f ca="1">IF(ISERROR(OFFSET('HARGA SATUAN'!$I$6,MATCH(C23,'HARGA SATUAN'!$C$7:$C$1492,0),0)),"",OFFSET('HARGA SATUAN'!$I$6,MATCH(C23,'HARGA SATUAN'!$C$7:$C$1492,0),0))</f>
        <v>30400</v>
      </c>
      <c r="H23" s="42">
        <f t="shared" ca="1" si="1"/>
        <v>1824000</v>
      </c>
      <c r="I23" s="42">
        <f t="shared" ca="1" si="2"/>
        <v>0</v>
      </c>
      <c r="J23" s="42">
        <f t="shared" ca="1" si="3"/>
        <v>0</v>
      </c>
      <c r="K23" s="43">
        <f t="shared" ca="1" si="0"/>
        <v>1824000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 4 x 16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10</v>
      </c>
      <c r="G25" s="41">
        <f ca="1">IF(ISERROR(OFFSET('HARGA SATUAN'!$I$6,MATCH(C25,'HARGA SATUAN'!$C$7:$C$1492,0),0)),"",OFFSET('HARGA SATUAN'!$I$6,MATCH(C25,'HARGA SATUAN'!$C$7:$C$1492,0),0))</f>
        <v>13500</v>
      </c>
      <c r="H25" s="42">
        <f t="shared" ca="1" si="1"/>
        <v>135000</v>
      </c>
      <c r="I25" s="42">
        <f t="shared" ca="1" si="2"/>
        <v>0</v>
      </c>
      <c r="J25" s="42">
        <f t="shared" ca="1" si="3"/>
        <v>0</v>
      </c>
      <c r="K25" s="43">
        <f t="shared" ca="1" si="0"/>
        <v>135000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2" t="s">
        <v>1008</v>
      </c>
      <c r="D168" s="562"/>
      <c r="E168" s="562"/>
      <c r="F168" s="562"/>
      <c r="G168" s="77" t="s">
        <v>9</v>
      </c>
      <c r="H168" s="55">
        <f ca="1">SUM(H14:H167)</f>
        <v>55252950</v>
      </c>
      <c r="I168" s="55">
        <f ca="1">SUM(I14:I167)</f>
        <v>0</v>
      </c>
      <c r="J168" s="55">
        <f ca="1">SUM(J14:J167)</f>
        <v>0</v>
      </c>
      <c r="K168" s="55">
        <f ca="1">SUM(K14:K167)</f>
        <v>55252950</v>
      </c>
      <c r="L168" s="44"/>
      <c r="R168" s="99"/>
      <c r="S168" s="99"/>
      <c r="T168" s="99"/>
    </row>
    <row r="169" spans="1:20" s="36" customFormat="1">
      <c r="A169" s="30"/>
      <c r="B169" s="56"/>
      <c r="C169" s="563" t="s">
        <v>462</v>
      </c>
      <c r="D169" s="563"/>
      <c r="E169" s="563"/>
      <c r="F169" s="563"/>
      <c r="G169" s="59" t="s">
        <v>9</v>
      </c>
      <c r="H169" s="60">
        <f ca="1">H168*0.1</f>
        <v>5525295</v>
      </c>
      <c r="I169" s="60">
        <f ca="1">I168*0.1</f>
        <v>0</v>
      </c>
      <c r="J169" s="60">
        <f ca="1">J168*0.1</f>
        <v>0</v>
      </c>
      <c r="K169" s="60">
        <f ca="1">K168*0.1</f>
        <v>5525295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4" t="s">
        <v>463</v>
      </c>
      <c r="D170" s="554"/>
      <c r="E170" s="554"/>
      <c r="F170" s="554"/>
      <c r="G170" s="61" t="s">
        <v>9</v>
      </c>
      <c r="H170" s="78">
        <f ca="1">SUM(H168:H169)</f>
        <v>60778245</v>
      </c>
      <c r="I170" s="78">
        <f ca="1">SUM(I168:I169)</f>
        <v>0</v>
      </c>
      <c r="J170" s="61">
        <f ca="1">SUM(J168:J169)</f>
        <v>0</v>
      </c>
      <c r="K170" s="61">
        <f ca="1">SUM(K168:K169)</f>
        <v>60778245</v>
      </c>
      <c r="L170" s="44"/>
      <c r="R170" s="99"/>
      <c r="S170" s="99"/>
      <c r="T170" s="99"/>
    </row>
    <row r="171" spans="1:20" s="36" customFormat="1">
      <c r="A171" s="30"/>
      <c r="B171" s="555" t="e">
        <f ca="1">"Terbilang : ( "&amp;L172&amp;" Rupiah )"</f>
        <v>#NAME?</v>
      </c>
      <c r="C171" s="556"/>
      <c r="D171" s="556"/>
      <c r="E171" s="556"/>
      <c r="F171" s="556"/>
      <c r="G171" s="556"/>
      <c r="H171" s="556"/>
      <c r="I171" s="556"/>
      <c r="J171" s="556"/>
      <c r="K171" s="557"/>
      <c r="L171" s="44"/>
      <c r="R171" s="58"/>
      <c r="S171" s="58"/>
      <c r="T171" s="58"/>
    </row>
    <row r="172" spans="1:20" s="36" customFormat="1">
      <c r="A172" s="30"/>
      <c r="B172" s="558"/>
      <c r="C172" s="559"/>
      <c r="D172" s="559"/>
      <c r="E172" s="559"/>
      <c r="F172" s="559"/>
      <c r="G172" s="559"/>
      <c r="H172" s="559"/>
      <c r="I172" s="559"/>
      <c r="J172" s="559"/>
      <c r="K172" s="56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9"/>
      <c r="I175" s="549"/>
      <c r="J175" s="550"/>
      <c r="K175" s="55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9"/>
      <c r="I176" s="549"/>
      <c r="J176" s="550"/>
      <c r="K176" s="55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9"/>
      <c r="I177" s="549"/>
      <c r="J177" s="550"/>
      <c r="K177" s="55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9"/>
      <c r="I182" s="549"/>
      <c r="J182" s="550"/>
      <c r="K182" s="55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SUMIFS(RAB!$F$14:$F$142,RAB!$C$14:$C$142,C224)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SUMIFS(RAB!$F$14:$F$142,RAB!$C$14:$C$142,C225)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SUMIFS(RAB!$F$14:$F$142,RAB!$C$14:$C$142,C226)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SUMIFS(RAB!$F$14:$F$142,RAB!$C$14:$C$142,C227)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SUMIFS(RAB!$F$14:$F$142,RAB!$C$14:$C$142,C228)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SUMIFS(RAB!$F$14:$F$142,RAB!$C$14:$C$142,C229)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SUMIFS(RAB!$F$14:$F$142,RAB!$C$14:$C$142,C230)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SUMIFS(RAB!$F$14:$F$142,RAB!$C$14:$C$142,C231)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SUMIFS(RAB!$F$14:$F$142,RAB!$C$14:$C$142,C232)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SUMIFS(RAB!$F$14:$F$142,RAB!$C$14:$C$142,C233)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SUMIFS(RAB!$F$14:$F$142,RAB!$C$14:$C$142,C234)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SUMIFS(RAB!$F$14:$F$142,RAB!$C$14:$C$142,C235)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SUMIFS(RAB!$F$14:$F$142,RAB!$C$14:$C$142,C236)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SUMIFS(RAB!$F$14:$F$142,RAB!$C$14:$C$142,C237)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SUMIFS(RAB!$F$14:$F$142,RAB!$C$14:$C$142,C238)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SUMIFS(RAB!$F$14:$F$142,RAB!$C$14:$C$142,C239)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SUMIFS(RAB!$F$14:$F$142,RAB!$C$14:$C$142,C240)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SUMIFS(RAB!$F$14:$F$142,RAB!$C$14:$C$142,C241)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SUMIFS(RAB!$F$14:$F$142,RAB!$C$14:$C$142,C242)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SUMIFS(RAB!$F$14:$F$142,RAB!$C$14:$C$142,C243)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SUMIFS(RAB!$F$14:$F$142,RAB!$C$14:$C$142,C244)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SUMIFS(RAB!$F$14:$F$142,RAB!$C$14:$C$142,C245)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SUMIFS(RAB!$F$14:$F$142,RAB!$C$14:$C$142,C246)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SUMIFS(RAB!$F$14:$F$142,RAB!$C$14:$C$142,C247)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SUMIFS(RAB!$F$14:$F$142,RAB!$C$14:$C$142,C248)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SUMIFS(RAB!$F$14:$F$142,RAB!$C$14:$C$142,C249)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SUMIFS(RAB!$F$14:$F$142,RAB!$C$14:$C$142,C250)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SUMIFS(RAB!$F$14:$F$142,RAB!$C$14:$C$142,C251)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SUMIFS(RAB!$F$14:$F$142,RAB!$C$14:$C$142,C252)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SUMIFS(RAB!$F$14:$F$142,RAB!$C$14:$C$142,C253)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SUMIFS(RAB!$F$14:$F$142,RAB!$C$14:$C$142,C254)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SUMIFS(RAB!$F$14:$F$142,RAB!$C$14:$C$142,C255)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SUMIFS(RAB!$F$14:$F$142,RAB!$C$14:$C$142,C256)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SUMIFS(RAB!$F$14:$F$142,RAB!$C$14:$C$142,C257)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SUMIFS(RAB!$F$14:$F$142,RAB!$C$14:$C$142,C258)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SUMIFS(RAB!$F$14:$F$142,RAB!$C$14:$C$142,C259)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SUMIFS(RAB!$F$14:$F$142,RAB!$C$14:$C$142,C260)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SUMIFS(RAB!$F$14:$F$142,RAB!$C$14:$C$142,C261)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SUMIFS(RAB!$F$14:$F$142,RAB!$C$14:$C$142,C262)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SUMIFS(RAB!$F$14:$F$142,RAB!$C$14:$C$142,C263)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SUMIFS(RAB!$F$14:$F$142,RAB!$C$14:$C$142,C264)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SUMIFS(RAB!$F$14:$F$142,RAB!$C$14:$C$142,C265)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SUMIFS(RAB!$F$14:$F$142,RAB!$C$14:$C$142,C266)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SUMIFS(RAB!$F$14:$F$142,RAB!$C$14:$C$142,C267)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SUMIFS(RAB!$F$14:$F$142,RAB!$C$14:$C$142,C268)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SUMIFS(RAB!$F$14:$F$142,RAB!$C$14:$C$142,C269)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SUMIFS(RAB!$F$14:$F$142,RAB!$C$14:$C$142,C270)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SUMIFS(RAB!$F$14:$F$142,RAB!$C$14:$C$142,C271)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SUMIFS(RAB!$F$14:$F$142,RAB!$C$14:$C$142,C272)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SUMIFS(RAB!$F$14:$F$142,RAB!$C$14:$C$142,C273)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SUMIFS(RAB!$F$14:$F$142,RAB!$C$14:$C$142,C274)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SUMIFS(RAB!$F$14:$F$142,RAB!$C$14:$C$142,C275)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SUMIFS(RAB!$F$14:$F$142,RAB!$C$14:$C$142,C276)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SUMIFS(RAB!$F$14:$F$142,RAB!$C$14:$C$142,C277)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SUMIFS(RAB!$F$14:$F$142,RAB!$C$14:$C$142,C278)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SUMIFS(RAB!$F$14:$F$142,RAB!$C$14:$C$142,C279)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SUMIFS(RAB!$F$14:$F$142,RAB!$C$14:$C$142,C280)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SUMIFS(RAB!$F$14:$F$142,RAB!$C$14:$C$142,C281)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SUMIFS(RAB!$F$14:$F$142,RAB!$C$14:$C$142,C282)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SUMIFS(RAB!$F$14:$F$142,RAB!$C$14:$C$142,C283)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SUMIFS(RAB!$F$14:$F$142,RAB!$C$14:$C$142,C284)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SUMIFS(RAB!$F$14:$F$142,RAB!$C$14:$C$142,C285)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SUMIFS(RAB!$F$14:$F$142,RAB!$C$14:$C$142,C286)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SUMIFS(RAB!$F$14:$F$142,RAB!$C$14:$C$142,C287)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SUMIFS(RAB!$F$14:$F$142,RAB!$C$14:$C$142,C288)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SUMIFS(RAB!$F$14:$F$142,RAB!$C$14:$C$142,C289)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SUMIFS(RAB!$F$14:$F$142,RAB!$C$14:$C$142,C290)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SUMIFS(RAB!$F$14:$F$142,RAB!$C$14:$C$142,C291)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SUMIFS(RAB!$F$14:$F$142,RAB!$C$14:$C$142,C292)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SUMIFS(RAB!$F$14:$F$142,RAB!$C$14:$C$142,C293)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SUMIFS(RAB!$F$14:$F$142,RAB!$C$14:$C$142,C294)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SUMIFS(RAB!$F$14:$F$142,RAB!$C$14:$C$142,C295)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SUMIFS(RAB!$F$14:$F$142,RAB!$C$14:$C$142,C296)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SUMIFS(RAB!$F$14:$F$142,RAB!$C$14:$C$142,C297)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SUMIFS(RAB!$F$14:$F$142,RAB!$C$14:$C$142,C298)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SUMIFS(RAB!$F$14:$F$142,RAB!$C$14:$C$142,C299)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SUMIFS(RAB!$F$14:$F$142,RAB!$C$14:$C$142,C300)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SUMIFS(RAB!$F$14:$F$142,RAB!$C$14:$C$142,C301)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SUMIFS(RAB!$F$14:$F$142,RAB!$C$14:$C$142,C302)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SUMIFS(RAB!$F$14:$F$142,RAB!$C$14:$C$142,C303)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SUMIFS(RAB!$F$14:$F$142,RAB!$C$14:$C$142,C304)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SUMIFS(RAB!$F$14:$F$142,RAB!$C$14:$C$142,C305)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SUMIFS(RAB!$F$14:$F$142,RAB!$C$14:$C$142,C306)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SUMIFS(RAB!$F$14:$F$142,RAB!$C$14:$C$142,C307)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SUMIFS(RAB!$F$14:$F$142,RAB!$C$14:$C$142,C308)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SUMIFS(RAB!$F$14:$F$142,RAB!$C$14:$C$142,C309)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SUMIFS(RAB!$F$14:$F$142,RAB!$C$14:$C$142,C310)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SUMIFS(RAB!$F$14:$F$142,RAB!$C$14:$C$142,C311)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SUMIFS(RAB!$F$14:$F$142,RAB!$C$14:$C$142,C312)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SUMIFS(RAB!$F$14:$F$142,RAB!$C$14:$C$142,C313)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SUMIFS(RAB!$F$14:$F$142,RAB!$C$14:$C$142,C314)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SUMIFS(RAB!$F$14:$F$142,RAB!$C$14:$C$142,C315)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SUMIFS(RAB!$F$14:$F$142,RAB!$C$14:$C$142,C316)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SUMIFS(RAB!$F$14:$F$142,RAB!$C$14:$C$142,C317)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SUMIFS(RAB!$F$14:$F$142,RAB!$C$14:$C$142,C318)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SUMIFS(RAB!$F$14:$F$142,RAB!$C$14:$C$142,C319)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SUMIFS(RAB!$F$14:$F$142,RAB!$C$14:$C$142,C320)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SUMIFS(RAB!$F$14:$F$142,RAB!$C$14:$C$142,C321)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SUMIFS(RAB!$F$14:$F$142,RAB!$C$14:$C$142,C322)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SUMIFS(RAB!$F$14:$F$142,RAB!$C$14:$C$142,C323)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SUMIFS(RAB!$F$14:$F$142,RAB!$C$14:$C$142,C324)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SUMIFS(RAB!$F$14:$F$142,RAB!$C$14:$C$142,C325)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SUMIFS(RAB!$F$14:$F$142,RAB!$C$14:$C$142,C326)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SUMIFS(RAB!$F$14:$F$142,RAB!$C$14:$C$142,C327)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SUMIFS(RAB!$F$14:$F$142,RAB!$C$14:$C$142,C328)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SUMIFS(RAB!$F$14:$F$142,RAB!$C$14:$C$142,C329)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SUMIFS(RAB!$F$14:$F$142,RAB!$C$14:$C$142,C330)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SUMIFS(RAB!$F$14:$F$142,RAB!$C$14:$C$142,C331)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SUMIFS(RAB!$F$14:$F$142,RAB!$C$14:$C$142,C332)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SUMIFS(RAB!$F$14:$F$142,RAB!$C$14:$C$142,C333)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SUMIFS(RAB!$F$14:$F$142,RAB!$C$14:$C$142,C334)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SUMIFS(RAB!$F$14:$F$142,RAB!$C$14:$C$142,C335)</f>
        <v>3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SUMIFS(RAB!$F$14:$F$142,RAB!$C$14:$C$142,C336)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SUMIFS(RAB!$F$14:$F$142,RAB!$C$14:$C$142,C337)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SUMIFS(RAB!$F$14:$F$142,RAB!$C$14:$C$142,C338)</f>
        <v>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SUMIFS(RAB!$F$14:$F$142,RAB!$C$14:$C$142,C339)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SUMIFS(RAB!$F$14:$F$142,RAB!$C$14:$C$142,C340)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SUMIFS(RAB!$F$14:$F$142,RAB!$C$14:$C$142,C341)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SUMIFS(RAB!$F$14:$F$142,RAB!$C$14:$C$142,C342)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SUMIFS(RAB!$F$14:$F$142,RAB!$C$14:$C$142,C343)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SUMIFS(RAB!$F$14:$F$142,RAB!$C$14:$C$142,C344)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SUMIFS(RAB!$F$14:$F$142,RAB!$C$14:$C$142,C345)</f>
        <v>60</v>
      </c>
      <c r="E345" s="24">
        <f t="shared" ca="1" si="22"/>
        <v>1</v>
      </c>
      <c r="F345" s="24">
        <f ca="1">IF(D345=0,0,SUM($E$223:E345))</f>
        <v>8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SUMIFS(RAB!$F$14:$F$142,RAB!$C$14:$C$142,C346)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SUMIFS(RAB!$F$14:$F$142,RAB!$C$14:$C$142,C347)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SUMIFS(RAB!$F$14:$F$142,RAB!$C$14:$C$142,C348)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SUMIFS(RAB!$F$14:$F$142,RAB!$C$14:$C$142,C349)</f>
        <v>10</v>
      </c>
      <c r="E349" s="24">
        <f t="shared" ca="1" si="22"/>
        <v>1</v>
      </c>
      <c r="F349" s="24">
        <f ca="1">IF(D349=0,0,SUM($E$223:E349))</f>
        <v>10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SUMIFS(RAB!$F$14:$F$142,RAB!$C$14:$C$142,C350)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SUMIFS(RAB!$F$14:$F$142,RAB!$C$14:$C$142,C351)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SUMIFS(RAB!$F$14:$F$142,RAB!$C$14:$C$142,C352)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SUMIFS(RAB!$F$14:$F$142,RAB!$C$14:$C$142,C353)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SUMIFS(RAB!$F$14:$F$142,RAB!$C$14:$C$142,C354)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SUMIFS(RAB!$F$14:$F$142,RAB!$C$14:$C$142,C355)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SUMIFS(RAB!$F$14:$F$142,RAB!$C$14:$C$142,C356)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SUMIFS(RAB!$F$14:$F$142,RAB!$C$14:$C$142,C357)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SUMIFS(RAB!$F$14:$F$142,RAB!$C$14:$C$142,C358)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SUMIFS(RAB!$F$14:$F$142,RAB!$C$14:$C$142,C359)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SUMIFS(RAB!$F$14:$F$142,RAB!$C$14:$C$142,C360)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SUMIFS(RAB!$F$14:$F$142,RAB!$C$14:$C$142,C361)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SUMIFS(RAB!$F$14:$F$142,RAB!$C$14:$C$142,C362)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SUMIFS(RAB!$F$14:$F$142,RAB!$C$14:$C$142,C363)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SUMIFS(RAB!$F$14:$F$142,RAB!$C$14:$C$142,C364)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SUMIFS(RAB!$F$14:$F$142,RAB!$C$14:$C$142,C365)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SUMIFS(RAB!$F$14:$F$142,RAB!$C$14:$C$142,C366)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SUMIFS(RAB!$F$14:$F$142,RAB!$C$14:$C$142,C367)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SUMIFS(RAB!$F$14:$F$142,RAB!$C$14:$C$142,C368)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SUMIFS(RAB!$F$14:$F$142,RAB!$C$14:$C$142,C369)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SUMIFS(RAB!$F$14:$F$142,RAB!$C$14:$C$142,C370)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SUMIFS(RAB!$F$14:$F$142,RAB!$C$14:$C$142,C371)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SUMIFS(RAB!$F$14:$F$142,RAB!$C$14:$C$142,C372)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SUMIFS(RAB!$F$14:$F$142,RAB!$C$14:$C$142,C373)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1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5" t="s">
        <v>41</v>
      </c>
      <c r="C2" s="56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6" t="s">
        <v>23</v>
      </c>
      <c r="C4" s="567" t="s">
        <v>1012</v>
      </c>
      <c r="D4" s="567" t="s">
        <v>42</v>
      </c>
      <c r="E4" s="566" t="s">
        <v>43</v>
      </c>
      <c r="F4" s="108" t="s">
        <v>1604</v>
      </c>
      <c r="G4" s="108" t="s">
        <v>1603</v>
      </c>
      <c r="H4" s="56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6"/>
      <c r="C5" s="567"/>
      <c r="D5" s="567"/>
      <c r="E5" s="566"/>
      <c r="F5" s="93"/>
      <c r="G5" s="93"/>
      <c r="H5" s="564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5" sqref="K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9" t="s">
        <v>1454</v>
      </c>
      <c r="C2" s="599"/>
      <c r="D2" s="599"/>
      <c r="E2" s="59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4" t="s">
        <v>1532</v>
      </c>
      <c r="C4" s="605"/>
      <c r="D4" s="605"/>
      <c r="E4" s="606"/>
      <c r="F4" s="442"/>
      <c r="G4" s="442"/>
      <c r="H4" s="443"/>
      <c r="I4" s="568" t="s">
        <v>1533</v>
      </c>
      <c r="J4" s="569"/>
      <c r="K4" s="569"/>
      <c r="L4" s="570"/>
    </row>
    <row r="5" spans="1:12" ht="34.5" customHeight="1">
      <c r="A5" s="204"/>
      <c r="B5" s="445" t="s">
        <v>1379</v>
      </c>
      <c r="C5" s="277" t="s">
        <v>9</v>
      </c>
      <c r="D5" s="600" t="str">
        <f>DATA!D14</f>
        <v>SMP GAJAH</v>
      </c>
      <c r="E5" s="601"/>
      <c r="F5" s="208"/>
      <c r="G5" s="208"/>
      <c r="I5" s="446" t="s">
        <v>1379</v>
      </c>
      <c r="J5" s="277" t="s">
        <v>9</v>
      </c>
      <c r="K5" s="571" t="str">
        <f>D5</f>
        <v>SMP GAJAH</v>
      </c>
      <c r="L5" s="572"/>
    </row>
    <row r="6" spans="1:12" ht="31.5" customHeight="1">
      <c r="A6" s="204"/>
      <c r="B6" s="445" t="s">
        <v>1529</v>
      </c>
      <c r="C6" s="277" t="s">
        <v>9</v>
      </c>
      <c r="D6" s="609">
        <f>DATA!D17*1000</f>
        <v>11000</v>
      </c>
      <c r="E6" s="610"/>
      <c r="F6" s="208"/>
      <c r="G6" s="208"/>
      <c r="I6" s="446" t="s">
        <v>1530</v>
      </c>
      <c r="J6" s="277" t="s">
        <v>9</v>
      </c>
      <c r="K6" s="573">
        <f>DATA!D20*1000</f>
        <v>23000</v>
      </c>
      <c r="L6" s="574"/>
    </row>
    <row r="7" spans="1:12" ht="30.75" customHeight="1">
      <c r="A7" s="204"/>
      <c r="B7" s="445" t="s">
        <v>1441</v>
      </c>
      <c r="C7" s="277" t="s">
        <v>9</v>
      </c>
      <c r="D7" s="607">
        <f>DATA!D18</f>
        <v>1</v>
      </c>
      <c r="E7" s="608"/>
      <c r="F7" s="444" t="s">
        <v>1453</v>
      </c>
      <c r="I7" s="446" t="s">
        <v>1441</v>
      </c>
      <c r="J7" s="277" t="s">
        <v>9</v>
      </c>
      <c r="K7" s="575">
        <f>DATA!D21</f>
        <v>3</v>
      </c>
      <c r="L7" s="576"/>
    </row>
    <row r="8" spans="1:12" ht="51" customHeight="1">
      <c r="A8" s="204"/>
      <c r="B8" s="445" t="s">
        <v>1442</v>
      </c>
      <c r="C8" s="277" t="s">
        <v>9</v>
      </c>
      <c r="D8" s="607">
        <f>DATA!D19</f>
        <v>220</v>
      </c>
      <c r="E8" s="608"/>
      <c r="F8" s="444" t="s">
        <v>1453</v>
      </c>
      <c r="G8" s="439">
        <v>220</v>
      </c>
      <c r="I8" s="446" t="s">
        <v>1442</v>
      </c>
      <c r="J8" s="277" t="s">
        <v>9</v>
      </c>
      <c r="K8" s="575">
        <f>DATA!D22</f>
        <v>380</v>
      </c>
      <c r="L8" s="576"/>
    </row>
    <row r="9" spans="1:12" ht="30" customHeight="1" thickBot="1">
      <c r="A9" s="204"/>
      <c r="B9" s="451" t="s">
        <v>1541</v>
      </c>
      <c r="C9" s="441" t="s">
        <v>9</v>
      </c>
      <c r="D9" s="602">
        <f>IF(D7=1,D6/(380/3^0.5),(D6/(380*3^0.5)))</f>
        <v>50.138312850678027</v>
      </c>
      <c r="E9" s="603"/>
      <c r="F9" s="207"/>
      <c r="G9" s="440">
        <v>380</v>
      </c>
      <c r="I9" s="452" t="s">
        <v>1541</v>
      </c>
      <c r="J9" s="441" t="s">
        <v>9</v>
      </c>
      <c r="K9" s="579">
        <f>IF(K7=1,K6/(380/3^0.5),(K6/(380*3^0.5)))</f>
        <v>34.94488471410893</v>
      </c>
      <c r="L9" s="580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11" t="s">
        <v>1619</v>
      </c>
      <c r="E12" s="612"/>
      <c r="F12" s="208"/>
      <c r="G12" s="208"/>
      <c r="I12" s="468" t="s">
        <v>1534</v>
      </c>
      <c r="J12" s="469" t="s">
        <v>9</v>
      </c>
      <c r="K12" s="611" t="s">
        <v>1619</v>
      </c>
      <c r="L12" s="612"/>
    </row>
    <row r="13" spans="1:12" ht="31.5" customHeight="1">
      <c r="A13" s="204"/>
      <c r="B13" s="476" t="s">
        <v>1380</v>
      </c>
      <c r="C13" s="456" t="s">
        <v>9</v>
      </c>
      <c r="D13" s="577" t="s">
        <v>1620</v>
      </c>
      <c r="E13" s="578"/>
      <c r="F13" s="208"/>
      <c r="G13" s="208"/>
      <c r="I13" s="470" t="s">
        <v>1380</v>
      </c>
      <c r="J13" s="456" t="s">
        <v>9</v>
      </c>
      <c r="K13" s="577" t="s">
        <v>1620</v>
      </c>
      <c r="L13" s="578"/>
    </row>
    <row r="14" spans="1:12" ht="30.75" customHeight="1">
      <c r="A14" s="204"/>
      <c r="B14" s="476" t="s">
        <v>1535</v>
      </c>
      <c r="C14" s="456" t="s">
        <v>9</v>
      </c>
      <c r="D14" s="581"/>
      <c r="E14" s="582"/>
      <c r="F14" s="444" t="s">
        <v>1453</v>
      </c>
      <c r="G14" s="448">
        <v>50</v>
      </c>
      <c r="I14" s="470" t="s">
        <v>1535</v>
      </c>
      <c r="J14" s="456" t="s">
        <v>9</v>
      </c>
      <c r="K14" s="583"/>
      <c r="L14" s="584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5">
        <v>0</v>
      </c>
      <c r="E16" s="586"/>
      <c r="F16" s="444"/>
      <c r="G16" s="448">
        <v>160</v>
      </c>
      <c r="I16" s="470" t="s">
        <v>1537</v>
      </c>
      <c r="J16" s="456" t="s">
        <v>9</v>
      </c>
      <c r="K16" s="589">
        <f>K9</f>
        <v>34.94488471410893</v>
      </c>
      <c r="L16" s="590"/>
    </row>
    <row r="17" spans="1:12" ht="34.5" customHeight="1">
      <c r="A17" s="204"/>
      <c r="B17" s="476" t="s">
        <v>1538</v>
      </c>
      <c r="C17" s="456" t="s">
        <v>9</v>
      </c>
      <c r="D17" s="587">
        <f>IF(D15=1,D14/(20/3^0.5),(D14/(20*3^0.5)))</f>
        <v>0</v>
      </c>
      <c r="E17" s="588"/>
      <c r="F17" s="444" t="s">
        <v>1453</v>
      </c>
      <c r="G17" s="449">
        <v>200</v>
      </c>
      <c r="I17" s="470" t="s">
        <v>1538</v>
      </c>
      <c r="J17" s="456" t="s">
        <v>9</v>
      </c>
      <c r="K17" s="593">
        <f>IF(K15=1,K14/(20/3^0.5),(K14/(20*3^0.5)))</f>
        <v>0</v>
      </c>
      <c r="L17" s="594"/>
    </row>
    <row r="18" spans="1:12" ht="34.5" customHeight="1">
      <c r="A18" s="204"/>
      <c r="B18" s="476" t="s">
        <v>1539</v>
      </c>
      <c r="C18" s="456" t="s">
        <v>9</v>
      </c>
      <c r="D18" s="587">
        <f>IF(D15=1,D14/(380/3^0.5),(D14/(380*3^0.5)))*1000</f>
        <v>0</v>
      </c>
      <c r="E18" s="588"/>
      <c r="F18" s="444" t="s">
        <v>1453</v>
      </c>
      <c r="G18" s="449">
        <v>250</v>
      </c>
      <c r="I18" s="470" t="s">
        <v>1539</v>
      </c>
      <c r="J18" s="456" t="s">
        <v>9</v>
      </c>
      <c r="K18" s="593">
        <f>IF(K15=1,K14/(380/3^0.5),(K14/(380*3^0.5)))*1000</f>
        <v>0</v>
      </c>
      <c r="L18" s="594"/>
    </row>
    <row r="19" spans="1:12" ht="30" customHeight="1">
      <c r="A19" s="204"/>
      <c r="B19" s="477" t="s">
        <v>1531</v>
      </c>
      <c r="C19" s="455" t="s">
        <v>9</v>
      </c>
      <c r="D19" s="587">
        <f>IF(D15=1,D14/(380/3^0.5),(D14/(380*3^0.5)))</f>
        <v>0</v>
      </c>
      <c r="E19" s="588"/>
      <c r="F19" s="207"/>
      <c r="G19" s="440"/>
      <c r="I19" s="472" t="s">
        <v>1531</v>
      </c>
      <c r="J19" s="455" t="s">
        <v>9</v>
      </c>
      <c r="K19" s="593">
        <f>IF(K15=1,K14/(380/3^0.5),(K14/(380*3^0.5)))</f>
        <v>0</v>
      </c>
      <c r="L19" s="594"/>
    </row>
    <row r="20" spans="1:12" ht="30" customHeight="1" thickBot="1">
      <c r="A20" s="204"/>
      <c r="B20" s="478" t="s">
        <v>1540</v>
      </c>
      <c r="C20" s="474" t="s">
        <v>9</v>
      </c>
      <c r="D20" s="613" t="e">
        <f>D16/D18</f>
        <v>#DIV/0!</v>
      </c>
      <c r="E20" s="614"/>
      <c r="F20" s="207"/>
      <c r="G20" s="440"/>
      <c r="I20" s="473" t="s">
        <v>1531</v>
      </c>
      <c r="J20" s="474" t="s">
        <v>9</v>
      </c>
      <c r="K20" s="591" t="e">
        <f>K16/K18</f>
        <v>#DIV/0!</v>
      </c>
      <c r="L20" s="592"/>
    </row>
    <row r="21" spans="1:12" ht="9.75" customHeight="1">
      <c r="A21" s="204"/>
      <c r="B21" s="463" t="s">
        <v>1540</v>
      </c>
      <c r="C21" s="464" t="s">
        <v>9</v>
      </c>
      <c r="D21" s="598">
        <v>1</v>
      </c>
      <c r="E21" s="598"/>
      <c r="F21" s="465"/>
      <c r="G21" s="466"/>
      <c r="H21" s="467"/>
      <c r="I21" s="463" t="s">
        <v>1531</v>
      </c>
      <c r="J21" s="464" t="s">
        <v>9</v>
      </c>
      <c r="K21" s="598">
        <v>1</v>
      </c>
      <c r="L21" s="598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5"/>
      <c r="C24" s="596"/>
      <c r="D24" s="596"/>
      <c r="E24" s="597"/>
      <c r="I24" s="595"/>
      <c r="J24" s="596"/>
      <c r="K24" s="596"/>
      <c r="L24" s="597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5"/>
      <c r="C1" s="615"/>
      <c r="D1" s="61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11628000</v>
      </c>
    </row>
    <row r="10" spans="2:11" ht="20.100000000000001" customHeight="1">
      <c r="B10" s="291" t="s">
        <v>1446</v>
      </c>
      <c r="C10" s="292" t="s">
        <v>9</v>
      </c>
      <c r="D10" s="298">
        <f ca="1">RAB!K148</f>
        <v>83406528.396400005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1668130.5679280001</v>
      </c>
    </row>
    <row r="12" spans="2:11" ht="9" customHeight="1">
      <c r="B12" s="616"/>
      <c r="C12" s="616"/>
      <c r="D12" s="616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1643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1642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11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23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900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900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B1" zoomScale="85" zoomScaleNormal="85" workbookViewId="0">
      <pane ySplit="6" topLeftCell="A16" activePane="bottomLeft" state="frozen"/>
      <selection activeCell="H1093" sqref="H1093"/>
      <selection pane="bottomLeft" activeCell="C7" sqref="C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3" t="s">
        <v>1357</v>
      </c>
      <c r="C3" s="623"/>
      <c r="D3" s="623"/>
      <c r="E3" s="623"/>
      <c r="F3" s="305" t="str">
        <f>DATA!D14</f>
        <v>SMP GAJAH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7" t="s">
        <v>1349</v>
      </c>
      <c r="C5" s="617" t="s">
        <v>1358</v>
      </c>
      <c r="D5" s="622" t="s">
        <v>1359</v>
      </c>
      <c r="E5" s="622" t="s">
        <v>1360</v>
      </c>
      <c r="F5" s="617" t="s">
        <v>1361</v>
      </c>
      <c r="G5" s="617"/>
      <c r="H5" s="617"/>
      <c r="I5" s="617"/>
      <c r="J5" s="617"/>
      <c r="K5" s="617" t="s">
        <v>1362</v>
      </c>
      <c r="L5" s="617"/>
      <c r="M5" s="307"/>
      <c r="N5" s="620" t="s">
        <v>1363</v>
      </c>
      <c r="O5" s="622" t="s">
        <v>1364</v>
      </c>
      <c r="P5" s="622" t="s">
        <v>1365</v>
      </c>
      <c r="Q5" s="622" t="s">
        <v>1366</v>
      </c>
      <c r="R5" s="308"/>
      <c r="S5" s="309"/>
      <c r="T5" s="618" t="s">
        <v>1367</v>
      </c>
      <c r="U5" s="310"/>
    </row>
    <row r="6" spans="1:21" ht="20.100000000000001" customHeight="1">
      <c r="B6" s="617"/>
      <c r="C6" s="617"/>
      <c r="D6" s="617"/>
      <c r="E6" s="61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1"/>
      <c r="O6" s="617"/>
      <c r="P6" s="617"/>
      <c r="Q6" s="617"/>
      <c r="R6" s="308"/>
      <c r="S6" s="309"/>
      <c r="T6" s="617"/>
      <c r="U6" s="312"/>
    </row>
    <row r="7" spans="1:21" ht="20.100000000000001" customHeight="1">
      <c r="A7" s="313">
        <v>0</v>
      </c>
      <c r="B7" s="314">
        <v>2023</v>
      </c>
      <c r="C7" s="479">
        <f>DATA!D8*DATA!D26*2</f>
        <v>960</v>
      </c>
      <c r="D7" s="316">
        <f>C7*4/24</f>
        <v>160</v>
      </c>
      <c r="E7" s="316">
        <f>C7-D7</f>
        <v>800</v>
      </c>
      <c r="F7" s="317">
        <f ca="1">DATA!D10/1000000</f>
        <v>83.406528396400006</v>
      </c>
      <c r="G7" s="318">
        <f ca="1">DATA!$D$11/1000000</f>
        <v>1.6681305679280001</v>
      </c>
      <c r="H7" s="318">
        <f>C7*DATA!$D$5/1000000</f>
        <v>1.0407600440511207</v>
      </c>
      <c r="I7" s="318">
        <f>(C7*DATA!$D$5*DATA!$D$7)/1000000</f>
        <v>2.3417100991150214E-2</v>
      </c>
      <c r="J7" s="316">
        <f ca="1">SUM(F7:I7)</f>
        <v>86.138836109370288</v>
      </c>
      <c r="K7" s="319">
        <f>DATA!D9/1000000</f>
        <v>11.628</v>
      </c>
      <c r="L7" s="316">
        <f>((D7*DATA!$D$23)/1000000)+((E7*DATA!$D$24)/1000000)</f>
        <v>0.86399999999999999</v>
      </c>
      <c r="M7" s="316">
        <f>K7+L7</f>
        <v>12.492000000000001</v>
      </c>
      <c r="N7" s="316">
        <f ca="1">M7-J7</f>
        <v>-73.646836109370284</v>
      </c>
      <c r="O7" s="314">
        <v>1</v>
      </c>
      <c r="P7" s="316">
        <f ca="1">O7*N7</f>
        <v>-73.646836109370284</v>
      </c>
      <c r="Q7" s="316">
        <f ca="1">P7</f>
        <v>-73.646836109370284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5760</v>
      </c>
      <c r="D8" s="316">
        <f>C8*4/24</f>
        <v>960</v>
      </c>
      <c r="E8" s="316">
        <f t="shared" ref="E8:E32" si="0">C8-D8</f>
        <v>4800</v>
      </c>
      <c r="F8" s="314"/>
      <c r="G8" s="318">
        <f ca="1">DATA!$D$11/1000000</f>
        <v>1.6681305679280001</v>
      </c>
      <c r="H8" s="318">
        <f>C8*DATA!$D$5/1000000</f>
        <v>6.244560264306724</v>
      </c>
      <c r="I8" s="318">
        <f>(C8*DATA!$D$5*DATA!$D$7)/1000000</f>
        <v>0.14050260594690128</v>
      </c>
      <c r="J8" s="316">
        <f t="shared" ref="J8:J32" ca="1" si="1">SUM(F8:I8)</f>
        <v>8.0531934381816264</v>
      </c>
      <c r="K8" s="321"/>
      <c r="L8" s="316">
        <f>((D8*DATA!$D$23)/1000000)+((E8*DATA!$D$24)/1000000)</f>
        <v>5.1840000000000002</v>
      </c>
      <c r="M8" s="316">
        <f t="shared" ref="M8:M32" si="2">K8+L8</f>
        <v>5.1840000000000002</v>
      </c>
      <c r="N8" s="316">
        <f ca="1">M8-J8</f>
        <v>-2.8691934381816262</v>
      </c>
      <c r="O8" s="315">
        <f>1/(1+'[93]Asumsi I'!$C$3)^(KKF!A8)</f>
        <v>0.89285714285714279</v>
      </c>
      <c r="P8" s="316">
        <f ca="1">O8*N8</f>
        <v>-2.5617798555193088</v>
      </c>
      <c r="Q8" s="316">
        <f ca="1">Q7+P8</f>
        <v>-76.208615964889589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5760</v>
      </c>
      <c r="D9" s="316">
        <f t="shared" ref="D9:D32" si="5">C9*4/24</f>
        <v>960</v>
      </c>
      <c r="E9" s="316">
        <f t="shared" si="0"/>
        <v>4800</v>
      </c>
      <c r="F9" s="314"/>
      <c r="G9" s="318">
        <f ca="1">DATA!$D$11/1000000</f>
        <v>1.6681305679280001</v>
      </c>
      <c r="H9" s="318">
        <f>C9*DATA!$D$5/1000000</f>
        <v>6.244560264306724</v>
      </c>
      <c r="I9" s="318">
        <f>(C9*DATA!$D$5*DATA!$D$7)/1000000</f>
        <v>0.14050260594690128</v>
      </c>
      <c r="J9" s="316">
        <f t="shared" ca="1" si="1"/>
        <v>8.0531934381816264</v>
      </c>
      <c r="K9" s="316"/>
      <c r="L9" s="316">
        <f>((D9*DATA!$D$23)/1000000)+((E9*DATA!$D$24)/1000000)</f>
        <v>5.1840000000000002</v>
      </c>
      <c r="M9" s="316">
        <f t="shared" si="2"/>
        <v>5.1840000000000002</v>
      </c>
      <c r="N9" s="316">
        <f t="shared" ref="N9:N32" ca="1" si="6">M9-J9</f>
        <v>-2.8691934381816262</v>
      </c>
      <c r="O9" s="322">
        <f>1/(1+'[93]Asumsi I'!$C$3)^(KKF!A9)</f>
        <v>0.79719387755102034</v>
      </c>
      <c r="P9" s="316">
        <f t="shared" ref="P9:P32" ca="1" si="7">O9*N9</f>
        <v>-2.2873034424279544</v>
      </c>
      <c r="Q9" s="316">
        <f ca="1">Q8+P9</f>
        <v>-78.495919407317544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5760</v>
      </c>
      <c r="D10" s="316">
        <f t="shared" si="5"/>
        <v>960</v>
      </c>
      <c r="E10" s="316">
        <f t="shared" si="0"/>
        <v>4800</v>
      </c>
      <c r="F10" s="314"/>
      <c r="G10" s="318">
        <f ca="1">DATA!$D$11/1000000</f>
        <v>1.6681305679280001</v>
      </c>
      <c r="H10" s="318">
        <f>C10*DATA!$D$5/1000000</f>
        <v>6.244560264306724</v>
      </c>
      <c r="I10" s="318">
        <f>(C10*DATA!$D$5*DATA!$D$7)/1000000</f>
        <v>0.14050260594690128</v>
      </c>
      <c r="J10" s="316">
        <f t="shared" ca="1" si="1"/>
        <v>8.0531934381816264</v>
      </c>
      <c r="K10" s="314"/>
      <c r="L10" s="316">
        <f>((D10*DATA!$D$23)/1000000)+((E10*DATA!$D$24)/1000000)</f>
        <v>5.1840000000000002</v>
      </c>
      <c r="M10" s="316">
        <f t="shared" si="2"/>
        <v>5.1840000000000002</v>
      </c>
      <c r="N10" s="316">
        <f t="shared" ca="1" si="6"/>
        <v>-2.8691934381816262</v>
      </c>
      <c r="O10" s="315">
        <f>1/(1+'[93]Asumsi I'!$C$3)^(KKF!A10)</f>
        <v>0.71178024781341087</v>
      </c>
      <c r="P10" s="316">
        <f t="shared" ca="1" si="7"/>
        <v>-2.0422352164535305</v>
      </c>
      <c r="Q10" s="316">
        <f t="shared" ref="Q10:Q30" ca="1" si="9">Q9+P10</f>
        <v>-80.538154623771078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5760</v>
      </c>
      <c r="D11" s="316">
        <f t="shared" si="5"/>
        <v>960</v>
      </c>
      <c r="E11" s="316">
        <f t="shared" si="0"/>
        <v>4800</v>
      </c>
      <c r="F11" s="314"/>
      <c r="G11" s="318">
        <f ca="1">DATA!$D$11/1000000</f>
        <v>1.6681305679280001</v>
      </c>
      <c r="H11" s="318">
        <f>C11*DATA!$D$5/1000000</f>
        <v>6.244560264306724</v>
      </c>
      <c r="I11" s="318">
        <f>(C11*DATA!$D$5*DATA!$D$7)/1000000</f>
        <v>0.14050260594690128</v>
      </c>
      <c r="J11" s="316">
        <f t="shared" ca="1" si="1"/>
        <v>8.0531934381816264</v>
      </c>
      <c r="K11" s="314"/>
      <c r="L11" s="316">
        <f>((D11*DATA!$D$23)/1000000)+((E11*DATA!$D$24)/1000000)</f>
        <v>5.1840000000000002</v>
      </c>
      <c r="M11" s="316">
        <f t="shared" si="2"/>
        <v>5.1840000000000002</v>
      </c>
      <c r="N11" s="316">
        <f t="shared" ca="1" si="6"/>
        <v>-2.8691934381816262</v>
      </c>
      <c r="O11" s="315">
        <f>1/(1+'[93]Asumsi I'!$C$3)^(KKF!A11)</f>
        <v>0.63551807840483121</v>
      </c>
      <c r="P11" s="316">
        <f t="shared" ca="1" si="7"/>
        <v>-1.823424300404938</v>
      </c>
      <c r="Q11" s="316">
        <f t="shared" ca="1" si="9"/>
        <v>-82.361578924176015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5760</v>
      </c>
      <c r="D12" s="316">
        <f t="shared" si="5"/>
        <v>960</v>
      </c>
      <c r="E12" s="316">
        <f t="shared" si="0"/>
        <v>4800</v>
      </c>
      <c r="F12" s="314"/>
      <c r="G12" s="318">
        <f ca="1">DATA!$D$11/1000000</f>
        <v>1.6681305679280001</v>
      </c>
      <c r="H12" s="318">
        <f>C12*DATA!$D$5/1000000</f>
        <v>6.244560264306724</v>
      </c>
      <c r="I12" s="318">
        <f>(C12*DATA!$D$5*DATA!$D$7)/1000000</f>
        <v>0.14050260594690128</v>
      </c>
      <c r="J12" s="316">
        <f t="shared" ca="1" si="1"/>
        <v>8.0531934381816264</v>
      </c>
      <c r="K12" s="314"/>
      <c r="L12" s="316">
        <f>((D12*DATA!$D$23)/1000000)+((E12*DATA!$D$24)/1000000)</f>
        <v>5.1840000000000002</v>
      </c>
      <c r="M12" s="316">
        <f t="shared" si="2"/>
        <v>5.1840000000000002</v>
      </c>
      <c r="N12" s="316">
        <f t="shared" ca="1" si="6"/>
        <v>-2.8691934381816262</v>
      </c>
      <c r="O12" s="315">
        <f>1/(1+'[93]Asumsi I'!$C$3)^(KKF!A12)</f>
        <v>0.56742685571859919</v>
      </c>
      <c r="P12" s="316">
        <f t="shared" ca="1" si="7"/>
        <v>-1.6280574110758372</v>
      </c>
      <c r="Q12" s="316">
        <f t="shared" ca="1" si="9"/>
        <v>-83.989636335251859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5760</v>
      </c>
      <c r="D13" s="316">
        <f t="shared" si="5"/>
        <v>960</v>
      </c>
      <c r="E13" s="316">
        <f t="shared" si="0"/>
        <v>4800</v>
      </c>
      <c r="F13" s="314"/>
      <c r="G13" s="318">
        <f ca="1">DATA!$D$11/1000000</f>
        <v>1.6681305679280001</v>
      </c>
      <c r="H13" s="318">
        <f>C13*DATA!$D$5/1000000</f>
        <v>6.244560264306724</v>
      </c>
      <c r="I13" s="318">
        <f>(C13*DATA!$D$5*DATA!$D$7)/1000000</f>
        <v>0.14050260594690128</v>
      </c>
      <c r="J13" s="316">
        <f t="shared" ca="1" si="1"/>
        <v>8.0531934381816264</v>
      </c>
      <c r="K13" s="314"/>
      <c r="L13" s="316">
        <f>((D13*DATA!$D$23)/1000000)+((E13*DATA!$D$24)/1000000)</f>
        <v>5.1840000000000002</v>
      </c>
      <c r="M13" s="316">
        <f t="shared" si="2"/>
        <v>5.1840000000000002</v>
      </c>
      <c r="N13" s="316">
        <f t="shared" ca="1" si="6"/>
        <v>-2.8691934381816262</v>
      </c>
      <c r="O13" s="315">
        <f>1/(1+'[93]Asumsi I'!$C$3)^(KKF!A13)</f>
        <v>0.50663112117732068</v>
      </c>
      <c r="P13" s="316">
        <f t="shared" ca="1" si="7"/>
        <v>-1.4536226884605687</v>
      </c>
      <c r="Q13" s="316">
        <f t="shared" ca="1" si="9"/>
        <v>-85.443259023712429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5760</v>
      </c>
      <c r="D14" s="316">
        <f t="shared" si="5"/>
        <v>960</v>
      </c>
      <c r="E14" s="316">
        <f t="shared" si="0"/>
        <v>4800</v>
      </c>
      <c r="F14" s="314"/>
      <c r="G14" s="318">
        <f ca="1">DATA!$D$11/1000000</f>
        <v>1.6681305679280001</v>
      </c>
      <c r="H14" s="318">
        <f>C14*DATA!$D$5/1000000</f>
        <v>6.244560264306724</v>
      </c>
      <c r="I14" s="318">
        <f>(C14*DATA!$D$5*DATA!$D$7)/1000000</f>
        <v>0.14050260594690128</v>
      </c>
      <c r="J14" s="316">
        <f t="shared" ca="1" si="1"/>
        <v>8.0531934381816264</v>
      </c>
      <c r="K14" s="314"/>
      <c r="L14" s="316">
        <f>((D14*DATA!$D$23)/1000000)+((E14*DATA!$D$24)/1000000)</f>
        <v>5.1840000000000002</v>
      </c>
      <c r="M14" s="316">
        <f t="shared" si="2"/>
        <v>5.1840000000000002</v>
      </c>
      <c r="N14" s="316">
        <f t="shared" ca="1" si="6"/>
        <v>-2.8691934381816262</v>
      </c>
      <c r="O14" s="315">
        <f>1/(1+'[93]Asumsi I'!$C$3)^(KKF!A14)</f>
        <v>0.45234921533689343</v>
      </c>
      <c r="P14" s="316">
        <f t="shared" ca="1" si="7"/>
        <v>-1.2978774004112221</v>
      </c>
      <c r="Q14" s="316">
        <f t="shared" ca="1" si="9"/>
        <v>-86.741136424123653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5760</v>
      </c>
      <c r="D15" s="316">
        <f t="shared" si="5"/>
        <v>960</v>
      </c>
      <c r="E15" s="316">
        <f t="shared" si="0"/>
        <v>4800</v>
      </c>
      <c r="F15" s="314"/>
      <c r="G15" s="318">
        <f ca="1">DATA!$D$11/1000000</f>
        <v>1.6681305679280001</v>
      </c>
      <c r="H15" s="318">
        <f>C15*DATA!$D$5/1000000</f>
        <v>6.244560264306724</v>
      </c>
      <c r="I15" s="318">
        <f>(C15*DATA!$D$5*DATA!$D$7)/1000000</f>
        <v>0.14050260594690128</v>
      </c>
      <c r="J15" s="316">
        <f t="shared" ca="1" si="1"/>
        <v>8.0531934381816264</v>
      </c>
      <c r="K15" s="314"/>
      <c r="L15" s="316">
        <f>((D15*DATA!$D$23)/1000000)+((E15*DATA!$D$24)/1000000)</f>
        <v>5.1840000000000002</v>
      </c>
      <c r="M15" s="316">
        <f t="shared" si="2"/>
        <v>5.1840000000000002</v>
      </c>
      <c r="N15" s="316">
        <f t="shared" ca="1" si="6"/>
        <v>-2.8691934381816262</v>
      </c>
      <c r="O15" s="315">
        <f>1/(1+'[93]Asumsi I'!$C$3)^(KKF!A15)</f>
        <v>0.4038832279793691</v>
      </c>
      <c r="P15" s="316">
        <f t="shared" ca="1" si="7"/>
        <v>-1.1588191075100196</v>
      </c>
      <c r="Q15" s="316">
        <f t="shared" ca="1" si="9"/>
        <v>-87.899955531633665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5760</v>
      </c>
      <c r="D16" s="316">
        <f t="shared" si="5"/>
        <v>960</v>
      </c>
      <c r="E16" s="316">
        <f t="shared" si="0"/>
        <v>4800</v>
      </c>
      <c r="F16" s="314"/>
      <c r="G16" s="318">
        <f ca="1">DATA!$D$11/1000000</f>
        <v>1.6681305679280001</v>
      </c>
      <c r="H16" s="318">
        <f>C16*DATA!$D$5/1000000</f>
        <v>6.244560264306724</v>
      </c>
      <c r="I16" s="318">
        <f>(C16*DATA!$D$5*DATA!$D$7)/1000000</f>
        <v>0.14050260594690128</v>
      </c>
      <c r="J16" s="316">
        <f t="shared" ca="1" si="1"/>
        <v>8.0531934381816264</v>
      </c>
      <c r="K16" s="314"/>
      <c r="L16" s="316">
        <f>((D16*DATA!$D$23)/1000000)+((E16*DATA!$D$24)/1000000)</f>
        <v>5.1840000000000002</v>
      </c>
      <c r="M16" s="316">
        <f t="shared" si="2"/>
        <v>5.1840000000000002</v>
      </c>
      <c r="N16" s="316">
        <f t="shared" ca="1" si="6"/>
        <v>-2.8691934381816262</v>
      </c>
      <c r="O16" s="315">
        <f>1/(1+'[93]Asumsi I'!$C$3)^(KKF!A16)</f>
        <v>0.36061002498157957</v>
      </c>
      <c r="P16" s="316">
        <f t="shared" ca="1" si="7"/>
        <v>-1.0346599174196605</v>
      </c>
      <c r="Q16" s="316">
        <f t="shared" ca="1" si="9"/>
        <v>-88.934615449053325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5760</v>
      </c>
      <c r="D17" s="316">
        <f t="shared" si="5"/>
        <v>960</v>
      </c>
      <c r="E17" s="316">
        <f t="shared" si="0"/>
        <v>4800</v>
      </c>
      <c r="F17" s="314"/>
      <c r="G17" s="318">
        <f ca="1">DATA!$D$11/1000000</f>
        <v>1.6681305679280001</v>
      </c>
      <c r="H17" s="318">
        <f>C17*DATA!$D$5/1000000</f>
        <v>6.244560264306724</v>
      </c>
      <c r="I17" s="318">
        <f>(C17*DATA!$D$5*DATA!$D$7)/1000000</f>
        <v>0.14050260594690128</v>
      </c>
      <c r="J17" s="316">
        <f t="shared" ca="1" si="1"/>
        <v>8.0531934381816264</v>
      </c>
      <c r="K17" s="314"/>
      <c r="L17" s="316">
        <f>((D17*DATA!$D$23)/1000000)+((E17*DATA!$D$24)/1000000)</f>
        <v>5.1840000000000002</v>
      </c>
      <c r="M17" s="316">
        <f t="shared" si="2"/>
        <v>5.1840000000000002</v>
      </c>
      <c r="N17" s="316">
        <f t="shared" ca="1" si="6"/>
        <v>-2.8691934381816262</v>
      </c>
      <c r="O17" s="315">
        <f>1/(1+'[93]Asumsi I'!$C$3)^(KKF!A17)</f>
        <v>0.32197323659069599</v>
      </c>
      <c r="P17" s="316">
        <f t="shared" ca="1" si="7"/>
        <v>-0.92380349769612524</v>
      </c>
      <c r="Q17" s="316">
        <f t="shared" ca="1" si="9"/>
        <v>-89.858418946749453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5760</v>
      </c>
      <c r="D18" s="316">
        <f t="shared" si="5"/>
        <v>960</v>
      </c>
      <c r="E18" s="316">
        <f t="shared" si="0"/>
        <v>4800</v>
      </c>
      <c r="F18" s="314"/>
      <c r="G18" s="318">
        <f ca="1">DATA!$D$11/1000000</f>
        <v>1.6681305679280001</v>
      </c>
      <c r="H18" s="318">
        <f>C18*DATA!$D$5/1000000</f>
        <v>6.244560264306724</v>
      </c>
      <c r="I18" s="318">
        <f>(C18*DATA!$D$5*DATA!$D$7)/1000000</f>
        <v>0.14050260594690128</v>
      </c>
      <c r="J18" s="316">
        <f t="shared" ca="1" si="1"/>
        <v>8.0531934381816264</v>
      </c>
      <c r="K18" s="314"/>
      <c r="L18" s="316">
        <f>((D18*DATA!$D$23)/1000000)+((E18*DATA!$D$24)/1000000)</f>
        <v>5.1840000000000002</v>
      </c>
      <c r="M18" s="316">
        <f t="shared" si="2"/>
        <v>5.1840000000000002</v>
      </c>
      <c r="N18" s="316">
        <f t="shared" ca="1" si="6"/>
        <v>-2.8691934381816262</v>
      </c>
      <c r="O18" s="315">
        <f>1/(1+'[93]Asumsi I'!$C$3)^(KKF!A18)</f>
        <v>0.28747610409883567</v>
      </c>
      <c r="P18" s="316">
        <f t="shared" ca="1" si="7"/>
        <v>-0.82482455151439737</v>
      </c>
      <c r="Q18" s="316">
        <f t="shared" ca="1" si="9"/>
        <v>-90.683243498263849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5760</v>
      </c>
      <c r="D19" s="316">
        <f t="shared" si="5"/>
        <v>960</v>
      </c>
      <c r="E19" s="316">
        <f t="shared" si="0"/>
        <v>4800</v>
      </c>
      <c r="F19" s="314"/>
      <c r="G19" s="318">
        <f ca="1">DATA!$D$11/1000000</f>
        <v>1.6681305679280001</v>
      </c>
      <c r="H19" s="318">
        <f>C19*DATA!$D$5/1000000</f>
        <v>6.244560264306724</v>
      </c>
      <c r="I19" s="318">
        <f>(C19*DATA!$D$5*DATA!$D$7)/1000000</f>
        <v>0.14050260594690128</v>
      </c>
      <c r="J19" s="316">
        <f t="shared" ca="1" si="1"/>
        <v>8.0531934381816264</v>
      </c>
      <c r="K19" s="314"/>
      <c r="L19" s="316">
        <f>((D19*DATA!$D$23)/1000000)+((E19*DATA!$D$24)/1000000)</f>
        <v>5.1840000000000002</v>
      </c>
      <c r="M19" s="316">
        <f t="shared" si="2"/>
        <v>5.1840000000000002</v>
      </c>
      <c r="N19" s="316">
        <f t="shared" ca="1" si="6"/>
        <v>-2.8691934381816262</v>
      </c>
      <c r="O19" s="315">
        <f>1/(1+'[93]Asumsi I'!$C$3)^(KKF!A19)</f>
        <v>0.25667509294538904</v>
      </c>
      <c r="P19" s="316">
        <f t="shared" ca="1" si="7"/>
        <v>-0.73645049242356919</v>
      </c>
      <c r="Q19" s="316">
        <f t="shared" ca="1" si="9"/>
        <v>-91.419693990687421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5760</v>
      </c>
      <c r="D20" s="316">
        <f t="shared" si="5"/>
        <v>960</v>
      </c>
      <c r="E20" s="316">
        <f t="shared" si="0"/>
        <v>4800</v>
      </c>
      <c r="F20" s="314"/>
      <c r="G20" s="318">
        <f ca="1">DATA!$D$11/1000000</f>
        <v>1.6681305679280001</v>
      </c>
      <c r="H20" s="318">
        <f>C20*DATA!$D$5/1000000</f>
        <v>6.244560264306724</v>
      </c>
      <c r="I20" s="318">
        <f>(C20*DATA!$D$5*DATA!$D$7)/1000000</f>
        <v>0.14050260594690128</v>
      </c>
      <c r="J20" s="316">
        <f t="shared" ca="1" si="1"/>
        <v>8.0531934381816264</v>
      </c>
      <c r="K20" s="314"/>
      <c r="L20" s="316">
        <f>((D20*DATA!$D$23)/1000000)+((E20*DATA!$D$24)/1000000)</f>
        <v>5.1840000000000002</v>
      </c>
      <c r="M20" s="316">
        <f t="shared" si="2"/>
        <v>5.1840000000000002</v>
      </c>
      <c r="N20" s="316">
        <f t="shared" ca="1" si="6"/>
        <v>-2.8691934381816262</v>
      </c>
      <c r="O20" s="315">
        <f>1/(1+'[93]Asumsi I'!$C$3)^(KKF!A20)</f>
        <v>0.22917419012981158</v>
      </c>
      <c r="P20" s="316">
        <f t="shared" ca="1" si="7"/>
        <v>-0.65754508252104382</v>
      </c>
      <c r="Q20" s="316">
        <f t="shared" ca="1" si="9"/>
        <v>-92.07723907320846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5760</v>
      </c>
      <c r="D21" s="316">
        <f t="shared" si="5"/>
        <v>960</v>
      </c>
      <c r="E21" s="316">
        <f t="shared" si="0"/>
        <v>4800</v>
      </c>
      <c r="F21" s="314"/>
      <c r="G21" s="318">
        <f ca="1">DATA!$D$11/1000000</f>
        <v>1.6681305679280001</v>
      </c>
      <c r="H21" s="318">
        <f>C21*DATA!$D$5/1000000</f>
        <v>6.244560264306724</v>
      </c>
      <c r="I21" s="318">
        <f>(C21*DATA!$D$5*DATA!$D$7)/1000000</f>
        <v>0.14050260594690128</v>
      </c>
      <c r="J21" s="316">
        <f t="shared" ca="1" si="1"/>
        <v>8.0531934381816264</v>
      </c>
      <c r="K21" s="314"/>
      <c r="L21" s="316">
        <f>((D21*DATA!$D$23)/1000000)+((E21*DATA!$D$24)/1000000)</f>
        <v>5.1840000000000002</v>
      </c>
      <c r="M21" s="316">
        <f t="shared" si="2"/>
        <v>5.1840000000000002</v>
      </c>
      <c r="N21" s="316">
        <f t="shared" ca="1" si="6"/>
        <v>-2.8691934381816262</v>
      </c>
      <c r="O21" s="315">
        <f>1/(1+'[93]Asumsi I'!$C$3)^(KKF!A21)</f>
        <v>0.20461981261590317</v>
      </c>
      <c r="P21" s="316">
        <f t="shared" ca="1" si="7"/>
        <v>-0.58709382367950336</v>
      </c>
      <c r="Q21" s="316">
        <f t="shared" ca="1" si="9"/>
        <v>-92.66433289688797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5760</v>
      </c>
      <c r="D22" s="316">
        <f t="shared" si="5"/>
        <v>960</v>
      </c>
      <c r="E22" s="316">
        <f t="shared" si="0"/>
        <v>4800</v>
      </c>
      <c r="F22" s="314"/>
      <c r="G22" s="318">
        <f ca="1">DATA!$D$11/1000000</f>
        <v>1.6681305679280001</v>
      </c>
      <c r="H22" s="318">
        <f>C22*DATA!$D$5/1000000</f>
        <v>6.244560264306724</v>
      </c>
      <c r="I22" s="318">
        <f>(C22*DATA!$D$5*DATA!$D$7)/1000000</f>
        <v>0.14050260594690128</v>
      </c>
      <c r="J22" s="316">
        <f t="shared" ca="1" si="1"/>
        <v>8.0531934381816264</v>
      </c>
      <c r="K22" s="314"/>
      <c r="L22" s="316">
        <f>((D22*DATA!$D$23)/1000000)+((E22*DATA!$D$24)/1000000)</f>
        <v>5.1840000000000002</v>
      </c>
      <c r="M22" s="316">
        <f t="shared" si="2"/>
        <v>5.1840000000000002</v>
      </c>
      <c r="N22" s="316">
        <f t="shared" ca="1" si="6"/>
        <v>-2.8691934381816262</v>
      </c>
      <c r="O22" s="315">
        <f>1/(1+'[93]Asumsi I'!$C$3)^(KKF!A22)</f>
        <v>0.18269626126419927</v>
      </c>
      <c r="P22" s="316">
        <f t="shared" ca="1" si="7"/>
        <v>-0.52419091399955653</v>
      </c>
      <c r="Q22" s="316">
        <f t="shared" ca="1" si="9"/>
        <v>-93.188523810887531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5760</v>
      </c>
      <c r="D23" s="316">
        <f t="shared" si="5"/>
        <v>960</v>
      </c>
      <c r="E23" s="316">
        <f t="shared" si="0"/>
        <v>4800</v>
      </c>
      <c r="F23" s="314"/>
      <c r="G23" s="318">
        <f ca="1">DATA!$D$11/1000000</f>
        <v>1.6681305679280001</v>
      </c>
      <c r="H23" s="318">
        <f>C23*DATA!$D$5/1000000</f>
        <v>6.244560264306724</v>
      </c>
      <c r="I23" s="318">
        <f>(C23*DATA!$D$5*DATA!$D$7)/1000000</f>
        <v>0.14050260594690128</v>
      </c>
      <c r="J23" s="316">
        <f t="shared" ca="1" si="1"/>
        <v>8.0531934381816264</v>
      </c>
      <c r="K23" s="314"/>
      <c r="L23" s="316">
        <f>((D23*DATA!$D$23)/1000000)+((E23*DATA!$D$24)/1000000)</f>
        <v>5.1840000000000002</v>
      </c>
      <c r="M23" s="316">
        <f t="shared" si="2"/>
        <v>5.1840000000000002</v>
      </c>
      <c r="N23" s="316">
        <f t="shared" ca="1" si="6"/>
        <v>-2.8691934381816262</v>
      </c>
      <c r="O23" s="315">
        <f>1/(1+'[93]Asumsi I'!$C$3)^(KKF!A23)</f>
        <v>0.16312166184303503</v>
      </c>
      <c r="P23" s="316">
        <f t="shared" ca="1" si="7"/>
        <v>-0.46802760178531827</v>
      </c>
      <c r="Q23" s="316">
        <f t="shared" ca="1" si="9"/>
        <v>-93.656551412672854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5760</v>
      </c>
      <c r="D24" s="316">
        <f t="shared" si="5"/>
        <v>960</v>
      </c>
      <c r="E24" s="316">
        <f t="shared" si="0"/>
        <v>4800</v>
      </c>
      <c r="F24" s="314"/>
      <c r="G24" s="318">
        <f ca="1">DATA!$D$11/1000000</f>
        <v>1.6681305679280001</v>
      </c>
      <c r="H24" s="318">
        <f>C24*DATA!$D$5/1000000</f>
        <v>6.244560264306724</v>
      </c>
      <c r="I24" s="318">
        <f>(C24*DATA!$D$5*DATA!$D$7)/1000000</f>
        <v>0.14050260594690128</v>
      </c>
      <c r="J24" s="316">
        <f t="shared" ca="1" si="1"/>
        <v>8.0531934381816264</v>
      </c>
      <c r="K24" s="314"/>
      <c r="L24" s="316">
        <f>((D24*DATA!$D$23)/1000000)+((E24*DATA!$D$24)/1000000)</f>
        <v>5.1840000000000002</v>
      </c>
      <c r="M24" s="316">
        <f t="shared" si="2"/>
        <v>5.1840000000000002</v>
      </c>
      <c r="N24" s="316">
        <f t="shared" ca="1" si="6"/>
        <v>-2.8691934381816262</v>
      </c>
      <c r="O24" s="315">
        <f>1/(1+'[93]Asumsi I'!$C$3)^(KKF!A24)</f>
        <v>0.14564434093128129</v>
      </c>
      <c r="P24" s="316">
        <f t="shared" ca="1" si="7"/>
        <v>-0.41788178730831987</v>
      </c>
      <c r="Q24" s="316">
        <f t="shared" ca="1" si="9"/>
        <v>-94.074433199981172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5760</v>
      </c>
      <c r="D25" s="316">
        <f t="shared" si="5"/>
        <v>960</v>
      </c>
      <c r="E25" s="316">
        <f t="shared" si="0"/>
        <v>4800</v>
      </c>
      <c r="F25" s="314"/>
      <c r="G25" s="318">
        <f ca="1">DATA!$D$11/1000000</f>
        <v>1.6681305679280001</v>
      </c>
      <c r="H25" s="318">
        <f>C25*DATA!$D$5/1000000</f>
        <v>6.244560264306724</v>
      </c>
      <c r="I25" s="318">
        <f>(C25*DATA!$D$5*DATA!$D$7)/1000000</f>
        <v>0.14050260594690128</v>
      </c>
      <c r="J25" s="316">
        <f t="shared" ca="1" si="1"/>
        <v>8.0531934381816264</v>
      </c>
      <c r="K25" s="314"/>
      <c r="L25" s="316">
        <f>((D25*DATA!$D$23)/1000000)+((E25*DATA!$D$24)/1000000)</f>
        <v>5.1840000000000002</v>
      </c>
      <c r="M25" s="316">
        <f t="shared" si="2"/>
        <v>5.1840000000000002</v>
      </c>
      <c r="N25" s="316">
        <f t="shared" ca="1" si="6"/>
        <v>-2.8691934381816262</v>
      </c>
      <c r="O25" s="315">
        <f>1/(1+'[93]Asumsi I'!$C$3)^(KKF!A25)</f>
        <v>0.13003959011721541</v>
      </c>
      <c r="P25" s="316">
        <f t="shared" ca="1" si="7"/>
        <v>-0.3731087386681427</v>
      </c>
      <c r="Q25" s="316">
        <f t="shared" ca="1" si="9"/>
        <v>-94.447541938649309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5760</v>
      </c>
      <c r="D26" s="316">
        <f t="shared" si="5"/>
        <v>960</v>
      </c>
      <c r="E26" s="316">
        <f t="shared" si="0"/>
        <v>4800</v>
      </c>
      <c r="F26" s="314"/>
      <c r="G26" s="318">
        <f ca="1">DATA!$D$11/1000000</f>
        <v>1.6681305679280001</v>
      </c>
      <c r="H26" s="318">
        <f>C26*DATA!$D$5/1000000</f>
        <v>6.244560264306724</v>
      </c>
      <c r="I26" s="318">
        <f>(C26*DATA!$D$5*DATA!$D$7)/1000000</f>
        <v>0.14050260594690128</v>
      </c>
      <c r="J26" s="316">
        <f t="shared" ca="1" si="1"/>
        <v>8.0531934381816264</v>
      </c>
      <c r="K26" s="314"/>
      <c r="L26" s="316">
        <f>((D26*DATA!$D$23)/1000000)+((E26*DATA!$D$24)/1000000)</f>
        <v>5.1840000000000002</v>
      </c>
      <c r="M26" s="316">
        <f t="shared" si="2"/>
        <v>5.1840000000000002</v>
      </c>
      <c r="N26" s="316">
        <f t="shared" ca="1" si="6"/>
        <v>-2.8691934381816262</v>
      </c>
      <c r="O26" s="315">
        <f>1/(1+'[93]Asumsi I'!$C$3)^(KKF!A26)</f>
        <v>0.1161067768903709</v>
      </c>
      <c r="P26" s="316">
        <f t="shared" ca="1" si="7"/>
        <v>-0.33313280238227028</v>
      </c>
      <c r="Q26" s="316">
        <f t="shared" ca="1" si="9"/>
        <v>-94.780674741031575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5760</v>
      </c>
      <c r="D27" s="316">
        <f t="shared" si="5"/>
        <v>960</v>
      </c>
      <c r="E27" s="316">
        <f t="shared" si="0"/>
        <v>4800</v>
      </c>
      <c r="F27" s="314"/>
      <c r="G27" s="318">
        <f ca="1">DATA!$D$11/1000000</f>
        <v>1.6681305679280001</v>
      </c>
      <c r="H27" s="318">
        <f>C27*DATA!$D$5/1000000</f>
        <v>6.244560264306724</v>
      </c>
      <c r="I27" s="318">
        <f>(C27*DATA!$D$5*DATA!$D$7)/1000000</f>
        <v>0.14050260594690128</v>
      </c>
      <c r="J27" s="316">
        <f t="shared" ca="1" si="1"/>
        <v>8.0531934381816264</v>
      </c>
      <c r="K27" s="314"/>
      <c r="L27" s="316">
        <f>((D27*DATA!$D$23)/1000000)+((E27*DATA!$D$24)/1000000)</f>
        <v>5.1840000000000002</v>
      </c>
      <c r="M27" s="316">
        <f t="shared" si="2"/>
        <v>5.1840000000000002</v>
      </c>
      <c r="N27" s="316">
        <f t="shared" ca="1" si="6"/>
        <v>-2.8691934381816262</v>
      </c>
      <c r="O27" s="315">
        <f>1/(1+'[93]Asumsi I'!$C$3)^(KKF!A27)</f>
        <v>0.1036667650806883</v>
      </c>
      <c r="P27" s="316">
        <f t="shared" ca="1" si="7"/>
        <v>-0.29744000212702698</v>
      </c>
      <c r="Q27" s="316">
        <f t="shared" ca="1" si="9"/>
        <v>-95.078114743158608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5760</v>
      </c>
      <c r="D28" s="316">
        <f t="shared" si="5"/>
        <v>960</v>
      </c>
      <c r="E28" s="316">
        <f t="shared" si="0"/>
        <v>4800</v>
      </c>
      <c r="F28" s="314"/>
      <c r="G28" s="318">
        <f ca="1">DATA!$D$11/1000000</f>
        <v>1.6681305679280001</v>
      </c>
      <c r="H28" s="318">
        <f>C28*DATA!$D$5/1000000</f>
        <v>6.244560264306724</v>
      </c>
      <c r="I28" s="318">
        <f>(C28*DATA!$D$5*DATA!$D$7)/1000000</f>
        <v>0.14050260594690128</v>
      </c>
      <c r="J28" s="316">
        <f t="shared" ca="1" si="1"/>
        <v>8.0531934381816264</v>
      </c>
      <c r="K28" s="314"/>
      <c r="L28" s="316">
        <f>((D28*DATA!$D$23)/1000000)+((E28*DATA!$D$24)/1000000)</f>
        <v>5.1840000000000002</v>
      </c>
      <c r="M28" s="316">
        <f t="shared" si="2"/>
        <v>5.1840000000000002</v>
      </c>
      <c r="N28" s="316">
        <f t="shared" ca="1" si="6"/>
        <v>-2.8691934381816262</v>
      </c>
      <c r="O28" s="315">
        <f>1/(1+'[93]Asumsi I'!$C$3)^(KKF!A28)</f>
        <v>9.2559611679185971E-2</v>
      </c>
      <c r="P28" s="316">
        <f t="shared" ca="1" si="7"/>
        <v>-0.26557143047055981</v>
      </c>
      <c r="Q28" s="316">
        <f t="shared" ca="1" si="9"/>
        <v>-95.343686173629166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5760</v>
      </c>
      <c r="D29" s="316">
        <f t="shared" si="5"/>
        <v>960</v>
      </c>
      <c r="E29" s="316">
        <f t="shared" si="0"/>
        <v>4800</v>
      </c>
      <c r="F29" s="314"/>
      <c r="G29" s="318">
        <f ca="1">DATA!$D$11/1000000</f>
        <v>1.6681305679280001</v>
      </c>
      <c r="H29" s="318">
        <f>C29*DATA!$D$5/1000000</f>
        <v>6.244560264306724</v>
      </c>
      <c r="I29" s="318">
        <f>(C29*DATA!$D$5*DATA!$D$7)/1000000</f>
        <v>0.14050260594690128</v>
      </c>
      <c r="J29" s="316">
        <f t="shared" ca="1" si="1"/>
        <v>8.0531934381816264</v>
      </c>
      <c r="K29" s="314"/>
      <c r="L29" s="316">
        <f>((D29*DATA!$D$23)/1000000)+((E29*DATA!$D$24)/1000000)</f>
        <v>5.1840000000000002</v>
      </c>
      <c r="M29" s="316">
        <f t="shared" si="2"/>
        <v>5.1840000000000002</v>
      </c>
      <c r="N29" s="316">
        <f t="shared" ca="1" si="6"/>
        <v>-2.8691934381816262</v>
      </c>
      <c r="O29" s="315">
        <f>1/(1+'[93]Asumsi I'!$C$3)^(KKF!A29)</f>
        <v>8.2642510427844609E-2</v>
      </c>
      <c r="P29" s="316">
        <f t="shared" ca="1" si="7"/>
        <v>-0.23711734863442838</v>
      </c>
      <c r="Q29" s="316">
        <f t="shared" ca="1" si="9"/>
        <v>-95.580803522263594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5760</v>
      </c>
      <c r="D30" s="316">
        <f t="shared" si="5"/>
        <v>960</v>
      </c>
      <c r="E30" s="316">
        <f t="shared" si="0"/>
        <v>4800</v>
      </c>
      <c r="F30" s="314"/>
      <c r="G30" s="318">
        <f ca="1">DATA!$D$11/1000000</f>
        <v>1.6681305679280001</v>
      </c>
      <c r="H30" s="318">
        <f>C30*DATA!$D$5/1000000</f>
        <v>6.244560264306724</v>
      </c>
      <c r="I30" s="318">
        <f>(C30*DATA!$D$5*DATA!$D$7)/1000000</f>
        <v>0.14050260594690128</v>
      </c>
      <c r="J30" s="316">
        <f t="shared" ca="1" si="1"/>
        <v>8.0531934381816264</v>
      </c>
      <c r="K30" s="314"/>
      <c r="L30" s="316">
        <f>((D30*DATA!$D$23)/1000000)+((E30*DATA!$D$24)/1000000)</f>
        <v>5.1840000000000002</v>
      </c>
      <c r="M30" s="316">
        <f t="shared" si="2"/>
        <v>5.1840000000000002</v>
      </c>
      <c r="N30" s="316">
        <f t="shared" ca="1" si="6"/>
        <v>-2.8691934381816262</v>
      </c>
      <c r="O30" s="315">
        <f>1/(1+'[93]Asumsi I'!$C$3)^(KKF!A30)</f>
        <v>7.3787955739146982E-2</v>
      </c>
      <c r="P30" s="316">
        <f t="shared" ca="1" si="7"/>
        <v>-0.2117119184235968</v>
      </c>
      <c r="Q30" s="316">
        <f t="shared" ca="1" si="9"/>
        <v>-95.792515440687197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5760</v>
      </c>
      <c r="D31" s="316">
        <f t="shared" si="5"/>
        <v>960</v>
      </c>
      <c r="E31" s="316">
        <f t="shared" si="0"/>
        <v>4800</v>
      </c>
      <c r="F31" s="314"/>
      <c r="G31" s="318">
        <f ca="1">DATA!$D$11/1000000</f>
        <v>1.6681305679280001</v>
      </c>
      <c r="H31" s="318">
        <f>C31*DATA!$D$5/1000000</f>
        <v>6.244560264306724</v>
      </c>
      <c r="I31" s="318">
        <f>(C31*DATA!$D$5*DATA!$D$7)/1000000</f>
        <v>0.14050260594690128</v>
      </c>
      <c r="J31" s="316">
        <f t="shared" ca="1" si="1"/>
        <v>8.0531934381816264</v>
      </c>
      <c r="K31" s="314"/>
      <c r="L31" s="316">
        <f>((D31*DATA!$D$23)/1000000)+((E31*DATA!$D$24)/1000000)</f>
        <v>5.1840000000000002</v>
      </c>
      <c r="M31" s="316">
        <f t="shared" si="2"/>
        <v>5.1840000000000002</v>
      </c>
      <c r="N31" s="316">
        <f t="shared" ca="1" si="6"/>
        <v>-2.8691934381816262</v>
      </c>
      <c r="O31" s="315">
        <f>1/(1+'[93]Asumsi I'!$C$3)^(KKF!A31)</f>
        <v>6.5882103338524081E-2</v>
      </c>
      <c r="P31" s="316">
        <f t="shared" ca="1" si="7"/>
        <v>-0.1890284985924971</v>
      </c>
      <c r="Q31" s="316">
        <f ca="1">Q30+P31</f>
        <v>-95.981543939279689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5760</v>
      </c>
      <c r="D32" s="316">
        <f t="shared" si="5"/>
        <v>960</v>
      </c>
      <c r="E32" s="316">
        <f t="shared" si="0"/>
        <v>4800</v>
      </c>
      <c r="F32" s="314"/>
      <c r="G32" s="318">
        <f ca="1">DATA!$D$11/1000000</f>
        <v>1.6681305679280001</v>
      </c>
      <c r="H32" s="318">
        <f>C32*DATA!$D$5/1000000</f>
        <v>6.244560264306724</v>
      </c>
      <c r="I32" s="318">
        <f>(C32*DATA!$D$5*DATA!$D$7)/1000000</f>
        <v>0.14050260594690128</v>
      </c>
      <c r="J32" s="316">
        <f t="shared" ca="1" si="1"/>
        <v>8.0531934381816264</v>
      </c>
      <c r="K32" s="314"/>
      <c r="L32" s="316">
        <f>((D32*DATA!$D$23)/1000000)+((E32*DATA!$D$24)/1000000)</f>
        <v>5.1840000000000002</v>
      </c>
      <c r="M32" s="316">
        <f t="shared" si="2"/>
        <v>5.1840000000000002</v>
      </c>
      <c r="N32" s="316">
        <f t="shared" ca="1" si="6"/>
        <v>-2.8691934381816262</v>
      </c>
      <c r="O32" s="315">
        <f>1/(1+'[93]Asumsi I'!$C$3)^(KKF!A32)</f>
        <v>5.8823306552253637E-2</v>
      </c>
      <c r="P32" s="316">
        <f t="shared" ca="1" si="7"/>
        <v>-0.1687754451718724</v>
      </c>
      <c r="Q32" s="316">
        <f ca="1">Q31+P32</f>
        <v>-96.150319384451564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9" t="s">
        <v>1374</v>
      </c>
      <c r="G33" s="619"/>
      <c r="H33" s="619"/>
      <c r="I33" s="324"/>
      <c r="J33" s="325">
        <f ca="1">SUM(J7:J32)</f>
        <v>287.46867206391101</v>
      </c>
      <c r="K33" s="619" t="s">
        <v>1375</v>
      </c>
      <c r="L33" s="619"/>
      <c r="M33" s="325">
        <f>SUM(M7:M32)</f>
        <v>142.09199999999996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-30.021968879157011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0.49428690430799216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-85.848499450403168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63"/>
  <sheetViews>
    <sheetView showGridLines="0" zoomScale="85" zoomScaleNormal="85" zoomScaleSheetLayoutView="70" workbookViewId="0">
      <pane ySplit="13" topLeftCell="A154" activePane="bottomLeft" state="frozen"/>
      <selection activeCell="H1093" sqref="H1093"/>
      <selection pane="bottomLeft" activeCell="I160" sqref="I160:K160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2" t="s">
        <v>1036</v>
      </c>
      <c r="P3" s="642"/>
      <c r="Q3" s="346"/>
      <c r="T3" s="344"/>
      <c r="U3" s="345" t="s">
        <v>1041</v>
      </c>
      <c r="V3" s="344"/>
    </row>
    <row r="4" spans="1:22" ht="15.75" customHeight="1">
      <c r="B4" s="643" t="s">
        <v>1023</v>
      </c>
      <c r="C4" s="643"/>
      <c r="D4" s="643"/>
      <c r="E4" s="643"/>
      <c r="F4" s="643"/>
      <c r="G4" s="643"/>
      <c r="H4" s="643"/>
      <c r="I4" s="643"/>
      <c r="J4" s="643"/>
      <c r="K4" s="643"/>
      <c r="O4" s="642"/>
      <c r="P4" s="64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6" t="str">
        <f>DATA!D14</f>
        <v>SMP GAJAH</v>
      </c>
      <c r="H6" s="626"/>
      <c r="I6" s="626"/>
      <c r="J6" s="626"/>
      <c r="K6" s="62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5" t="s">
        <v>0</v>
      </c>
      <c r="C11" s="647" t="s">
        <v>1</v>
      </c>
      <c r="D11" s="636" t="s">
        <v>42</v>
      </c>
      <c r="E11" s="636" t="s">
        <v>43</v>
      </c>
      <c r="F11" s="636" t="s">
        <v>2</v>
      </c>
      <c r="G11" s="650" t="s">
        <v>41</v>
      </c>
      <c r="H11" s="636" t="s">
        <v>3</v>
      </c>
      <c r="I11" s="636"/>
      <c r="J11" s="636"/>
      <c r="K11" s="63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6"/>
      <c r="C12" s="648"/>
      <c r="D12" s="640"/>
      <c r="E12" s="640"/>
      <c r="F12" s="640"/>
      <c r="G12" s="651"/>
      <c r="H12" s="638" t="s">
        <v>46</v>
      </c>
      <c r="I12" s="638" t="s">
        <v>5</v>
      </c>
      <c r="J12" s="640" t="s">
        <v>47</v>
      </c>
      <c r="K12" s="64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6"/>
      <c r="C13" s="649"/>
      <c r="D13" s="640"/>
      <c r="E13" s="640"/>
      <c r="F13" s="640"/>
      <c r="G13" s="652"/>
      <c r="H13" s="639"/>
      <c r="I13" s="639"/>
      <c r="J13" s="640"/>
      <c r="K13" s="64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6074400</v>
      </c>
      <c r="J17" s="361">
        <f t="shared" ca="1" si="6"/>
        <v>0</v>
      </c>
      <c r="K17" s="362">
        <f t="shared" ca="1" si="7"/>
        <v>6074400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:H21" ca="1" si="8">IF(OR(D18="MDU",D18="MDU-KD"),(IF($O$3="RAB NON MDU","PLN KD",G18*F18)),0)</f>
        <v>0</v>
      </c>
      <c r="I18" s="361">
        <f t="shared" ref="I18:I21" ca="1" si="9">IF(D18="HDW",G18*F18,0)</f>
        <v>0</v>
      </c>
      <c r="J18" s="361">
        <f t="shared" ref="J18:J21" ca="1" si="10">IF(D18="JASA",G18*F18,0)</f>
        <v>10066.666666666668</v>
      </c>
      <c r="K18" s="362">
        <f t="shared" ref="K18:K21" ca="1" si="11">SUM(H18:J18)</f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4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8"/>
        <v>0</v>
      </c>
      <c r="I19" s="361">
        <f t="shared" ca="1" si="9"/>
        <v>200000</v>
      </c>
      <c r="J19" s="361">
        <f t="shared" ca="1" si="10"/>
        <v>0</v>
      </c>
      <c r="K19" s="362">
        <f t="shared" ca="1" si="11"/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1607</v>
      </c>
      <c r="C21" s="367" t="s">
        <v>1621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1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" ca="1" si="12">IF(OR(D22="MDU",D22="MDU-KD"),(IF($O$3="RAB NON MDU","PLN KD",G22*F22)),0)</f>
        <v>0</v>
      </c>
      <c r="I22" s="361">
        <f t="shared" ref="I22" ca="1" si="13">IF(D22="HDW",G22*F22,0)</f>
        <v>0</v>
      </c>
      <c r="J22" s="361">
        <f t="shared" ref="J22" ca="1" si="14">IF(D22="JASA",G22*F22,0)</f>
        <v>0</v>
      </c>
      <c r="K22" s="362">
        <f t="shared" ref="K22" ca="1" si="15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08" t="s">
        <v>1035</v>
      </c>
      <c r="C23" s="509" t="s">
        <v>1615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" ca="1" si="16">IF(OR(D23="MDU",D23="MDU-KD"),(IF($O$3="RAB NON MDU","PLN KD",G23*F23)),0)</f>
        <v>0</v>
      </c>
      <c r="I23" s="361">
        <f t="shared" ref="I23" ca="1" si="17">IF(D23="HDW",G23*F23,0)</f>
        <v>0</v>
      </c>
      <c r="J23" s="361">
        <f t="shared" ref="J23" ca="1" si="18">IF(D23="JASA",G23*F23,0)</f>
        <v>0</v>
      </c>
      <c r="K23" s="362">
        <f t="shared" ref="K23" ca="1" si="19">SUM(H23:J23)</f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08">
        <v>1</v>
      </c>
      <c r="C24" s="109" t="s">
        <v>1129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F23*1</f>
        <v>1</v>
      </c>
      <c r="G24" s="360">
        <f ca="1">IF(ISERROR(OFFSET('HARGA SATUAN'!$I$6,MATCH(RAB!C24,'HARGA SATUAN'!$C$7:$C$1492,0),0)),0,OFFSET('HARGA SATUAN'!$I$6,MATCH(RAB!C24,'HARGA SATUAN'!$C$7:$C$1492,0),0))</f>
        <v>176900</v>
      </c>
      <c r="H24" s="361">
        <f t="shared" ref="H24:H28" ca="1" si="20">IF(OR(D24="MDU",D24="MDU-KD"),(IF($O$3="RAB NON MDU","PLN KD",G24*F24)),0)</f>
        <v>176900</v>
      </c>
      <c r="I24" s="361">
        <f t="shared" ref="I24:I28" ca="1" si="21">IF(D24="HDW",G24*F24,0)</f>
        <v>0</v>
      </c>
      <c r="J24" s="361">
        <f t="shared" ref="J24:J28" ca="1" si="22">IF(D24="JASA",G24*F24,0)</f>
        <v>0</v>
      </c>
      <c r="K24" s="362">
        <f t="shared" ref="K24:K28" ca="1" si="23">SUM(H24:J24)</f>
        <v>176900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08">
        <v>2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F23*2</f>
        <v>2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20"/>
        <v>353800</v>
      </c>
      <c r="I25" s="361">
        <f t="shared" ca="1" si="21"/>
        <v>0</v>
      </c>
      <c r="J25" s="361">
        <f t="shared" ca="1" si="22"/>
        <v>0</v>
      </c>
      <c r="K25" s="362">
        <f t="shared" ca="1" si="23"/>
        <v>353800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08">
        <v>3</v>
      </c>
      <c r="C26" s="509" t="s">
        <v>28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F23*3</f>
        <v>3</v>
      </c>
      <c r="G26" s="360">
        <f ca="1">IF(ISERROR(OFFSET('HARGA SATUAN'!$I$6,MATCH(RAB!C26,'HARGA SATUAN'!$C$7:$C$1492,0),0)),0,OFFSET('HARGA SATUAN'!$I$6,MATCH(RAB!C26,'HARGA SATUAN'!$C$7:$C$1492,0),0))</f>
        <v>26500</v>
      </c>
      <c r="H26" s="361">
        <f t="shared" ca="1" si="20"/>
        <v>0</v>
      </c>
      <c r="I26" s="361">
        <f t="shared" ca="1" si="21"/>
        <v>79500</v>
      </c>
      <c r="J26" s="361">
        <f t="shared" ca="1" si="22"/>
        <v>0</v>
      </c>
      <c r="K26" s="362">
        <f t="shared" ca="1" si="23"/>
        <v>79500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08">
        <v>4</v>
      </c>
      <c r="C27" s="509" t="s">
        <v>163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F23*2</f>
        <v>2</v>
      </c>
      <c r="G27" s="360">
        <f ca="1">IF(ISERROR(OFFSET('HARGA SATUAN'!$I$6,MATCH(RAB!C27,'HARGA SATUAN'!$C$7:$C$1492,0),0)),0,OFFSET('HARGA SATUAN'!$I$6,MATCH(RAB!C27,'HARGA SATUAN'!$C$7:$C$1492,0),0))</f>
        <v>7938</v>
      </c>
      <c r="H27" s="361">
        <f t="shared" ca="1" si="20"/>
        <v>0</v>
      </c>
      <c r="I27" s="361">
        <f t="shared" ca="1" si="21"/>
        <v>15876</v>
      </c>
      <c r="J27" s="361">
        <f t="shared" ca="1" si="22"/>
        <v>0</v>
      </c>
      <c r="K27" s="362">
        <f t="shared" ca="1" si="23"/>
        <v>15876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08">
        <v>5</v>
      </c>
      <c r="C28" s="509" t="s">
        <v>168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F23*1</f>
        <v>1</v>
      </c>
      <c r="G28" s="360">
        <f ca="1">IF(ISERROR(OFFSET('HARGA SATUAN'!$I$6,MATCH(RAB!C28,'HARGA SATUAN'!$C$7:$C$1492,0),0)),0,OFFSET('HARGA SATUAN'!$I$6,MATCH(RAB!C28,'HARGA SATUAN'!$C$7:$C$1492,0),0))</f>
        <v>33600</v>
      </c>
      <c r="H28" s="361">
        <f t="shared" ca="1" si="20"/>
        <v>0</v>
      </c>
      <c r="I28" s="361">
        <f t="shared" ca="1" si="21"/>
        <v>33600</v>
      </c>
      <c r="J28" s="361">
        <f t="shared" ca="1" si="22"/>
        <v>0</v>
      </c>
      <c r="K28" s="362">
        <f t="shared" ca="1" si="23"/>
        <v>33600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08">
        <v>6</v>
      </c>
      <c r="C29" s="509" t="s">
        <v>173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F23*2</f>
        <v>2</v>
      </c>
      <c r="G29" s="360">
        <f ca="1">IF(ISERROR(OFFSET('HARGA SATUAN'!$I$6,MATCH(RAB!C29,'HARGA SATUAN'!$C$7:$C$1492,0),0)),0,OFFSET('HARGA SATUAN'!$I$6,MATCH(RAB!C29,'HARGA SATUAN'!$C$7:$C$1492,0),0))</f>
        <v>45000</v>
      </c>
      <c r="H29" s="361">
        <f t="shared" ref="H29:H38" ca="1" si="24">IF(OR(D29="MDU",D29="MDU-KD"),(IF($O$3="RAB NON MDU","PLN KD",G29*F29)),0)</f>
        <v>0</v>
      </c>
      <c r="I29" s="361">
        <f t="shared" ref="I29:I38" ca="1" si="25">IF(D29="HDW",G29*F29,0)</f>
        <v>90000</v>
      </c>
      <c r="J29" s="361">
        <f t="shared" ref="J29:J38" ca="1" si="26">IF(D29="JASA",G29*F29,0)</f>
        <v>0</v>
      </c>
      <c r="K29" s="362">
        <f t="shared" ref="K29:K38" ca="1" si="27">SUM(H29:J29)</f>
        <v>90000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08">
        <v>7</v>
      </c>
      <c r="C30" s="509" t="s">
        <v>178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F23*1</f>
        <v>1</v>
      </c>
      <c r="G30" s="360">
        <f ca="1">IF(ISERROR(OFFSET('HARGA SATUAN'!$I$6,MATCH(RAB!C30,'HARGA SATUAN'!$C$7:$C$1492,0),0)),0,OFFSET('HARGA SATUAN'!$I$6,MATCH(RAB!C30,'HARGA SATUAN'!$C$7:$C$1492,0),0))</f>
        <v>95000</v>
      </c>
      <c r="H30" s="361">
        <f t="shared" ca="1" si="24"/>
        <v>0</v>
      </c>
      <c r="I30" s="361">
        <f t="shared" ca="1" si="25"/>
        <v>95000</v>
      </c>
      <c r="J30" s="361">
        <f t="shared" ca="1" si="26"/>
        <v>0</v>
      </c>
      <c r="K30" s="362">
        <f t="shared" ca="1" si="27"/>
        <v>95000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08">
        <v>8</v>
      </c>
      <c r="C31" s="509" t="s">
        <v>593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F23*1</f>
        <v>1</v>
      </c>
      <c r="G31" s="360">
        <f ca="1">IF(ISERROR(OFFSET('HARGA SATUAN'!$I$6,MATCH(RAB!C31,'HARGA SATUAN'!$C$7:$C$1492,0),0)),0,OFFSET('HARGA SATUAN'!$I$6,MATCH(RAB!C31,'HARGA SATUAN'!$C$7:$C$1492,0),0))</f>
        <v>380500</v>
      </c>
      <c r="H31" s="361">
        <f t="shared" ca="1" si="24"/>
        <v>0</v>
      </c>
      <c r="I31" s="361">
        <f t="shared" ca="1" si="25"/>
        <v>380500</v>
      </c>
      <c r="J31" s="361">
        <f t="shared" ca="1" si="26"/>
        <v>0</v>
      </c>
      <c r="K31" s="362">
        <f t="shared" ca="1" si="27"/>
        <v>380500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08">
        <v>9</v>
      </c>
      <c r="C32" s="509" t="s">
        <v>217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F23*4</f>
        <v>4</v>
      </c>
      <c r="G32" s="360">
        <f ca="1">IF(ISERROR(OFFSET('HARGA SATUAN'!$I$6,MATCH(RAB!C32,'HARGA SATUAN'!$C$7:$C$1492,0),0)),0,OFFSET('HARGA SATUAN'!$I$6,MATCH(RAB!C32,'HARGA SATUAN'!$C$7:$C$1492,0),0))</f>
        <v>11400</v>
      </c>
      <c r="H32" s="361">
        <f t="shared" ca="1" si="24"/>
        <v>0</v>
      </c>
      <c r="I32" s="361">
        <f t="shared" ca="1" si="25"/>
        <v>45600</v>
      </c>
      <c r="J32" s="361">
        <f t="shared" ca="1" si="26"/>
        <v>0</v>
      </c>
      <c r="K32" s="362">
        <f t="shared" ca="1" si="27"/>
        <v>45600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08">
        <v>10</v>
      </c>
      <c r="C33" s="509" t="s">
        <v>247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F23*1</f>
        <v>1</v>
      </c>
      <c r="G33" s="360">
        <f ca="1">IF(ISERROR(OFFSET('HARGA SATUAN'!$I$6,MATCH(RAB!C33,'HARGA SATUAN'!$C$7:$C$1492,0),0)),0,OFFSET('HARGA SATUAN'!$I$6,MATCH(RAB!C33,'HARGA SATUAN'!$C$7:$C$1492,0),0))</f>
        <v>57690</v>
      </c>
      <c r="H33" s="361">
        <f t="shared" ca="1" si="24"/>
        <v>0</v>
      </c>
      <c r="I33" s="361">
        <f t="shared" ca="1" si="25"/>
        <v>57690</v>
      </c>
      <c r="J33" s="361">
        <f t="shared" ca="1" si="26"/>
        <v>0</v>
      </c>
      <c r="K33" s="362">
        <f t="shared" ca="1" si="27"/>
        <v>57690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08">
        <v>11</v>
      </c>
      <c r="C34" s="509" t="s">
        <v>264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F23*1</f>
        <v>1</v>
      </c>
      <c r="G34" s="360">
        <f ca="1">IF(ISERROR(OFFSET('HARGA SATUAN'!$I$6,MATCH(RAB!C34,'HARGA SATUAN'!$C$7:$C$1492,0),0)),0,OFFSET('HARGA SATUAN'!$I$6,MATCH(RAB!C34,'HARGA SATUAN'!$C$7:$C$1492,0),0))</f>
        <v>28000</v>
      </c>
      <c r="H34" s="361">
        <f t="shared" ca="1" si="24"/>
        <v>0</v>
      </c>
      <c r="I34" s="361">
        <f t="shared" ca="1" si="25"/>
        <v>28000</v>
      </c>
      <c r="J34" s="361">
        <f t="shared" ca="1" si="26"/>
        <v>0</v>
      </c>
      <c r="K34" s="362">
        <f t="shared" ca="1" si="27"/>
        <v>28000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08">
        <v>12</v>
      </c>
      <c r="C35" s="509" t="s">
        <v>38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501">
        <f>6.2*F23</f>
        <v>6.2</v>
      </c>
      <c r="G35" s="360">
        <f ca="1">IF(ISERROR(OFFSET('HARGA SATUAN'!$I$6,MATCH(RAB!C35,'HARGA SATUAN'!$C$7:$C$1492,0),0)),0,OFFSET('HARGA SATUAN'!$I$6,MATCH(RAB!C35,'HARGA SATUAN'!$C$7:$C$1492,0),0))</f>
        <v>8550</v>
      </c>
      <c r="H35" s="361">
        <f t="shared" ca="1" si="24"/>
        <v>0</v>
      </c>
      <c r="I35" s="361">
        <f t="shared" ca="1" si="25"/>
        <v>53010</v>
      </c>
      <c r="J35" s="361">
        <f t="shared" ca="1" si="26"/>
        <v>0</v>
      </c>
      <c r="K35" s="362">
        <f t="shared" ca="1" si="27"/>
        <v>53010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08">
        <v>13</v>
      </c>
      <c r="C36" s="509" t="s">
        <v>26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F23*5</f>
        <v>5</v>
      </c>
      <c r="G36" s="360">
        <f ca="1">IF(ISERROR(OFFSET('HARGA SATUAN'!$I$6,MATCH(RAB!C36,'HARGA SATUAN'!$C$7:$C$1492,0),0)),0,OFFSET('HARGA SATUAN'!$I$6,MATCH(RAB!C36,'HARGA SATUAN'!$C$7:$C$1492,0),0))</f>
        <v>2500</v>
      </c>
      <c r="H36" s="361">
        <f t="shared" ca="1" si="24"/>
        <v>0</v>
      </c>
      <c r="I36" s="361">
        <f t="shared" ca="1" si="25"/>
        <v>12500</v>
      </c>
      <c r="J36" s="361">
        <f t="shared" ca="1" si="26"/>
        <v>0</v>
      </c>
      <c r="K36" s="362">
        <f t="shared" ca="1" si="27"/>
        <v>12500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08">
        <v>14</v>
      </c>
      <c r="C37" s="509" t="s">
        <v>687</v>
      </c>
      <c r="D37" s="358" t="str">
        <f ca="1">IF(ISERROR(OFFSET('HARGA SATUAN'!$D$6,MATCH(RAB!C37,'HARGA SATUAN'!$C$7:$C$1492,0),0)),"",OFFSET('HARGA SATUAN'!$D$6,MATCH(RAB!C37,'HARGA SATUAN'!$C$7:$C$1492,0),0))</f>
        <v>JASA</v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1">
        <f>F23*1</f>
        <v>1</v>
      </c>
      <c r="G37" s="360">
        <f ca="1">IF(ISERROR(OFFSET('HARGA SATUAN'!$I$6,MATCH(RAB!C37,'HARGA SATUAN'!$C$7:$C$1492,0),0)),0,OFFSET('HARGA SATUAN'!$I$6,MATCH(RAB!C37,'HARGA SATUAN'!$C$7:$C$1492,0),0))</f>
        <v>111000</v>
      </c>
      <c r="H37" s="361">
        <f t="shared" ca="1" si="24"/>
        <v>0</v>
      </c>
      <c r="I37" s="361">
        <f t="shared" ca="1" si="25"/>
        <v>0</v>
      </c>
      <c r="J37" s="361">
        <f t="shared" ca="1" si="26"/>
        <v>111000</v>
      </c>
      <c r="K37" s="362">
        <f t="shared" ca="1" si="27"/>
        <v>111000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498"/>
      <c r="C38" s="499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501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4"/>
        <v>0</v>
      </c>
      <c r="I38" s="361">
        <f t="shared" ca="1" si="25"/>
        <v>0</v>
      </c>
      <c r="J38" s="361">
        <f t="shared" ca="1" si="26"/>
        <v>0</v>
      </c>
      <c r="K38" s="362">
        <f t="shared" ca="1" si="27"/>
        <v>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498"/>
      <c r="C39" s="522" t="s">
        <v>1618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501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58" ca="1" si="28">IF(OR(D39="MDU",D39="MDU-KD"),(IF($O$3="RAB NON MDU","PLN KD",G39*F39)),0)</f>
        <v>0</v>
      </c>
      <c r="I39" s="361">
        <f t="shared" ref="I39:I58" ca="1" si="29">IF(D39="HDW",G39*F39,0)</f>
        <v>0</v>
      </c>
      <c r="J39" s="361">
        <f t="shared" ref="J39:J58" ca="1" si="30">IF(D39="JASA",G39*F39,0)</f>
        <v>0</v>
      </c>
      <c r="K39" s="362">
        <f t="shared" ref="K39:K58" ca="1" si="31">SUM(H39:J39)</f>
        <v>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498"/>
      <c r="C40" s="499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1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8"/>
        <v>0</v>
      </c>
      <c r="I40" s="361">
        <f t="shared" ca="1" si="29"/>
        <v>0</v>
      </c>
      <c r="J40" s="361">
        <f t="shared" ca="1" si="30"/>
        <v>0</v>
      </c>
      <c r="K40" s="362">
        <f t="shared" ca="1" si="31"/>
        <v>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2" t="s">
        <v>1035</v>
      </c>
      <c r="C41" s="513" t="s">
        <v>1622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1">
        <v>2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28"/>
        <v>0</v>
      </c>
      <c r="I41" s="361">
        <f t="shared" ca="1" si="29"/>
        <v>0</v>
      </c>
      <c r="J41" s="361">
        <f t="shared" ca="1" si="30"/>
        <v>0</v>
      </c>
      <c r="K41" s="362">
        <f t="shared" ca="1" si="31"/>
        <v>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2">
        <v>1</v>
      </c>
      <c r="C42" s="513" t="s">
        <v>595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F41*1</f>
        <v>2</v>
      </c>
      <c r="G42" s="360">
        <f ca="1">IF(ISERROR(OFFSET('HARGA SATUAN'!$I$6,MATCH(RAB!C42,'HARGA SATUAN'!$C$7:$C$1492,0),0)),0,OFFSET('HARGA SATUAN'!$I$6,MATCH(RAB!C42,'HARGA SATUAN'!$C$7:$C$1492,0),0))</f>
        <v>78500</v>
      </c>
      <c r="H42" s="361">
        <f t="shared" ca="1" si="28"/>
        <v>0</v>
      </c>
      <c r="I42" s="361">
        <f t="shared" ca="1" si="29"/>
        <v>157000</v>
      </c>
      <c r="J42" s="361">
        <f t="shared" ca="1" si="30"/>
        <v>0</v>
      </c>
      <c r="K42" s="362">
        <f t="shared" ca="1" si="31"/>
        <v>157000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12">
        <v>2</v>
      </c>
      <c r="C43" s="513" t="s">
        <v>229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F41*1</f>
        <v>2</v>
      </c>
      <c r="G43" s="360">
        <f ca="1">IF(ISERROR(OFFSET('HARGA SATUAN'!$I$6,MATCH(RAB!C43,'HARGA SATUAN'!$C$7:$C$1492,0),0)),0,OFFSET('HARGA SATUAN'!$I$6,MATCH(RAB!C43,'HARGA SATUAN'!$C$7:$C$1492,0),0))</f>
        <v>4212</v>
      </c>
      <c r="H43" s="361">
        <f t="shared" ca="1" si="28"/>
        <v>0</v>
      </c>
      <c r="I43" s="361">
        <f t="shared" ca="1" si="29"/>
        <v>8424</v>
      </c>
      <c r="J43" s="361">
        <f t="shared" ca="1" si="30"/>
        <v>0</v>
      </c>
      <c r="K43" s="362">
        <f t="shared" ca="1" si="31"/>
        <v>8424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2">
        <v>3</v>
      </c>
      <c r="C44" s="513" t="s">
        <v>266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1">
        <f>F41*1</f>
        <v>2</v>
      </c>
      <c r="G44" s="360">
        <f ca="1">IF(ISERROR(OFFSET('HARGA SATUAN'!$I$6,MATCH(RAB!C44,'HARGA SATUAN'!$C$7:$C$1492,0),0)),0,OFFSET('HARGA SATUAN'!$I$6,MATCH(RAB!C44,'HARGA SATUAN'!$C$7:$C$1492,0),0))</f>
        <v>23310</v>
      </c>
      <c r="H44" s="361">
        <f t="shared" ca="1" si="28"/>
        <v>0</v>
      </c>
      <c r="I44" s="361">
        <f t="shared" ca="1" si="29"/>
        <v>46620</v>
      </c>
      <c r="J44" s="361">
        <f t="shared" ca="1" si="30"/>
        <v>0</v>
      </c>
      <c r="K44" s="362">
        <f t="shared" ca="1" si="31"/>
        <v>46620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2">
        <v>4</v>
      </c>
      <c r="C45" s="513" t="s">
        <v>35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1">
        <f>F41*1</f>
        <v>2</v>
      </c>
      <c r="G45" s="360">
        <f ca="1">IF(ISERROR(OFFSET('HARGA SATUAN'!$I$6,MATCH(RAB!C45,'HARGA SATUAN'!$C$7:$C$1492,0),0)),0,OFFSET('HARGA SATUAN'!$I$6,MATCH(RAB!C45,'HARGA SATUAN'!$C$7:$C$1492,0),0))</f>
        <v>2300</v>
      </c>
      <c r="H45" s="361">
        <f t="shared" ca="1" si="28"/>
        <v>0</v>
      </c>
      <c r="I45" s="361">
        <f t="shared" ca="1" si="29"/>
        <v>4600</v>
      </c>
      <c r="J45" s="361">
        <f t="shared" ca="1" si="30"/>
        <v>0</v>
      </c>
      <c r="K45" s="362">
        <f t="shared" ca="1" si="31"/>
        <v>4600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2">
        <v>5</v>
      </c>
      <c r="C46" s="513" t="s">
        <v>630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501">
        <f>F41*1</f>
        <v>2</v>
      </c>
      <c r="G46" s="360">
        <f ca="1">IF(ISERROR(OFFSET('HARGA SATUAN'!$I$6,MATCH(RAB!C46,'HARGA SATUAN'!$C$7:$C$1492,0),0)),0,OFFSET('HARGA SATUAN'!$I$6,MATCH(RAB!C46,'HARGA SATUAN'!$C$7:$C$1492,0),0))</f>
        <v>35700</v>
      </c>
      <c r="H46" s="361">
        <f t="shared" ca="1" si="28"/>
        <v>0</v>
      </c>
      <c r="I46" s="361">
        <f t="shared" ca="1" si="29"/>
        <v>0</v>
      </c>
      <c r="J46" s="361">
        <f t="shared" ca="1" si="30"/>
        <v>71400</v>
      </c>
      <c r="K46" s="362">
        <f t="shared" ca="1" si="31"/>
        <v>71400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/>
      <c r="C47" s="499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8"/>
        <v>0</v>
      </c>
      <c r="I47" s="361">
        <f t="shared" ca="1" si="29"/>
        <v>0</v>
      </c>
      <c r="J47" s="361">
        <f t="shared" ca="1" si="30"/>
        <v>0</v>
      </c>
      <c r="K47" s="362">
        <f t="shared" ca="1" si="31"/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2" t="s">
        <v>1035</v>
      </c>
      <c r="C48" s="513" t="s">
        <v>1623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8"/>
        <v>0</v>
      </c>
      <c r="I48" s="361">
        <f t="shared" ca="1" si="29"/>
        <v>0</v>
      </c>
      <c r="J48" s="361">
        <f t="shared" ca="1" si="30"/>
        <v>0</v>
      </c>
      <c r="K48" s="362">
        <f t="shared" ca="1" si="31"/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2">
        <v>1</v>
      </c>
      <c r="C49" s="513" t="s">
        <v>598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F48*1</f>
        <v>1</v>
      </c>
      <c r="G49" s="360">
        <f ca="1">IF(ISERROR(OFFSET('HARGA SATUAN'!$I$6,MATCH(RAB!C49,'HARGA SATUAN'!$C$7:$C$1492,0),0)),0,OFFSET('HARGA SATUAN'!$I$6,MATCH(RAB!C49,'HARGA SATUAN'!$C$7:$C$1492,0),0))</f>
        <v>3965</v>
      </c>
      <c r="H49" s="361">
        <f t="shared" ca="1" si="28"/>
        <v>0</v>
      </c>
      <c r="I49" s="361">
        <f t="shared" ca="1" si="29"/>
        <v>3965</v>
      </c>
      <c r="J49" s="361">
        <f t="shared" ca="1" si="30"/>
        <v>0</v>
      </c>
      <c r="K49" s="362">
        <f t="shared" ca="1" si="31"/>
        <v>3965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2">
        <v>2</v>
      </c>
      <c r="C50" s="513" t="s">
        <v>474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F48*1</f>
        <v>1</v>
      </c>
      <c r="G50" s="360">
        <f ca="1">IF(ISERROR(OFFSET('HARGA SATUAN'!$I$6,MATCH(RAB!C50,'HARGA SATUAN'!$C$7:$C$1492,0),0)),0,OFFSET('HARGA SATUAN'!$I$6,MATCH(RAB!C50,'HARGA SATUAN'!$C$7:$C$1492,0),0))</f>
        <v>3711.24</v>
      </c>
      <c r="H50" s="361">
        <f t="shared" ca="1" si="28"/>
        <v>0</v>
      </c>
      <c r="I50" s="361">
        <f t="shared" ca="1" si="29"/>
        <v>3711.24</v>
      </c>
      <c r="J50" s="361">
        <f t="shared" ca="1" si="30"/>
        <v>0</v>
      </c>
      <c r="K50" s="362">
        <f t="shared" ca="1" si="31"/>
        <v>3711.24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12">
        <v>3</v>
      </c>
      <c r="C51" s="513" t="s">
        <v>266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F48*1</f>
        <v>1</v>
      </c>
      <c r="G51" s="360">
        <f ca="1">IF(ISERROR(OFFSET('HARGA SATUAN'!$I$6,MATCH(RAB!C51,'HARGA SATUAN'!$C$7:$C$1492,0),0)),0,OFFSET('HARGA SATUAN'!$I$6,MATCH(RAB!C51,'HARGA SATUAN'!$C$7:$C$1492,0),0))</f>
        <v>23310</v>
      </c>
      <c r="H51" s="361">
        <f t="shared" ca="1" si="28"/>
        <v>0</v>
      </c>
      <c r="I51" s="361">
        <f t="shared" ca="1" si="29"/>
        <v>23310</v>
      </c>
      <c r="J51" s="361">
        <f t="shared" ca="1" si="30"/>
        <v>0</v>
      </c>
      <c r="K51" s="362">
        <f t="shared" ca="1" si="31"/>
        <v>23310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12">
        <v>4</v>
      </c>
      <c r="C52" s="513" t="s">
        <v>35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F48*1</f>
        <v>1</v>
      </c>
      <c r="G52" s="360">
        <f ca="1">IF(ISERROR(OFFSET('HARGA SATUAN'!$I$6,MATCH(RAB!C52,'HARGA SATUAN'!$C$7:$C$1492,0),0)),0,OFFSET('HARGA SATUAN'!$I$6,MATCH(RAB!C52,'HARGA SATUAN'!$C$7:$C$1492,0),0))</f>
        <v>2300</v>
      </c>
      <c r="H52" s="361">
        <f t="shared" ca="1" si="28"/>
        <v>0</v>
      </c>
      <c r="I52" s="361">
        <f t="shared" ca="1" si="29"/>
        <v>2300</v>
      </c>
      <c r="J52" s="361">
        <f t="shared" ca="1" si="30"/>
        <v>0</v>
      </c>
      <c r="K52" s="362">
        <f t="shared" ca="1" si="31"/>
        <v>2300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2">
        <v>5</v>
      </c>
      <c r="C53" s="513" t="s">
        <v>632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01">
        <f>F48*1</f>
        <v>1</v>
      </c>
      <c r="G53" s="360">
        <f ca="1">IF(ISERROR(OFFSET('HARGA SATUAN'!$I$6,MATCH(RAB!C53,'HARGA SATUAN'!$C$7:$C$1492,0),0)),0,OFFSET('HARGA SATUAN'!$I$6,MATCH(RAB!C53,'HARGA SATUAN'!$C$7:$C$1492,0),0))</f>
        <v>22700</v>
      </c>
      <c r="H53" s="361">
        <f t="shared" ca="1" si="28"/>
        <v>0</v>
      </c>
      <c r="I53" s="361">
        <f t="shared" ca="1" si="29"/>
        <v>0</v>
      </c>
      <c r="J53" s="361">
        <f t="shared" ca="1" si="30"/>
        <v>22700</v>
      </c>
      <c r="K53" s="362">
        <f t="shared" ca="1" si="31"/>
        <v>22700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2"/>
      <c r="C54" s="513"/>
      <c r="D54" s="358"/>
      <c r="E54" s="359"/>
      <c r="F54" s="501"/>
      <c r="G54" s="360"/>
      <c r="H54" s="361"/>
      <c r="I54" s="361"/>
      <c r="J54" s="361"/>
      <c r="K54" s="362"/>
      <c r="L54" s="342"/>
      <c r="M54" s="342"/>
      <c r="N54" s="369"/>
      <c r="O54" s="344"/>
      <c r="P54" s="397"/>
      <c r="Q54" s="344"/>
    </row>
    <row r="55" spans="1:17" s="365" customFormat="1">
      <c r="A55" s="336"/>
      <c r="B55" s="498"/>
      <c r="C55" s="521" t="s">
        <v>1629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28"/>
        <v>0</v>
      </c>
      <c r="I55" s="361">
        <f t="shared" ca="1" si="29"/>
        <v>0</v>
      </c>
      <c r="J55" s="361">
        <f t="shared" ca="1" si="30"/>
        <v>0</v>
      </c>
      <c r="K55" s="362">
        <f t="shared" ca="1" si="31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498">
        <v>1</v>
      </c>
      <c r="C56" s="109" t="s">
        <v>1403</v>
      </c>
      <c r="D56" s="358" t="str">
        <f ca="1">IF(ISERROR(OFFSET('HARGA SATUAN'!$D$6,MATCH(RAB!C56,'HARGA SATUAN'!$C$7:$C$1492,0),0)),"",OFFSET('HARGA SATUAN'!$D$6,MATCH(RAB!C56,'HARGA SATUAN'!$C$7:$C$1492,0),0))</f>
        <v>MDU-KD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501">
        <v>60</v>
      </c>
      <c r="G56" s="360">
        <f ca="1">IF(ISERROR(OFFSET('HARGA SATUAN'!$I$6,MATCH(RAB!C56,'HARGA SATUAN'!$C$7:$C$1492,0),0)),0,OFFSET('HARGA SATUAN'!$I$6,MATCH(RAB!C56,'HARGA SATUAN'!$C$7:$C$1492,0),0))</f>
        <v>30400</v>
      </c>
      <c r="H56" s="361">
        <f t="shared" ca="1" si="28"/>
        <v>1824000</v>
      </c>
      <c r="I56" s="361">
        <f t="shared" ca="1" si="29"/>
        <v>0</v>
      </c>
      <c r="J56" s="361">
        <f t="shared" ca="1" si="30"/>
        <v>0</v>
      </c>
      <c r="K56" s="362">
        <f t="shared" ca="1" si="31"/>
        <v>1824000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498">
        <v>2</v>
      </c>
      <c r="C57" s="514" t="s">
        <v>1624</v>
      </c>
      <c r="D57" s="515" t="s">
        <v>47</v>
      </c>
      <c r="E57" s="516" t="s">
        <v>297</v>
      </c>
      <c r="F57" s="516">
        <f>F56/50</f>
        <v>1.2</v>
      </c>
      <c r="G57" s="517">
        <v>85000</v>
      </c>
      <c r="H57" s="361">
        <f t="shared" si="28"/>
        <v>0</v>
      </c>
      <c r="I57" s="361">
        <f t="shared" si="29"/>
        <v>0</v>
      </c>
      <c r="J57" s="361">
        <f t="shared" si="30"/>
        <v>102000</v>
      </c>
      <c r="K57" s="362">
        <f t="shared" si="31"/>
        <v>102000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498"/>
      <c r="C58" s="499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01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8"/>
        <v>0</v>
      </c>
      <c r="I58" s="361">
        <f t="shared" ca="1" si="29"/>
        <v>0</v>
      </c>
      <c r="J58" s="361">
        <f t="shared" ca="1" si="30"/>
        <v>0</v>
      </c>
      <c r="K58" s="362">
        <f t="shared" ca="1" si="31"/>
        <v>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498"/>
      <c r="C59" s="521" t="s">
        <v>1628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501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ref="H59:H81" ca="1" si="32">IF(OR(D59="MDU",D59="MDU-KD"),(IF($O$3="RAB NON MDU","PLN KD",G59*F59)),0)</f>
        <v>0</v>
      </c>
      <c r="I59" s="361">
        <f t="shared" ref="I59:I81" ca="1" si="33">IF(D59="HDW",G59*F59,0)</f>
        <v>0</v>
      </c>
      <c r="J59" s="361">
        <f t="shared" ref="J59:J81" ca="1" si="34">IF(D59="JASA",G59*F59,0)</f>
        <v>0</v>
      </c>
      <c r="K59" s="362">
        <f t="shared" ref="K59:K81" ca="1" si="35">SUM(H59:J59)</f>
        <v>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12" t="s">
        <v>1035</v>
      </c>
      <c r="C60" s="513" t="s">
        <v>1625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1">
        <v>1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32"/>
        <v>0</v>
      </c>
      <c r="I60" s="361">
        <f t="shared" ca="1" si="33"/>
        <v>0</v>
      </c>
      <c r="J60" s="361">
        <f t="shared" ca="1" si="34"/>
        <v>0</v>
      </c>
      <c r="K60" s="362">
        <f t="shared" ca="1" si="35"/>
        <v>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2">
        <v>1</v>
      </c>
      <c r="C61" s="513" t="s">
        <v>28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F60*1</f>
        <v>1</v>
      </c>
      <c r="G61" s="360">
        <f ca="1">IF(ISERROR(OFFSET('HARGA SATUAN'!$I$6,MATCH(RAB!C61,'HARGA SATUAN'!$C$7:$C$1492,0),0)),0,OFFSET('HARGA SATUAN'!$I$6,MATCH(RAB!C61,'HARGA SATUAN'!$C$7:$C$1492,0),0))</f>
        <v>26500</v>
      </c>
      <c r="H61" s="361">
        <f t="shared" ca="1" si="32"/>
        <v>0</v>
      </c>
      <c r="I61" s="361">
        <f t="shared" ca="1" si="33"/>
        <v>26500</v>
      </c>
      <c r="J61" s="361">
        <f t="shared" ca="1" si="34"/>
        <v>0</v>
      </c>
      <c r="K61" s="362">
        <f t="shared" ca="1" si="35"/>
        <v>26500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2">
        <v>2</v>
      </c>
      <c r="C62" s="513" t="s">
        <v>203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F60*1</f>
        <v>1</v>
      </c>
      <c r="G62" s="360">
        <f ca="1">IF(ISERROR(OFFSET('HARGA SATUAN'!$I$6,MATCH(RAB!C62,'HARGA SATUAN'!$C$7:$C$1492,0),0)),0,OFFSET('HARGA SATUAN'!$I$6,MATCH(RAB!C62,'HARGA SATUAN'!$C$7:$C$1492,0),0))</f>
        <v>12500</v>
      </c>
      <c r="H62" s="361">
        <f t="shared" ca="1" si="32"/>
        <v>0</v>
      </c>
      <c r="I62" s="361">
        <f t="shared" ca="1" si="33"/>
        <v>12500</v>
      </c>
      <c r="J62" s="361">
        <f t="shared" ca="1" si="34"/>
        <v>0</v>
      </c>
      <c r="K62" s="362">
        <f t="shared" ca="1" si="35"/>
        <v>12500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12">
        <v>3</v>
      </c>
      <c r="C63" s="513" t="s">
        <v>206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501">
        <f>F60*12</f>
        <v>12</v>
      </c>
      <c r="G63" s="360">
        <f ca="1">IF(ISERROR(OFFSET('HARGA SATUAN'!$I$6,MATCH(RAB!C63,'HARGA SATUAN'!$C$7:$C$1492,0),0)),0,OFFSET('HARGA SATUAN'!$I$6,MATCH(RAB!C63,'HARGA SATUAN'!$C$7:$C$1492,0),0))</f>
        <v>39204</v>
      </c>
      <c r="H63" s="361">
        <f t="shared" ca="1" si="32"/>
        <v>0</v>
      </c>
      <c r="I63" s="361">
        <f t="shared" ca="1" si="33"/>
        <v>470448</v>
      </c>
      <c r="J63" s="361">
        <f t="shared" ca="1" si="34"/>
        <v>0</v>
      </c>
      <c r="K63" s="362">
        <f t="shared" ca="1" si="35"/>
        <v>470448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12">
        <v>4</v>
      </c>
      <c r="C64" s="513" t="s">
        <v>287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F60*2</f>
        <v>2</v>
      </c>
      <c r="G64" s="360">
        <f ca="1">IF(ISERROR(OFFSET('HARGA SATUAN'!$I$6,MATCH(RAB!C64,'HARGA SATUAN'!$C$7:$C$1492,0),0)),0,OFFSET('HARGA SATUAN'!$I$6,MATCH(RAB!C64,'HARGA SATUAN'!$C$7:$C$1492,0),0))</f>
        <v>40000</v>
      </c>
      <c r="H64" s="361">
        <f t="shared" ca="1" si="32"/>
        <v>0</v>
      </c>
      <c r="I64" s="361">
        <f t="shared" ca="1" si="33"/>
        <v>80000</v>
      </c>
      <c r="J64" s="361">
        <f t="shared" ca="1" si="34"/>
        <v>0</v>
      </c>
      <c r="K64" s="362">
        <f t="shared" ca="1" si="35"/>
        <v>80000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2">
        <v>5</v>
      </c>
      <c r="C65" s="513" t="s">
        <v>26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F60*1</f>
        <v>1</v>
      </c>
      <c r="G65" s="360">
        <f ca="1">IF(ISERROR(OFFSET('HARGA SATUAN'!$I$6,MATCH(RAB!C65,'HARGA SATUAN'!$C$7:$C$1492,0),0)),0,OFFSET('HARGA SATUAN'!$I$6,MATCH(RAB!C65,'HARGA SATUAN'!$C$7:$C$1492,0),0))</f>
        <v>2500</v>
      </c>
      <c r="H65" s="361">
        <f t="shared" ca="1" si="32"/>
        <v>0</v>
      </c>
      <c r="I65" s="361">
        <f t="shared" ca="1" si="33"/>
        <v>2500</v>
      </c>
      <c r="J65" s="361">
        <f t="shared" ca="1" si="34"/>
        <v>0</v>
      </c>
      <c r="K65" s="362">
        <f t="shared" ca="1" si="35"/>
        <v>2500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2">
        <v>6</v>
      </c>
      <c r="C66" s="513" t="s">
        <v>760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1">
        <f>F60*1</f>
        <v>1</v>
      </c>
      <c r="G66" s="360">
        <f ca="1">IF(ISERROR(OFFSET('HARGA SATUAN'!$I$6,MATCH(RAB!C66,'HARGA SATUAN'!$C$7:$C$1492,0),0)),0,OFFSET('HARGA SATUAN'!$I$6,MATCH(RAB!C66,'HARGA SATUAN'!$C$7:$C$1492,0),0))</f>
        <v>36600</v>
      </c>
      <c r="H66" s="361">
        <f t="shared" ca="1" si="32"/>
        <v>0</v>
      </c>
      <c r="I66" s="361">
        <f t="shared" ca="1" si="33"/>
        <v>0</v>
      </c>
      <c r="J66" s="361">
        <f t="shared" ca="1" si="34"/>
        <v>36600</v>
      </c>
      <c r="K66" s="362">
        <f t="shared" ca="1" si="35"/>
        <v>36600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498"/>
      <c r="C67" s="499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1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2"/>
        <v>0</v>
      </c>
      <c r="I67" s="361">
        <f t="shared" ca="1" si="33"/>
        <v>0</v>
      </c>
      <c r="J67" s="361">
        <f t="shared" ca="1" si="34"/>
        <v>0</v>
      </c>
      <c r="K67" s="362">
        <f t="shared" ca="1" si="35"/>
        <v>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512" t="s">
        <v>1035</v>
      </c>
      <c r="C68" s="513" t="s">
        <v>1626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01">
        <v>1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2"/>
        <v>0</v>
      </c>
      <c r="I68" s="361">
        <f t="shared" ca="1" si="33"/>
        <v>0</v>
      </c>
      <c r="J68" s="361">
        <f t="shared" ca="1" si="34"/>
        <v>0</v>
      </c>
      <c r="K68" s="362">
        <f t="shared" ca="1" si="35"/>
        <v>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18">
        <v>1</v>
      </c>
      <c r="C69" s="519" t="s">
        <v>597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1">
        <f>F68*1</f>
        <v>1</v>
      </c>
      <c r="G69" s="360">
        <f ca="1">IF(ISERROR(OFFSET('HARGA SATUAN'!$I$6,MATCH(RAB!C69,'HARGA SATUAN'!$C$7:$C$1492,0),0)),0,OFFSET('HARGA SATUAN'!$I$6,MATCH(RAB!C69,'HARGA SATUAN'!$C$7:$C$1492,0),0))</f>
        <v>120900</v>
      </c>
      <c r="H69" s="361">
        <f t="shared" ca="1" si="32"/>
        <v>0</v>
      </c>
      <c r="I69" s="361">
        <f t="shared" ca="1" si="33"/>
        <v>120900</v>
      </c>
      <c r="J69" s="361">
        <f t="shared" ca="1" si="34"/>
        <v>0</v>
      </c>
      <c r="K69" s="362">
        <f t="shared" ca="1" si="35"/>
        <v>120900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03">
        <v>2</v>
      </c>
      <c r="C70" s="504" t="s">
        <v>261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1">
        <f>F68*1</f>
        <v>1</v>
      </c>
      <c r="G70" s="360">
        <f ca="1">IF(ISERROR(OFFSET('HARGA SATUAN'!$I$6,MATCH(RAB!C70,'HARGA SATUAN'!$C$7:$C$1492,0),0)),0,OFFSET('HARGA SATUAN'!$I$6,MATCH(RAB!C70,'HARGA SATUAN'!$C$7:$C$1492,0),0))</f>
        <v>135800</v>
      </c>
      <c r="H70" s="361">
        <f t="shared" ca="1" si="32"/>
        <v>0</v>
      </c>
      <c r="I70" s="361">
        <f t="shared" ca="1" si="33"/>
        <v>135800</v>
      </c>
      <c r="J70" s="361">
        <f t="shared" ca="1" si="34"/>
        <v>0</v>
      </c>
      <c r="K70" s="362">
        <f t="shared" ca="1" si="35"/>
        <v>135800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03">
        <v>3</v>
      </c>
      <c r="C71" s="505" t="s">
        <v>214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20">
        <f>F68*1</f>
        <v>1</v>
      </c>
      <c r="G71" s="360">
        <f ca="1">IF(ISERROR(OFFSET('HARGA SATUAN'!$I$6,MATCH(RAB!C71,'HARGA SATUAN'!$C$7:$C$1492,0),0)),0,OFFSET('HARGA SATUAN'!$I$6,MATCH(RAB!C71,'HARGA SATUAN'!$C$7:$C$1492,0),0))</f>
        <v>4500</v>
      </c>
      <c r="H71" s="361">
        <f t="shared" ca="1" si="32"/>
        <v>0</v>
      </c>
      <c r="I71" s="361">
        <f t="shared" ca="1" si="33"/>
        <v>4500</v>
      </c>
      <c r="J71" s="361">
        <f t="shared" ca="1" si="34"/>
        <v>0</v>
      </c>
      <c r="K71" s="362">
        <f t="shared" ca="1" si="35"/>
        <v>4500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12">
        <v>4</v>
      </c>
      <c r="C72" s="513" t="s">
        <v>768</v>
      </c>
      <c r="D72" s="358" t="str">
        <f ca="1">IF(ISERROR(OFFSET('HARGA SATUAN'!$D$6,MATCH(RAB!C72,'HARGA SATUAN'!$C$7:$C$1492,0),0)),"",OFFSET('HARGA SATUAN'!$D$6,MATCH(RAB!C72,'HARGA SATUAN'!$C$7:$C$1492,0),0))</f>
        <v>JASA</v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01">
        <f>F68*1</f>
        <v>1</v>
      </c>
      <c r="G72" s="360">
        <f ca="1">IF(ISERROR(OFFSET('HARGA SATUAN'!$I$6,MATCH(RAB!C72,'HARGA SATUAN'!$C$7:$C$1492,0),0)),0,OFFSET('HARGA SATUAN'!$I$6,MATCH(RAB!C72,'HARGA SATUAN'!$C$7:$C$1492,0),0))</f>
        <v>55500</v>
      </c>
      <c r="H72" s="361">
        <f t="shared" ca="1" si="32"/>
        <v>0</v>
      </c>
      <c r="I72" s="361">
        <f t="shared" ca="1" si="33"/>
        <v>0</v>
      </c>
      <c r="J72" s="361">
        <f t="shared" ca="1" si="34"/>
        <v>55500</v>
      </c>
      <c r="K72" s="362">
        <f t="shared" ca="1" si="35"/>
        <v>55500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512"/>
      <c r="C73" s="513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501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32"/>
        <v>0</v>
      </c>
      <c r="I73" s="361">
        <f t="shared" ca="1" si="33"/>
        <v>0</v>
      </c>
      <c r="J73" s="361">
        <f t="shared" ca="1" si="34"/>
        <v>0</v>
      </c>
      <c r="K73" s="362">
        <f t="shared" ca="1" si="35"/>
        <v>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512" t="s">
        <v>1035</v>
      </c>
      <c r="C74" s="513" t="s">
        <v>1627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1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32"/>
        <v>0</v>
      </c>
      <c r="I74" s="361">
        <f t="shared" ca="1" si="33"/>
        <v>0</v>
      </c>
      <c r="J74" s="361">
        <f t="shared" ca="1" si="34"/>
        <v>0</v>
      </c>
      <c r="K74" s="362">
        <f t="shared" ca="1" si="35"/>
        <v>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512">
        <v>1</v>
      </c>
      <c r="C75" s="513" t="s">
        <v>30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1">
        <f>F74*1</f>
        <v>1</v>
      </c>
      <c r="G75" s="360">
        <f ca="1">IF(ISERROR(OFFSET('HARGA SATUAN'!$I$6,MATCH(RAB!C75,'HARGA SATUAN'!$C$7:$C$1492,0),0)),0,OFFSET('HARGA SATUAN'!$I$6,MATCH(RAB!C75,'HARGA SATUAN'!$C$7:$C$1492,0),0))</f>
        <v>47459</v>
      </c>
      <c r="H75" s="361">
        <f t="shared" ca="1" si="32"/>
        <v>0</v>
      </c>
      <c r="I75" s="361">
        <f t="shared" ca="1" si="33"/>
        <v>47459</v>
      </c>
      <c r="J75" s="361">
        <f t="shared" ca="1" si="34"/>
        <v>0</v>
      </c>
      <c r="K75" s="362">
        <f t="shared" ca="1" si="35"/>
        <v>47459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512">
        <v>2</v>
      </c>
      <c r="C76" s="513" t="s">
        <v>32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501">
        <f>F74*1</f>
        <v>1</v>
      </c>
      <c r="G76" s="360">
        <f ca="1">IF(ISERROR(OFFSET('HARGA SATUAN'!$I$6,MATCH(RAB!C76,'HARGA SATUAN'!$C$7:$C$1492,0),0)),0,OFFSET('HARGA SATUAN'!$I$6,MATCH(RAB!C76,'HARGA SATUAN'!$C$7:$C$1492,0),0))</f>
        <v>30000</v>
      </c>
      <c r="H76" s="361">
        <f t="shared" ca="1" si="32"/>
        <v>0</v>
      </c>
      <c r="I76" s="361">
        <f t="shared" ca="1" si="33"/>
        <v>30000</v>
      </c>
      <c r="J76" s="361">
        <f t="shared" ca="1" si="34"/>
        <v>0</v>
      </c>
      <c r="K76" s="362">
        <f t="shared" ca="1" si="35"/>
        <v>30000</v>
      </c>
      <c r="L76" s="342"/>
      <c r="M76" s="342"/>
      <c r="N76" s="369"/>
      <c r="O76" s="344"/>
      <c r="P76" s="397"/>
      <c r="Q76" s="344"/>
    </row>
    <row r="77" spans="1:17" s="365" customFormat="1">
      <c r="A77" s="336"/>
      <c r="B77" s="512">
        <v>3</v>
      </c>
      <c r="C77" s="513" t="s">
        <v>33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1">
        <f>F74*1</f>
        <v>1</v>
      </c>
      <c r="G77" s="360">
        <f ca="1">IF(ISERROR(OFFSET('HARGA SATUAN'!$I$6,MATCH(RAB!C77,'HARGA SATUAN'!$C$7:$C$1492,0),0)),0,OFFSET('HARGA SATUAN'!$I$6,MATCH(RAB!C77,'HARGA SATUAN'!$C$7:$C$1492,0),0))</f>
        <v>9500</v>
      </c>
      <c r="H77" s="361">
        <f t="shared" ca="1" si="32"/>
        <v>0</v>
      </c>
      <c r="I77" s="361">
        <f t="shared" ca="1" si="33"/>
        <v>9500</v>
      </c>
      <c r="J77" s="361">
        <f t="shared" ca="1" si="34"/>
        <v>0</v>
      </c>
      <c r="K77" s="362">
        <f t="shared" ca="1" si="35"/>
        <v>9500</v>
      </c>
      <c r="L77" s="342"/>
      <c r="M77" s="342"/>
      <c r="N77" s="369"/>
      <c r="O77" s="344"/>
      <c r="P77" s="397"/>
      <c r="Q77" s="344"/>
    </row>
    <row r="78" spans="1:17" s="365" customFormat="1">
      <c r="A78" s="336"/>
      <c r="B78" s="512">
        <v>4</v>
      </c>
      <c r="C78" s="513" t="s">
        <v>738</v>
      </c>
      <c r="D78" s="358" t="str">
        <f ca="1">IF(ISERROR(OFFSET('HARGA SATUAN'!$D$6,MATCH(RAB!C78,'HARGA SATUAN'!$C$7:$C$1492,0),0)),"",OFFSET('HARGA SATUAN'!$D$6,MATCH(RAB!C78,'HARGA SATUAN'!$C$7:$C$1492,0),0))</f>
        <v>JASA</v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01">
        <f>F74*1</f>
        <v>1</v>
      </c>
      <c r="G78" s="360">
        <f ca="1">IF(ISERROR(OFFSET('HARGA SATUAN'!$I$6,MATCH(RAB!C78,'HARGA SATUAN'!$C$7:$C$1492,0),0)),0,OFFSET('HARGA SATUAN'!$I$6,MATCH(RAB!C78,'HARGA SATUAN'!$C$7:$C$1492,0),0))</f>
        <v>21200</v>
      </c>
      <c r="H78" s="361">
        <f t="shared" ca="1" si="32"/>
        <v>0</v>
      </c>
      <c r="I78" s="361">
        <f t="shared" ca="1" si="33"/>
        <v>0</v>
      </c>
      <c r="J78" s="361">
        <f t="shared" ca="1" si="34"/>
        <v>21200</v>
      </c>
      <c r="K78" s="362">
        <f t="shared" ca="1" si="35"/>
        <v>21200</v>
      </c>
      <c r="L78" s="342"/>
      <c r="M78" s="342"/>
      <c r="N78" s="369"/>
      <c r="O78" s="344"/>
      <c r="P78" s="397"/>
      <c r="Q78" s="344"/>
    </row>
    <row r="79" spans="1:17" s="365" customFormat="1">
      <c r="A79" s="336"/>
      <c r="B79" s="498"/>
      <c r="C79" s="499"/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501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32"/>
        <v>0</v>
      </c>
      <c r="I79" s="361">
        <f t="shared" ca="1" si="33"/>
        <v>0</v>
      </c>
      <c r="J79" s="361">
        <f t="shared" ca="1" si="34"/>
        <v>0</v>
      </c>
      <c r="K79" s="362">
        <f t="shared" ca="1" si="35"/>
        <v>0</v>
      </c>
      <c r="L79" s="342"/>
      <c r="M79" s="342"/>
      <c r="N79" s="369"/>
      <c r="O79" s="344"/>
      <c r="P79" s="397"/>
      <c r="Q79" s="344"/>
    </row>
    <row r="80" spans="1:17">
      <c r="B80" s="366" t="s">
        <v>1608</v>
      </c>
      <c r="C80" s="367" t="s">
        <v>1610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1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32"/>
        <v>0</v>
      </c>
      <c r="I80" s="361">
        <f t="shared" ca="1" si="33"/>
        <v>0</v>
      </c>
      <c r="J80" s="361">
        <f t="shared" ca="1" si="34"/>
        <v>0</v>
      </c>
      <c r="K80" s="362">
        <f t="shared" ca="1" si="35"/>
        <v>0</v>
      </c>
    </row>
    <row r="81" spans="2:11">
      <c r="B81" s="494"/>
      <c r="C81" s="497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501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32"/>
        <v>0</v>
      </c>
      <c r="I81" s="361">
        <f t="shared" ca="1" si="33"/>
        <v>0</v>
      </c>
      <c r="J81" s="361">
        <f t="shared" ca="1" si="34"/>
        <v>0</v>
      </c>
      <c r="K81" s="362">
        <f t="shared" ca="1" si="35"/>
        <v>0</v>
      </c>
    </row>
    <row r="82" spans="2:11">
      <c r="B82" s="508" t="s">
        <v>1035</v>
      </c>
      <c r="C82" s="509" t="s">
        <v>1617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01">
        <v>1</v>
      </c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ref="H82:H101" ca="1" si="36">IF(OR(D82="MDU",D82="MDU-KD"),(IF($O$3="RAB NON MDU","PLN KD",G82*F82)),0)</f>
        <v>0</v>
      </c>
      <c r="I82" s="361">
        <f t="shared" ref="I82:I101" ca="1" si="37">IF(D82="HDW",G82*F82,0)</f>
        <v>0</v>
      </c>
      <c r="J82" s="361">
        <f t="shared" ref="J82:J101" ca="1" si="38">IF(D82="JASA",G82*F82,0)</f>
        <v>0</v>
      </c>
      <c r="K82" s="362">
        <f t="shared" ref="K82:K101" ca="1" si="39">SUM(H82:J82)</f>
        <v>0</v>
      </c>
    </row>
    <row r="83" spans="2:11">
      <c r="B83" s="508">
        <v>1</v>
      </c>
      <c r="C83" s="109" t="s">
        <v>1146</v>
      </c>
      <c r="D83" s="358" t="str">
        <f ca="1">IF(ISERROR(OFFSET('HARGA SATUAN'!$D$6,MATCH(RAB!C83,'HARGA SATUAN'!$C$7:$C$1492,0),0)),"",OFFSET('HARGA SATUAN'!$D$6,MATCH(RAB!C83,'HARGA SATUAN'!$C$7:$C$1492,0),0))</f>
        <v>MDU-KD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1">
        <f>F82*1</f>
        <v>1</v>
      </c>
      <c r="G83" s="360">
        <f ca="1">IF(ISERROR(OFFSET('HARGA SATUAN'!$I$6,MATCH(RAB!C83,'HARGA SATUAN'!$C$7:$C$1492,0),0)),0,OFFSET('HARGA SATUAN'!$I$6,MATCH(RAB!C83,'HARGA SATUAN'!$C$7:$C$1492,0),0))</f>
        <v>42757200</v>
      </c>
      <c r="H83" s="361">
        <f t="shared" ca="1" si="36"/>
        <v>42757200</v>
      </c>
      <c r="I83" s="361">
        <f t="shared" ca="1" si="37"/>
        <v>0</v>
      </c>
      <c r="J83" s="361">
        <f t="shared" ca="1" si="38"/>
        <v>0</v>
      </c>
      <c r="K83" s="362">
        <f t="shared" ca="1" si="39"/>
        <v>42757200</v>
      </c>
    </row>
    <row r="84" spans="2:11">
      <c r="B84" s="503">
        <v>2</v>
      </c>
      <c r="C84" s="506" t="s">
        <v>1612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507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36"/>
        <v>0</v>
      </c>
      <c r="I84" s="361">
        <f t="shared" ca="1" si="37"/>
        <v>0</v>
      </c>
      <c r="J84" s="361">
        <f t="shared" ca="1" si="38"/>
        <v>0</v>
      </c>
      <c r="K84" s="362">
        <f t="shared" ca="1" si="39"/>
        <v>0</v>
      </c>
    </row>
    <row r="85" spans="2:11">
      <c r="B85" s="508"/>
      <c r="C85" s="506" t="s">
        <v>65</v>
      </c>
      <c r="D85" s="358" t="str">
        <f ca="1">IF(ISERROR(OFFSET('HARGA SATUAN'!$D$6,MATCH(RAB!C85,'HARGA SATUAN'!$C$7:$C$1492,0),0)),"",OFFSET('HARGA SATUAN'!$D$6,MATCH(RAB!C85,'HARGA SATUAN'!$C$7:$C$1492,0),0))</f>
        <v>MDU-KD</v>
      </c>
      <c r="E85" s="359" t="str">
        <f ca="1">IF(B85="+","Unit",IF(ISERROR(OFFSET('HARGA SATUAN'!$E$6,MATCH(RAB!C85,'HARGA SATUAN'!$C$7:$C$1492,0),0)),"",OFFSET('HARGA SATUAN'!$E$6,MATCH(RAB!C85,'HARGA SATUAN'!$C$7:$C$1492,0),0)))</f>
        <v>Mtr</v>
      </c>
      <c r="F85" s="501">
        <f>F82*(3*3)</f>
        <v>9</v>
      </c>
      <c r="G85" s="360">
        <f ca="1">IF(ISERROR(OFFSET('HARGA SATUAN'!$I$6,MATCH(RAB!C85,'HARGA SATUAN'!$C$7:$C$1492,0),0)),0,OFFSET('HARGA SATUAN'!$I$6,MATCH(RAB!C85,'HARGA SATUAN'!$C$7:$C$1492,0),0))</f>
        <v>14200</v>
      </c>
      <c r="H85" s="361">
        <f t="shared" ca="1" si="36"/>
        <v>127800</v>
      </c>
      <c r="I85" s="361">
        <f t="shared" ca="1" si="37"/>
        <v>0</v>
      </c>
      <c r="J85" s="361">
        <f t="shared" ca="1" si="38"/>
        <v>0</v>
      </c>
      <c r="K85" s="362">
        <f t="shared" ca="1" si="39"/>
        <v>127800</v>
      </c>
    </row>
    <row r="86" spans="2:11">
      <c r="B86" s="508"/>
      <c r="C86" s="109" t="s">
        <v>1459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Mtr</v>
      </c>
      <c r="F86" s="501">
        <f>F82*3</f>
        <v>3</v>
      </c>
      <c r="G86" s="360">
        <f ca="1">IF(ISERROR(OFFSET('HARGA SATUAN'!$I$6,MATCH(RAB!C86,'HARGA SATUAN'!$C$7:$C$1492,0),0)),0,OFFSET('HARGA SATUAN'!$I$6,MATCH(RAB!C86,'HARGA SATUAN'!$C$7:$C$1492,0),0))</f>
        <v>54500</v>
      </c>
      <c r="H86" s="361">
        <f t="shared" ca="1" si="36"/>
        <v>163500</v>
      </c>
      <c r="I86" s="361">
        <f t="shared" ca="1" si="37"/>
        <v>0</v>
      </c>
      <c r="J86" s="361">
        <f t="shared" ca="1" si="38"/>
        <v>0</v>
      </c>
      <c r="K86" s="362">
        <f t="shared" ca="1" si="39"/>
        <v>163500</v>
      </c>
    </row>
    <row r="87" spans="2:11">
      <c r="B87" s="508">
        <v>3</v>
      </c>
      <c r="C87" s="109" t="s">
        <v>559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1">
        <f>F82*3</f>
        <v>3</v>
      </c>
      <c r="G87" s="360">
        <f ca="1">IF(ISERROR(OFFSET('HARGA SATUAN'!$I$6,MATCH(RAB!C87,'HARGA SATUAN'!$C$7:$C$1492,0),0)),0,OFFSET('HARGA SATUAN'!$I$6,MATCH(RAB!C87,'HARGA SATUAN'!$C$7:$C$1492,0),0))</f>
        <v>725900</v>
      </c>
      <c r="H87" s="361">
        <f t="shared" ca="1" si="36"/>
        <v>2177700</v>
      </c>
      <c r="I87" s="361">
        <f t="shared" ca="1" si="37"/>
        <v>0</v>
      </c>
      <c r="J87" s="361">
        <f t="shared" ca="1" si="38"/>
        <v>0</v>
      </c>
      <c r="K87" s="362">
        <f t="shared" ca="1" si="39"/>
        <v>2177700</v>
      </c>
    </row>
    <row r="88" spans="2:11">
      <c r="B88" s="508">
        <v>4</v>
      </c>
      <c r="C88" s="509" t="s">
        <v>535</v>
      </c>
      <c r="D88" s="358" t="str">
        <f ca="1">IF(ISERROR(OFFSET('HARGA SATUAN'!$D$6,MATCH(RAB!C88,'HARGA SATUAN'!$C$7:$C$1492,0),0)),"",OFFSET('HARGA SATUAN'!$D$6,MATCH(RAB!C88,'HARGA SATUAN'!$C$7:$C$1492,0),0))</f>
        <v>MDU-KD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01">
        <f>F82*3</f>
        <v>3</v>
      </c>
      <c r="G88" s="360">
        <f ca="1">IF(ISERROR(OFFSET('HARGA SATUAN'!$I$6,MATCH(RAB!C88,'HARGA SATUAN'!$C$7:$C$1492,0),0)),0,OFFSET('HARGA SATUAN'!$I$6,MATCH(RAB!C88,'HARGA SATUAN'!$C$7:$C$1492,0),0))</f>
        <v>848250</v>
      </c>
      <c r="H88" s="361">
        <f t="shared" ca="1" si="36"/>
        <v>2544750</v>
      </c>
      <c r="I88" s="361">
        <f t="shared" ca="1" si="37"/>
        <v>0</v>
      </c>
      <c r="J88" s="361">
        <f t="shared" ca="1" si="38"/>
        <v>0</v>
      </c>
      <c r="K88" s="362">
        <f t="shared" ca="1" si="39"/>
        <v>2544750</v>
      </c>
    </row>
    <row r="89" spans="2:11">
      <c r="B89" s="508">
        <v>5</v>
      </c>
      <c r="C89" s="509" t="s">
        <v>537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01">
        <f>F82*3</f>
        <v>3</v>
      </c>
      <c r="G89" s="360">
        <f ca="1">IF(ISERROR(OFFSET('HARGA SATUAN'!$I$6,MATCH(RAB!C89,'HARGA SATUAN'!$C$7:$C$1492,0),0)),0,OFFSET('HARGA SATUAN'!$I$6,MATCH(RAB!C89,'HARGA SATUAN'!$C$7:$C$1492,0),0))</f>
        <v>17500</v>
      </c>
      <c r="H89" s="361">
        <f t="shared" ca="1" si="36"/>
        <v>0</v>
      </c>
      <c r="I89" s="361">
        <f t="shared" ca="1" si="37"/>
        <v>52500</v>
      </c>
      <c r="J89" s="361">
        <f t="shared" ca="1" si="38"/>
        <v>0</v>
      </c>
      <c r="K89" s="362">
        <f t="shared" ca="1" si="39"/>
        <v>52500</v>
      </c>
    </row>
    <row r="90" spans="2:11">
      <c r="B90" s="508">
        <v>6</v>
      </c>
      <c r="C90" s="109" t="s">
        <v>1564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01">
        <f>F82*13</f>
        <v>13</v>
      </c>
      <c r="G90" s="360">
        <f ca="1">IF(ISERROR(OFFSET('HARGA SATUAN'!$I$6,MATCH(RAB!C90,'HARGA SATUAN'!$C$7:$C$1492,0),0)),0,OFFSET('HARGA SATUAN'!$I$6,MATCH(RAB!C90,'HARGA SATUAN'!$C$7:$C$1492,0),0))</f>
        <v>49000</v>
      </c>
      <c r="H90" s="361">
        <f t="shared" ca="1" si="36"/>
        <v>0</v>
      </c>
      <c r="I90" s="361">
        <f t="shared" ca="1" si="37"/>
        <v>637000</v>
      </c>
      <c r="J90" s="361">
        <f t="shared" ca="1" si="38"/>
        <v>0</v>
      </c>
      <c r="K90" s="362">
        <f t="shared" ca="1" si="39"/>
        <v>637000</v>
      </c>
    </row>
    <row r="91" spans="2:11">
      <c r="B91" s="508">
        <v>7</v>
      </c>
      <c r="C91" s="509" t="s">
        <v>163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1">
        <f>F82*22</f>
        <v>22</v>
      </c>
      <c r="G91" s="360">
        <f ca="1">IF(ISERROR(OFFSET('HARGA SATUAN'!$I$6,MATCH(RAB!C91,'HARGA SATUAN'!$C$7:$C$1492,0),0)),0,OFFSET('HARGA SATUAN'!$I$6,MATCH(RAB!C91,'HARGA SATUAN'!$C$7:$C$1492,0),0))</f>
        <v>7938</v>
      </c>
      <c r="H91" s="361">
        <f t="shared" ca="1" si="36"/>
        <v>0</v>
      </c>
      <c r="I91" s="361">
        <f t="shared" ca="1" si="37"/>
        <v>174636</v>
      </c>
      <c r="J91" s="361">
        <f t="shared" ca="1" si="38"/>
        <v>0</v>
      </c>
      <c r="K91" s="362">
        <f t="shared" ca="1" si="39"/>
        <v>174636</v>
      </c>
    </row>
    <row r="92" spans="2:11">
      <c r="B92" s="508">
        <v>8</v>
      </c>
      <c r="C92" s="509" t="s">
        <v>176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01">
        <f>F82*1</f>
        <v>1</v>
      </c>
      <c r="G92" s="360">
        <f ca="1">IF(ISERROR(OFFSET('HARGA SATUAN'!$I$6,MATCH(RAB!C92,'HARGA SATUAN'!$C$7:$C$1492,0),0)),0,OFFSET('HARGA SATUAN'!$I$6,MATCH(RAB!C92,'HARGA SATUAN'!$C$7:$C$1492,0),0))</f>
        <v>404600</v>
      </c>
      <c r="H92" s="361">
        <f t="shared" ca="1" si="36"/>
        <v>0</v>
      </c>
      <c r="I92" s="361">
        <f t="shared" ca="1" si="37"/>
        <v>404600</v>
      </c>
      <c r="J92" s="361">
        <f t="shared" ca="1" si="38"/>
        <v>0</v>
      </c>
      <c r="K92" s="362">
        <f t="shared" ca="1" si="39"/>
        <v>404600</v>
      </c>
    </row>
    <row r="93" spans="2:11">
      <c r="B93" s="508">
        <v>9</v>
      </c>
      <c r="C93" s="509" t="s">
        <v>184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1">
        <f>F82*3</f>
        <v>3</v>
      </c>
      <c r="G93" s="360">
        <f ca="1">IF(ISERROR(OFFSET('HARGA SATUAN'!$I$6,MATCH(RAB!C93,'HARGA SATUAN'!$C$7:$C$1492,0),0)),0,OFFSET('HARGA SATUAN'!$I$6,MATCH(RAB!C93,'HARGA SATUAN'!$C$7:$C$1492,0),0))</f>
        <v>15900</v>
      </c>
      <c r="H93" s="361">
        <f t="shared" ca="1" si="36"/>
        <v>0</v>
      </c>
      <c r="I93" s="361">
        <f t="shared" ca="1" si="37"/>
        <v>47700</v>
      </c>
      <c r="J93" s="361">
        <f t="shared" ca="1" si="38"/>
        <v>0</v>
      </c>
      <c r="K93" s="362">
        <f t="shared" ca="1" si="39"/>
        <v>47700</v>
      </c>
    </row>
    <row r="94" spans="2:11">
      <c r="B94" s="508">
        <v>10</v>
      </c>
      <c r="C94" s="509" t="s">
        <v>592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01">
        <f>F82*5</f>
        <v>5</v>
      </c>
      <c r="G94" s="360">
        <f ca="1">IF(ISERROR(OFFSET('HARGA SATUAN'!$I$6,MATCH(RAB!C94,'HARGA SATUAN'!$C$7:$C$1492,0),0)),0,OFFSET('HARGA SATUAN'!$I$6,MATCH(RAB!C94,'HARGA SATUAN'!$C$7:$C$1492,0),0))</f>
        <v>283100</v>
      </c>
      <c r="H94" s="361">
        <f t="shared" ca="1" si="36"/>
        <v>0</v>
      </c>
      <c r="I94" s="361">
        <f t="shared" ca="1" si="37"/>
        <v>1415500</v>
      </c>
      <c r="J94" s="361">
        <f t="shared" ca="1" si="38"/>
        <v>0</v>
      </c>
      <c r="K94" s="362">
        <f t="shared" ca="1" si="39"/>
        <v>1415500</v>
      </c>
    </row>
    <row r="95" spans="2:11">
      <c r="B95" s="508">
        <v>11</v>
      </c>
      <c r="C95" s="509" t="s">
        <v>593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01">
        <f>F82*4</f>
        <v>4</v>
      </c>
      <c r="G95" s="360">
        <f ca="1">IF(ISERROR(OFFSET('HARGA SATUAN'!$I$6,MATCH(RAB!C95,'HARGA SATUAN'!$C$7:$C$1492,0),0)),0,OFFSET('HARGA SATUAN'!$I$6,MATCH(RAB!C95,'HARGA SATUAN'!$C$7:$C$1492,0),0))</f>
        <v>380500</v>
      </c>
      <c r="H95" s="361">
        <f t="shared" ca="1" si="36"/>
        <v>0</v>
      </c>
      <c r="I95" s="361">
        <f t="shared" ca="1" si="37"/>
        <v>1522000</v>
      </c>
      <c r="J95" s="361">
        <f t="shared" ca="1" si="38"/>
        <v>0</v>
      </c>
      <c r="K95" s="362">
        <f t="shared" ca="1" si="39"/>
        <v>1522000</v>
      </c>
    </row>
    <row r="96" spans="2:11">
      <c r="B96" s="508">
        <v>12</v>
      </c>
      <c r="C96" s="509" t="s">
        <v>208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01">
        <f>F82*3</f>
        <v>3</v>
      </c>
      <c r="G96" s="360">
        <f ca="1">IF(ISERROR(OFFSET('HARGA SATUAN'!$I$6,MATCH(RAB!C96,'HARGA SATUAN'!$C$7:$C$1492,0),0)),0,OFFSET('HARGA SATUAN'!$I$6,MATCH(RAB!C96,'HARGA SATUAN'!$C$7:$C$1492,0),0))</f>
        <v>173400</v>
      </c>
      <c r="H96" s="361">
        <f t="shared" ca="1" si="36"/>
        <v>0</v>
      </c>
      <c r="I96" s="361">
        <f t="shared" ca="1" si="37"/>
        <v>520200</v>
      </c>
      <c r="J96" s="361">
        <f t="shared" ca="1" si="38"/>
        <v>0</v>
      </c>
      <c r="K96" s="362">
        <f t="shared" ca="1" si="39"/>
        <v>520200</v>
      </c>
    </row>
    <row r="97" spans="2:11">
      <c r="B97" s="508">
        <v>13</v>
      </c>
      <c r="C97" s="509" t="s">
        <v>247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01">
        <f>F82*1</f>
        <v>1</v>
      </c>
      <c r="G97" s="360">
        <f ca="1">IF(ISERROR(OFFSET('HARGA SATUAN'!$I$6,MATCH(RAB!C97,'HARGA SATUAN'!$C$7:$C$1492,0),0)),0,OFFSET('HARGA SATUAN'!$I$6,MATCH(RAB!C97,'HARGA SATUAN'!$C$7:$C$1492,0),0))</f>
        <v>57690</v>
      </c>
      <c r="H97" s="361">
        <f t="shared" ca="1" si="36"/>
        <v>0</v>
      </c>
      <c r="I97" s="361">
        <f t="shared" ca="1" si="37"/>
        <v>57690</v>
      </c>
      <c r="J97" s="361">
        <f t="shared" ca="1" si="38"/>
        <v>0</v>
      </c>
      <c r="K97" s="362">
        <f t="shared" ca="1" si="39"/>
        <v>57690</v>
      </c>
    </row>
    <row r="98" spans="2:11">
      <c r="B98" s="508">
        <v>14</v>
      </c>
      <c r="C98" s="509" t="s">
        <v>234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01">
        <f>F82*2</f>
        <v>2</v>
      </c>
      <c r="G98" s="360">
        <f ca="1">IF(ISERROR(OFFSET('HARGA SATUAN'!$I$6,MATCH(RAB!C98,'HARGA SATUAN'!$C$7:$C$1492,0),0)),0,OFFSET('HARGA SATUAN'!$I$6,MATCH(RAB!C98,'HARGA SATUAN'!$C$7:$C$1492,0),0))</f>
        <v>67500</v>
      </c>
      <c r="H98" s="361">
        <f t="shared" ca="1" si="36"/>
        <v>0</v>
      </c>
      <c r="I98" s="361">
        <f t="shared" ca="1" si="37"/>
        <v>135000</v>
      </c>
      <c r="J98" s="361">
        <f t="shared" ca="1" si="38"/>
        <v>0</v>
      </c>
      <c r="K98" s="362">
        <f t="shared" ca="1" si="39"/>
        <v>135000</v>
      </c>
    </row>
    <row r="99" spans="2:11">
      <c r="B99" s="508">
        <v>15</v>
      </c>
      <c r="C99" s="509" t="s">
        <v>267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01">
        <f>F82*2</f>
        <v>2</v>
      </c>
      <c r="G99" s="360">
        <f ca="1">IF(ISERROR(OFFSET('HARGA SATUAN'!$I$6,MATCH(RAB!C99,'HARGA SATUAN'!$C$7:$C$1492,0),0)),0,OFFSET('HARGA SATUAN'!$I$6,MATCH(RAB!C99,'HARGA SATUAN'!$C$7:$C$1492,0),0))</f>
        <v>129000</v>
      </c>
      <c r="H99" s="361">
        <f t="shared" ca="1" si="36"/>
        <v>0</v>
      </c>
      <c r="I99" s="361">
        <f t="shared" ca="1" si="37"/>
        <v>258000</v>
      </c>
      <c r="J99" s="361">
        <f t="shared" ca="1" si="38"/>
        <v>0</v>
      </c>
      <c r="K99" s="362">
        <f t="shared" ca="1" si="39"/>
        <v>258000</v>
      </c>
    </row>
    <row r="100" spans="2:11">
      <c r="B100" s="508">
        <v>16</v>
      </c>
      <c r="C100" s="509" t="s">
        <v>607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01">
        <f>F82*4</f>
        <v>4</v>
      </c>
      <c r="G100" s="360">
        <f ca="1">IF(ISERROR(OFFSET('HARGA SATUAN'!$I$6,MATCH(RAB!C100,'HARGA SATUAN'!$C$7:$C$1492,0),0)),0,OFFSET('HARGA SATUAN'!$I$6,MATCH(RAB!C100,'HARGA SATUAN'!$C$7:$C$1492,0),0))</f>
        <v>250000</v>
      </c>
      <c r="H100" s="361">
        <f t="shared" ca="1" si="36"/>
        <v>0</v>
      </c>
      <c r="I100" s="361">
        <f t="shared" ca="1" si="37"/>
        <v>1000000</v>
      </c>
      <c r="J100" s="361">
        <f t="shared" ca="1" si="38"/>
        <v>0</v>
      </c>
      <c r="K100" s="362">
        <f t="shared" ca="1" si="39"/>
        <v>1000000</v>
      </c>
    </row>
    <row r="101" spans="2:11">
      <c r="B101" s="508">
        <v>17</v>
      </c>
      <c r="C101" s="509" t="s">
        <v>783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501">
        <f>F82*1</f>
        <v>1</v>
      </c>
      <c r="G101" s="360">
        <f ca="1">IF(ISERROR(OFFSET('HARGA SATUAN'!$I$6,MATCH(RAB!C101,'HARGA SATUAN'!$C$7:$C$1492,0),0)),0,OFFSET('HARGA SATUAN'!$I$6,MATCH(RAB!C101,'HARGA SATUAN'!$C$7:$C$1492,0),0))</f>
        <v>1182800</v>
      </c>
      <c r="H101" s="361">
        <f t="shared" ca="1" si="36"/>
        <v>0</v>
      </c>
      <c r="I101" s="361">
        <f t="shared" ca="1" si="37"/>
        <v>0</v>
      </c>
      <c r="J101" s="361">
        <f t="shared" ca="1" si="38"/>
        <v>1182800</v>
      </c>
      <c r="K101" s="362">
        <f t="shared" ca="1" si="39"/>
        <v>1182800</v>
      </c>
    </row>
    <row r="102" spans="2:11">
      <c r="B102" s="508">
        <v>18</v>
      </c>
      <c r="C102" s="109" t="s">
        <v>461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Set</v>
      </c>
      <c r="F102" s="501">
        <v>1</v>
      </c>
      <c r="G102" s="360">
        <f ca="1">IF(ISERROR(OFFSET('HARGA SATUAN'!$I$6,MATCH(RAB!C102,'HARGA SATUAN'!$C$7:$C$1492,0),0)),0,OFFSET('HARGA SATUAN'!$I$6,MATCH(RAB!C102,'HARGA SATUAN'!$C$7:$C$1492,0),0))</f>
        <v>200000</v>
      </c>
      <c r="H102" s="361">
        <f t="shared" ref="H102:H103" ca="1" si="40">IF(OR(D102="MDU",D102="MDU-KD"),(IF($O$3="RAB NON MDU","PLN KD",G102*F102)),0)</f>
        <v>0</v>
      </c>
      <c r="I102" s="361">
        <f t="shared" ref="I102:I103" ca="1" si="41">IF(D102="HDW",G102*F102,0)</f>
        <v>200000</v>
      </c>
      <c r="J102" s="361">
        <f t="shared" ref="J102:J103" ca="1" si="42">IF(D102="JASA",G102*F102,0)</f>
        <v>0</v>
      </c>
      <c r="K102" s="362">
        <f t="shared" ref="K102:K103" ca="1" si="43">SUM(H102:J102)</f>
        <v>200000</v>
      </c>
    </row>
    <row r="103" spans="2:11">
      <c r="B103" s="508"/>
      <c r="C103" s="109"/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501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40"/>
        <v>0</v>
      </c>
      <c r="I103" s="361">
        <f t="shared" ca="1" si="41"/>
        <v>0</v>
      </c>
      <c r="J103" s="361">
        <f t="shared" ca="1" si="42"/>
        <v>0</v>
      </c>
      <c r="K103" s="362">
        <f t="shared" ca="1" si="43"/>
        <v>0</v>
      </c>
    </row>
    <row r="104" spans="2:11">
      <c r="B104" s="503" t="s">
        <v>1035</v>
      </c>
      <c r="C104" s="504" t="s">
        <v>1613</v>
      </c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>Unit</v>
      </c>
      <c r="F104" s="501">
        <v>2</v>
      </c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ref="H104:H114" ca="1" si="44">IF(OR(D104="MDU",D104="MDU-KD"),(IF($O$3="RAB NON MDU","PLN KD",G104*F104)),0)</f>
        <v>0</v>
      </c>
      <c r="I104" s="361">
        <f t="shared" ref="I104:I114" ca="1" si="45">IF(D104="HDW",G104*F104,0)</f>
        <v>0</v>
      </c>
      <c r="J104" s="361">
        <f t="shared" ref="J104:J114" ca="1" si="46">IF(D104="JASA",G104*F104,0)</f>
        <v>0</v>
      </c>
      <c r="K104" s="362">
        <f t="shared" ref="K104:K114" ca="1" si="47">SUM(H104:J104)</f>
        <v>0</v>
      </c>
    </row>
    <row r="105" spans="2:11">
      <c r="B105" s="503">
        <v>1</v>
      </c>
      <c r="C105" s="505" t="s">
        <v>29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01">
        <f>F104*1</f>
        <v>2</v>
      </c>
      <c r="G105" s="360">
        <f ca="1">IF(ISERROR(OFFSET('HARGA SATUAN'!$I$6,MATCH(RAB!C105,'HARGA SATUAN'!$C$7:$C$1492,0),0)),0,OFFSET('HARGA SATUAN'!$I$6,MATCH(RAB!C105,'HARGA SATUAN'!$C$7:$C$1492,0),0))</f>
        <v>185200</v>
      </c>
      <c r="H105" s="361">
        <f t="shared" ca="1" si="44"/>
        <v>0</v>
      </c>
      <c r="I105" s="361">
        <f t="shared" ca="1" si="45"/>
        <v>370400</v>
      </c>
      <c r="J105" s="361">
        <f t="shared" ca="1" si="46"/>
        <v>0</v>
      </c>
      <c r="K105" s="362">
        <f t="shared" ca="1" si="47"/>
        <v>370400</v>
      </c>
    </row>
    <row r="106" spans="2:11">
      <c r="B106" s="498">
        <v>2</v>
      </c>
      <c r="C106" s="499" t="s">
        <v>30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01">
        <f>F104*1</f>
        <v>2</v>
      </c>
      <c r="G106" s="360">
        <f ca="1">IF(ISERROR(OFFSET('HARGA SATUAN'!$I$6,MATCH(RAB!C106,'HARGA SATUAN'!$C$7:$C$1492,0),0)),0,OFFSET('HARGA SATUAN'!$I$6,MATCH(RAB!C106,'HARGA SATUAN'!$C$7:$C$1492,0),0))</f>
        <v>47459</v>
      </c>
      <c r="H106" s="361">
        <f t="shared" ca="1" si="44"/>
        <v>0</v>
      </c>
      <c r="I106" s="361">
        <f t="shared" ca="1" si="45"/>
        <v>94918</v>
      </c>
      <c r="J106" s="361">
        <f t="shared" ca="1" si="46"/>
        <v>0</v>
      </c>
      <c r="K106" s="362">
        <f t="shared" ca="1" si="47"/>
        <v>94918</v>
      </c>
    </row>
    <row r="107" spans="2:11">
      <c r="B107" s="498">
        <v>3</v>
      </c>
      <c r="C107" s="499" t="s">
        <v>31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01">
        <f>F104*1</f>
        <v>2</v>
      </c>
      <c r="G107" s="360">
        <f ca="1">IF(ISERROR(OFFSET('HARGA SATUAN'!$I$6,MATCH(RAB!C107,'HARGA SATUAN'!$C$7:$C$1492,0),0)),0,OFFSET('HARGA SATUAN'!$I$6,MATCH(RAB!C107,'HARGA SATUAN'!$C$7:$C$1492,0),0))</f>
        <v>4880</v>
      </c>
      <c r="H107" s="361">
        <f t="shared" ca="1" si="44"/>
        <v>0</v>
      </c>
      <c r="I107" s="361">
        <f t="shared" ca="1" si="45"/>
        <v>9760</v>
      </c>
      <c r="J107" s="361">
        <f t="shared" ca="1" si="46"/>
        <v>0</v>
      </c>
      <c r="K107" s="362">
        <f t="shared" ca="1" si="47"/>
        <v>9760</v>
      </c>
    </row>
    <row r="108" spans="2:11">
      <c r="B108" s="498">
        <v>4</v>
      </c>
      <c r="C108" s="499" t="s">
        <v>32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Mtr</v>
      </c>
      <c r="F108" s="501">
        <f>F104*10</f>
        <v>20</v>
      </c>
      <c r="G108" s="360">
        <f ca="1">IF(ISERROR(OFFSET('HARGA SATUAN'!$I$6,MATCH(RAB!C108,'HARGA SATUAN'!$C$7:$C$1492,0),0)),0,OFFSET('HARGA SATUAN'!$I$6,MATCH(RAB!C108,'HARGA SATUAN'!$C$7:$C$1492,0),0))</f>
        <v>30000</v>
      </c>
      <c r="H108" s="361">
        <f t="shared" ca="1" si="44"/>
        <v>0</v>
      </c>
      <c r="I108" s="361">
        <f t="shared" ca="1" si="45"/>
        <v>600000</v>
      </c>
      <c r="J108" s="361">
        <f t="shared" ca="1" si="46"/>
        <v>0</v>
      </c>
      <c r="K108" s="362">
        <f t="shared" ca="1" si="47"/>
        <v>600000</v>
      </c>
    </row>
    <row r="109" spans="2:11">
      <c r="B109" s="498">
        <v>5</v>
      </c>
      <c r="C109" s="499" t="s">
        <v>33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501">
        <f>F104*2</f>
        <v>4</v>
      </c>
      <c r="G109" s="360">
        <f ca="1">IF(ISERROR(OFFSET('HARGA SATUAN'!$I$6,MATCH(RAB!C109,'HARGA SATUAN'!$C$7:$C$1492,0),0)),0,OFFSET('HARGA SATUAN'!$I$6,MATCH(RAB!C109,'HARGA SATUAN'!$C$7:$C$1492,0),0))</f>
        <v>9500</v>
      </c>
      <c r="H109" s="361">
        <f t="shared" ca="1" si="44"/>
        <v>0</v>
      </c>
      <c r="I109" s="361">
        <f t="shared" ca="1" si="45"/>
        <v>38000</v>
      </c>
      <c r="J109" s="361">
        <f t="shared" ca="1" si="46"/>
        <v>0</v>
      </c>
      <c r="K109" s="362">
        <f t="shared" ca="1" si="47"/>
        <v>38000</v>
      </c>
    </row>
    <row r="110" spans="2:11">
      <c r="B110" s="498">
        <v>6</v>
      </c>
      <c r="C110" s="499" t="s">
        <v>34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501">
        <f>F104*5.5</f>
        <v>11</v>
      </c>
      <c r="G110" s="360">
        <f ca="1">IF(ISERROR(OFFSET('HARGA SATUAN'!$I$6,MATCH(RAB!C110,'HARGA SATUAN'!$C$7:$C$1492,0),0)),0,OFFSET('HARGA SATUAN'!$I$6,MATCH(RAB!C110,'HARGA SATUAN'!$C$7:$C$1492,0),0))</f>
        <v>6100</v>
      </c>
      <c r="H110" s="361">
        <f t="shared" ca="1" si="44"/>
        <v>0</v>
      </c>
      <c r="I110" s="361">
        <f t="shared" ca="1" si="45"/>
        <v>67100</v>
      </c>
      <c r="J110" s="361">
        <f t="shared" ca="1" si="46"/>
        <v>0</v>
      </c>
      <c r="K110" s="362">
        <f t="shared" ca="1" si="47"/>
        <v>67100</v>
      </c>
    </row>
    <row r="111" spans="2:11">
      <c r="B111" s="498">
        <v>7</v>
      </c>
      <c r="C111" s="499" t="s">
        <v>35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501">
        <f>F104*6</f>
        <v>12</v>
      </c>
      <c r="G111" s="360">
        <f ca="1">IF(ISERROR(OFFSET('HARGA SATUAN'!$I$6,MATCH(RAB!C111,'HARGA SATUAN'!$C$7:$C$1492,0),0)),0,OFFSET('HARGA SATUAN'!$I$6,MATCH(RAB!C111,'HARGA SATUAN'!$C$7:$C$1492,0),0))</f>
        <v>2300</v>
      </c>
      <c r="H111" s="361">
        <f t="shared" ca="1" si="44"/>
        <v>0</v>
      </c>
      <c r="I111" s="361">
        <f t="shared" ca="1" si="45"/>
        <v>27600</v>
      </c>
      <c r="J111" s="361">
        <f t="shared" ca="1" si="46"/>
        <v>0</v>
      </c>
      <c r="K111" s="362">
        <f t="shared" ca="1" si="47"/>
        <v>27600</v>
      </c>
    </row>
    <row r="112" spans="2:11">
      <c r="B112" s="498">
        <v>8</v>
      </c>
      <c r="C112" s="499" t="s">
        <v>1614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Mtr</v>
      </c>
      <c r="F112" s="501">
        <f>F104*4.8</f>
        <v>9.6</v>
      </c>
      <c r="G112" s="360">
        <f ca="1">IF(ISERROR(OFFSET('HARGA SATUAN'!$I$6,MATCH(RAB!C112,'HARGA SATUAN'!$C$7:$C$1492,0),0)),0,OFFSET('HARGA SATUAN'!$I$6,MATCH(RAB!C112,'HARGA SATUAN'!$C$7:$C$1492,0),0))</f>
        <v>23310</v>
      </c>
      <c r="H112" s="361">
        <f t="shared" ca="1" si="44"/>
        <v>0</v>
      </c>
      <c r="I112" s="361">
        <f t="shared" ca="1" si="45"/>
        <v>223776</v>
      </c>
      <c r="J112" s="361">
        <f t="shared" ca="1" si="46"/>
        <v>0</v>
      </c>
      <c r="K112" s="362">
        <f t="shared" ca="1" si="47"/>
        <v>223776</v>
      </c>
    </row>
    <row r="113" spans="2:11">
      <c r="B113" s="498">
        <v>9</v>
      </c>
      <c r="C113" s="499" t="s">
        <v>736</v>
      </c>
      <c r="D113" s="358" t="str">
        <f ca="1">IF(ISERROR(OFFSET('HARGA SATUAN'!$D$6,MATCH(RAB!C113,'HARGA SATUAN'!$C$7:$C$1492,0),0)),"",OFFSET('HARGA SATUAN'!$D$6,MATCH(RAB!C113,'HARGA SATUAN'!$C$7:$C$1492,0),0))</f>
        <v>JASA</v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501">
        <f>F104*1</f>
        <v>2</v>
      </c>
      <c r="G113" s="360">
        <f ca="1">IF(ISERROR(OFFSET('HARGA SATUAN'!$I$6,MATCH(RAB!C113,'HARGA SATUAN'!$C$7:$C$1492,0),0)),0,OFFSET('HARGA SATUAN'!$I$6,MATCH(RAB!C113,'HARGA SATUAN'!$C$7:$C$1492,0),0))</f>
        <v>65400</v>
      </c>
      <c r="H113" s="361">
        <f t="shared" ca="1" si="44"/>
        <v>0</v>
      </c>
      <c r="I113" s="361">
        <f t="shared" ca="1" si="45"/>
        <v>0</v>
      </c>
      <c r="J113" s="361">
        <f t="shared" ca="1" si="46"/>
        <v>130800</v>
      </c>
      <c r="K113" s="362">
        <f t="shared" ca="1" si="47"/>
        <v>130800</v>
      </c>
    </row>
    <row r="114" spans="2:11">
      <c r="B114" s="494"/>
      <c r="C114" s="497"/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502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44"/>
        <v>0</v>
      </c>
      <c r="I114" s="361">
        <f t="shared" ca="1" si="45"/>
        <v>0</v>
      </c>
      <c r="J114" s="361">
        <f t="shared" ca="1" si="46"/>
        <v>0</v>
      </c>
      <c r="K114" s="362">
        <f t="shared" ca="1" si="47"/>
        <v>0</v>
      </c>
    </row>
    <row r="115" spans="2:11">
      <c r="B115" s="495" t="s">
        <v>1609</v>
      </c>
      <c r="C115" s="500" t="s">
        <v>1616</v>
      </c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/>
      </c>
      <c r="F115" s="368"/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ref="H115:H122" ca="1" si="48">IF(OR(D115="MDU",D115="MDU-KD"),(IF($O$3="RAB NON MDU","PLN KD",G115*F115)),0)</f>
        <v>0</v>
      </c>
      <c r="I115" s="361">
        <f t="shared" ref="I115:I122" ca="1" si="49">IF(D115="HDW",G115*F115,0)</f>
        <v>0</v>
      </c>
      <c r="J115" s="361">
        <f t="shared" ref="J115:J122" ca="1" si="50">IF(D115="JASA",G115*F115,0)</f>
        <v>0</v>
      </c>
      <c r="K115" s="362">
        <f t="shared" ref="K115:K122" ca="1" si="51">SUM(H115:J115)</f>
        <v>0</v>
      </c>
    </row>
    <row r="116" spans="2:11">
      <c r="B116" s="495" t="s">
        <v>1035</v>
      </c>
      <c r="C116" s="496" t="s">
        <v>1633</v>
      </c>
      <c r="D116" s="358" t="str">
        <f ca="1">IF(ISERROR(OFFSET('HARGA SATUAN'!$D$6,MATCH(RAB!C116,'HARGA SATUAN'!$C$7:$C$1492,0),0)),"",OFFSET('HARGA SATUAN'!$D$6,MATCH(RAB!C116,'HARGA SATUAN'!$C$7:$C$1492,0),0))</f>
        <v/>
      </c>
      <c r="E116" s="359" t="str">
        <f ca="1">IF(B116="+","Unit",IF(ISERROR(OFFSET('HARGA SATUAN'!$E$6,MATCH(RAB!C116,'HARGA SATUAN'!$C$7:$C$1492,0),0)),"",OFFSET('HARGA SATUAN'!$E$6,MATCH(RAB!C116,'HARGA SATUAN'!$C$7:$C$1492,0),0)))</f>
        <v>Unit</v>
      </c>
      <c r="F116" s="511">
        <v>1</v>
      </c>
      <c r="G116" s="360">
        <f ca="1">IF(ISERROR(OFFSET('HARGA SATUAN'!$I$6,MATCH(RAB!C116,'HARGA SATUAN'!$C$7:$C$1492,0),0)),0,OFFSET('HARGA SATUAN'!$I$6,MATCH(RAB!C116,'HARGA SATUAN'!$C$7:$C$1492,0),0))</f>
        <v>0</v>
      </c>
      <c r="H116" s="361">
        <f t="shared" ca="1" si="48"/>
        <v>0</v>
      </c>
      <c r="I116" s="361">
        <f t="shared" ca="1" si="49"/>
        <v>0</v>
      </c>
      <c r="J116" s="361">
        <f t="shared" ca="1" si="50"/>
        <v>0</v>
      </c>
      <c r="K116" s="362">
        <f t="shared" ca="1" si="51"/>
        <v>0</v>
      </c>
    </row>
    <row r="117" spans="2:11" ht="30">
      <c r="B117" s="524">
        <v>1</v>
      </c>
      <c r="C117" s="109" t="s">
        <v>1197</v>
      </c>
      <c r="D117" s="358" t="str">
        <f ca="1">IF(ISERROR(OFFSET('HARGA SATUAN'!$D$6,MATCH(RAB!C117,'HARGA SATUAN'!$C$7:$C$1492,0),0)),"",OFFSET('HARGA SATUAN'!$D$6,MATCH(RAB!C117,'HARGA SATUAN'!$C$7:$C$1492,0),0))</f>
        <v>MDU-KD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11">
        <f>F116*1</f>
        <v>1</v>
      </c>
      <c r="G117" s="360">
        <f ca="1">IF(ISERROR(OFFSET('HARGA SATUAN'!$I$6,MATCH(RAB!C117,'HARGA SATUAN'!$C$7:$C$1492,0),0)),0,OFFSET('HARGA SATUAN'!$I$6,MATCH(RAB!C117,'HARGA SATUAN'!$C$7:$C$1492,0),0))</f>
        <v>1427400</v>
      </c>
      <c r="H117" s="361">
        <f t="shared" ca="1" si="48"/>
        <v>1427400</v>
      </c>
      <c r="I117" s="361">
        <f t="shared" ca="1" si="49"/>
        <v>0</v>
      </c>
      <c r="J117" s="361">
        <f t="shared" ca="1" si="50"/>
        <v>0</v>
      </c>
      <c r="K117" s="362">
        <f t="shared" ca="1" si="51"/>
        <v>1427400</v>
      </c>
    </row>
    <row r="118" spans="2:11">
      <c r="B118" s="524">
        <v>2</v>
      </c>
      <c r="C118" s="525" t="s">
        <v>512</v>
      </c>
      <c r="D118" s="358" t="str">
        <f ca="1">IF(ISERROR(OFFSET('HARGA SATUAN'!$D$6,MATCH(RAB!C118,'HARGA SATUAN'!$C$7:$C$1492,0),0)),"",OFFSET('HARGA SATUAN'!$D$6,MATCH(RAB!C118,'HARGA SATUAN'!$C$7:$C$1492,0),0))</f>
        <v>MDU-KD</v>
      </c>
      <c r="E118" s="359" t="str">
        <f ca="1">IF(B118="+","Unit",IF(ISERROR(OFFSET('HARGA SATUAN'!$E$6,MATCH(RAB!C118,'HARGA SATUAN'!$C$7:$C$1492,0),0)),"",OFFSET('HARGA SATUAN'!$E$6,MATCH(RAB!C118,'HARGA SATUAN'!$C$7:$C$1492,0),0)))</f>
        <v>Unit</v>
      </c>
      <c r="F118" s="511">
        <f>F116*1</f>
        <v>1</v>
      </c>
      <c r="G118" s="360">
        <f ca="1">IF(ISERROR(OFFSET('HARGA SATUAN'!$I$6,MATCH(RAB!C118,'HARGA SATUAN'!$C$7:$C$1492,0),0)),0,OFFSET('HARGA SATUAN'!$I$6,MATCH(RAB!C118,'HARGA SATUAN'!$C$7:$C$1492,0),0))</f>
        <v>3564900</v>
      </c>
      <c r="H118" s="361">
        <f t="shared" ca="1" si="48"/>
        <v>3564900</v>
      </c>
      <c r="I118" s="361">
        <f t="shared" ca="1" si="49"/>
        <v>0</v>
      </c>
      <c r="J118" s="361">
        <f t="shared" ca="1" si="50"/>
        <v>0</v>
      </c>
      <c r="K118" s="362">
        <f t="shared" ca="1" si="51"/>
        <v>3564900</v>
      </c>
    </row>
    <row r="119" spans="2:11">
      <c r="B119" s="524">
        <v>3</v>
      </c>
      <c r="C119" s="525" t="s">
        <v>1142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Unit</v>
      </c>
      <c r="F119" s="511">
        <f>F116*1</f>
        <v>1</v>
      </c>
      <c r="G119" s="360">
        <f ca="1">IF(ISERROR(OFFSET('HARGA SATUAN'!$I$6,MATCH(RAB!C119,'HARGA SATUAN'!$C$7:$C$1492,0),0)),0,OFFSET('HARGA SATUAN'!$I$6,MATCH(RAB!C119,'HARGA SATUAN'!$C$7:$C$1492,0),0))</f>
        <v>1113900</v>
      </c>
      <c r="H119" s="361">
        <f t="shared" ca="1" si="48"/>
        <v>0</v>
      </c>
      <c r="I119" s="361">
        <f t="shared" ca="1" si="49"/>
        <v>1113900</v>
      </c>
      <c r="J119" s="361">
        <f t="shared" ca="1" si="50"/>
        <v>0</v>
      </c>
      <c r="K119" s="362">
        <f t="shared" ca="1" si="51"/>
        <v>1113900</v>
      </c>
    </row>
    <row r="120" spans="2:11">
      <c r="B120" s="524">
        <v>4</v>
      </c>
      <c r="C120" s="525" t="s">
        <v>77</v>
      </c>
      <c r="D120" s="358" t="str">
        <f ca="1">IF(ISERROR(OFFSET('HARGA SATUAN'!$D$6,MATCH(RAB!C120,'HARGA SATUAN'!$C$7:$C$1492,0),0)),"",OFFSET('HARGA SATUAN'!$D$6,MATCH(RAB!C120,'HARGA SATUAN'!$C$7:$C$1492,0),0))</f>
        <v>MDU-KD</v>
      </c>
      <c r="E120" s="359" t="str">
        <f ca="1">IF(B120="+","Unit",IF(ISERROR(OFFSET('HARGA SATUAN'!$E$6,MATCH(RAB!C120,'HARGA SATUAN'!$C$7:$C$1492,0),0)),"",OFFSET('HARGA SATUAN'!$E$6,MATCH(RAB!C120,'HARGA SATUAN'!$C$7:$C$1492,0),0)))</f>
        <v>Mtr</v>
      </c>
      <c r="F120" s="511">
        <v>10</v>
      </c>
      <c r="G120" s="360">
        <f ca="1">IF(ISERROR(OFFSET('HARGA SATUAN'!$I$6,MATCH(RAB!C120,'HARGA SATUAN'!$C$7:$C$1492,0),0)),0,OFFSET('HARGA SATUAN'!$I$6,MATCH(RAB!C120,'HARGA SATUAN'!$C$7:$C$1492,0),0))</f>
        <v>13500</v>
      </c>
      <c r="H120" s="361">
        <f t="shared" ca="1" si="48"/>
        <v>135000</v>
      </c>
      <c r="I120" s="361">
        <f t="shared" ca="1" si="49"/>
        <v>0</v>
      </c>
      <c r="J120" s="361">
        <f t="shared" ca="1" si="50"/>
        <v>0</v>
      </c>
      <c r="K120" s="362">
        <f t="shared" ca="1" si="51"/>
        <v>135000</v>
      </c>
    </row>
    <row r="121" spans="2:11">
      <c r="B121" s="524">
        <v>5</v>
      </c>
      <c r="C121" s="525" t="s">
        <v>799</v>
      </c>
      <c r="D121" s="358" t="str">
        <f ca="1">IF(ISERROR(OFFSET('HARGA SATUAN'!$D$6,MATCH(RAB!C121,'HARGA SATUAN'!$C$7:$C$1492,0),0)),"",OFFSET('HARGA SATUAN'!$D$6,MATCH(RAB!C121,'HARGA SATUAN'!$C$7:$C$1492,0),0))</f>
        <v>JASA</v>
      </c>
      <c r="E121" s="359" t="str">
        <f ca="1">IF(B121="+","Unit",IF(ISERROR(OFFSET('HARGA SATUAN'!$E$6,MATCH(RAB!C121,'HARGA SATUAN'!$C$7:$C$1492,0),0)),"",OFFSET('HARGA SATUAN'!$E$6,MATCH(RAB!C121,'HARGA SATUAN'!$C$7:$C$1492,0),0)))</f>
        <v>Unit</v>
      </c>
      <c r="F121" s="511">
        <f>F116*1</f>
        <v>1</v>
      </c>
      <c r="G121" s="360">
        <f ca="1">IF(ISERROR(OFFSET('HARGA SATUAN'!$I$6,MATCH(RAB!C121,'HARGA SATUAN'!$C$7:$C$1492,0),0)),0,OFFSET('HARGA SATUAN'!$I$6,MATCH(RAB!C121,'HARGA SATUAN'!$C$7:$C$1492,0),0))</f>
        <v>106400</v>
      </c>
      <c r="H121" s="361">
        <f t="shared" ca="1" si="48"/>
        <v>0</v>
      </c>
      <c r="I121" s="361">
        <f t="shared" ca="1" si="49"/>
        <v>0</v>
      </c>
      <c r="J121" s="361">
        <f t="shared" ca="1" si="50"/>
        <v>106400</v>
      </c>
      <c r="K121" s="362">
        <f t="shared" ca="1" si="51"/>
        <v>106400</v>
      </c>
    </row>
    <row r="122" spans="2:11">
      <c r="B122" s="374">
        <v>6</v>
      </c>
      <c r="C122" s="525" t="s">
        <v>981</v>
      </c>
      <c r="D122" s="358" t="str">
        <f ca="1">IF(ISERROR(OFFSET('HARGA SATUAN'!$D$6,MATCH(RAB!C122,'HARGA SATUAN'!$C$7:$C$1492,0),0)),"",OFFSET('HARGA SATUAN'!$D$6,MATCH(RAB!C122,'HARGA SATUAN'!$C$7:$C$1492,0),0))</f>
        <v>JASA</v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368">
        <v>1</v>
      </c>
      <c r="G122" s="360">
        <f ca="1">IF(ISERROR(OFFSET('HARGA SATUAN'!$I$6,MATCH(RAB!C122,'HARGA SATUAN'!$C$7:$C$1492,0),0)),0,OFFSET('HARGA SATUAN'!$I$6,MATCH(RAB!C122,'HARGA SATUAN'!$C$7:$C$1492,0),0))</f>
        <v>32640</v>
      </c>
      <c r="H122" s="361">
        <f t="shared" ca="1" si="48"/>
        <v>0</v>
      </c>
      <c r="I122" s="361">
        <f t="shared" ca="1" si="49"/>
        <v>0</v>
      </c>
      <c r="J122" s="361">
        <f t="shared" ca="1" si="50"/>
        <v>32640</v>
      </c>
      <c r="K122" s="362">
        <f t="shared" ca="1" si="51"/>
        <v>32640</v>
      </c>
    </row>
    <row r="123" spans="2:11">
      <c r="B123" s="374"/>
      <c r="C123" s="510"/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368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ref="H123:H142" ca="1" si="52">IF(OR(D123="MDU",D123="MDU-KD"),(IF($O$3="RAB NON MDU","PLN KD",G123*F123)),0)</f>
        <v>0</v>
      </c>
      <c r="I123" s="361">
        <f t="shared" ref="I123:I142" ca="1" si="53">IF(D123="HDW",G123*F123,0)</f>
        <v>0</v>
      </c>
      <c r="J123" s="361">
        <f t="shared" ref="J123:J142" ca="1" si="54">IF(D123="JASA",G123*F123,0)</f>
        <v>0</v>
      </c>
      <c r="K123" s="362">
        <f t="shared" ref="K123:K142" ca="1" si="55">SUM(H123:J123)</f>
        <v>0</v>
      </c>
    </row>
    <row r="124" spans="2:11">
      <c r="B124" s="512" t="s">
        <v>1035</v>
      </c>
      <c r="C124" s="523" t="s">
        <v>1630</v>
      </c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20">
        <v>1</v>
      </c>
      <c r="G124" s="360">
        <f ca="1">IF(ISERROR(OFFSET('HARGA SATUAN'!$I$6,MATCH(RAB!C124,'HARGA SATUAN'!$C$7:$C$1492,0),0)),0,OFFSET('HARGA SATUAN'!$I$6,MATCH(RAB!C124,'HARGA SATUAN'!$C$7:$C$1492,0),0))</f>
        <v>0</v>
      </c>
      <c r="H124" s="361">
        <f t="shared" ca="1" si="52"/>
        <v>0</v>
      </c>
      <c r="I124" s="361">
        <f t="shared" ca="1" si="53"/>
        <v>0</v>
      </c>
      <c r="J124" s="361">
        <f t="shared" ca="1" si="54"/>
        <v>0</v>
      </c>
      <c r="K124" s="362">
        <f t="shared" ca="1" si="55"/>
        <v>0</v>
      </c>
    </row>
    <row r="125" spans="2:11">
      <c r="B125" s="512">
        <v>1</v>
      </c>
      <c r="C125" s="523" t="s">
        <v>115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Set</v>
      </c>
      <c r="F125" s="520">
        <f>F124*1</f>
        <v>1</v>
      </c>
      <c r="G125" s="360">
        <f ca="1">IF(ISERROR(OFFSET('HARGA SATUAN'!$I$6,MATCH(RAB!C125,'HARGA SATUAN'!$C$7:$C$1492,0),0)),0,OFFSET('HARGA SATUAN'!$I$6,MATCH(RAB!C125,'HARGA SATUAN'!$C$7:$C$1492,0),0))</f>
        <v>11500</v>
      </c>
      <c r="H125" s="361">
        <f t="shared" ca="1" si="52"/>
        <v>0</v>
      </c>
      <c r="I125" s="361">
        <f t="shared" ca="1" si="53"/>
        <v>11500</v>
      </c>
      <c r="J125" s="361">
        <f t="shared" ca="1" si="54"/>
        <v>0</v>
      </c>
      <c r="K125" s="362">
        <f t="shared" ca="1" si="55"/>
        <v>11500</v>
      </c>
    </row>
    <row r="126" spans="2:11">
      <c r="B126" s="512">
        <v>2</v>
      </c>
      <c r="C126" s="523" t="s">
        <v>145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Set</v>
      </c>
      <c r="F126" s="520">
        <f>F124*1</f>
        <v>1</v>
      </c>
      <c r="G126" s="360">
        <f ca="1">IF(ISERROR(OFFSET('HARGA SATUAN'!$I$6,MATCH(RAB!C126,'HARGA SATUAN'!$C$7:$C$1492,0),0)),0,OFFSET('HARGA SATUAN'!$I$6,MATCH(RAB!C126,'HARGA SATUAN'!$C$7:$C$1492,0),0))</f>
        <v>6200</v>
      </c>
      <c r="H126" s="361">
        <f t="shared" ca="1" si="52"/>
        <v>0</v>
      </c>
      <c r="I126" s="361">
        <f t="shared" ca="1" si="53"/>
        <v>6200</v>
      </c>
      <c r="J126" s="361">
        <f t="shared" ca="1" si="54"/>
        <v>0</v>
      </c>
      <c r="K126" s="362">
        <f t="shared" ca="1" si="55"/>
        <v>6200</v>
      </c>
    </row>
    <row r="127" spans="2:11">
      <c r="B127" s="512">
        <v>3</v>
      </c>
      <c r="C127" s="523" t="s">
        <v>587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Btg</v>
      </c>
      <c r="F127" s="520">
        <f>F124*1</f>
        <v>1</v>
      </c>
      <c r="G127" s="360">
        <f ca="1">IF(ISERROR(OFFSET('HARGA SATUAN'!$I$6,MATCH(RAB!C127,'HARGA SATUAN'!$C$7:$C$1492,0),0)),0,OFFSET('HARGA SATUAN'!$I$6,MATCH(RAB!C127,'HARGA SATUAN'!$C$7:$C$1492,0),0))</f>
        <v>45796</v>
      </c>
      <c r="H127" s="361">
        <f t="shared" ca="1" si="52"/>
        <v>0</v>
      </c>
      <c r="I127" s="361">
        <f t="shared" ca="1" si="53"/>
        <v>45796</v>
      </c>
      <c r="J127" s="361">
        <f t="shared" ca="1" si="54"/>
        <v>0</v>
      </c>
      <c r="K127" s="362">
        <f t="shared" ca="1" si="55"/>
        <v>45796</v>
      </c>
    </row>
    <row r="128" spans="2:11">
      <c r="B128" s="512">
        <v>4</v>
      </c>
      <c r="C128" s="523" t="s">
        <v>118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Set</v>
      </c>
      <c r="F128" s="520">
        <f>F124*1</f>
        <v>1</v>
      </c>
      <c r="G128" s="360">
        <f ca="1">IF(ISERROR(OFFSET('HARGA SATUAN'!$I$6,MATCH(RAB!C128,'HARGA SATUAN'!$C$7:$C$1492,0),0)),0,OFFSET('HARGA SATUAN'!$I$6,MATCH(RAB!C128,'HARGA SATUAN'!$C$7:$C$1492,0),0))</f>
        <v>5300</v>
      </c>
      <c r="H128" s="361">
        <f t="shared" ca="1" si="52"/>
        <v>0</v>
      </c>
      <c r="I128" s="361">
        <f t="shared" ca="1" si="53"/>
        <v>5300</v>
      </c>
      <c r="J128" s="361">
        <f t="shared" ca="1" si="54"/>
        <v>0</v>
      </c>
      <c r="K128" s="362">
        <f t="shared" ca="1" si="55"/>
        <v>5300</v>
      </c>
    </row>
    <row r="129" spans="2:11">
      <c r="B129" s="512">
        <v>5</v>
      </c>
      <c r="C129" s="523" t="s">
        <v>117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520">
        <f>F124*1</f>
        <v>1</v>
      </c>
      <c r="G129" s="360">
        <f ca="1">IF(ISERROR(OFFSET('HARGA SATUAN'!$I$6,MATCH(RAB!C129,'HARGA SATUAN'!$C$7:$C$1492,0),0)),0,OFFSET('HARGA SATUAN'!$I$6,MATCH(RAB!C129,'HARGA SATUAN'!$C$7:$C$1492,0),0))</f>
        <v>58600</v>
      </c>
      <c r="H129" s="361">
        <f t="shared" ca="1" si="52"/>
        <v>0</v>
      </c>
      <c r="I129" s="361">
        <f t="shared" ca="1" si="53"/>
        <v>58600</v>
      </c>
      <c r="J129" s="361">
        <f t="shared" ca="1" si="54"/>
        <v>0</v>
      </c>
      <c r="K129" s="362">
        <f t="shared" ca="1" si="55"/>
        <v>58600</v>
      </c>
    </row>
    <row r="130" spans="2:11">
      <c r="B130" s="512">
        <v>6</v>
      </c>
      <c r="C130" s="109" t="s">
        <v>1155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Set</v>
      </c>
      <c r="F130" s="520">
        <f>F124*2</f>
        <v>2</v>
      </c>
      <c r="G130" s="360">
        <f ca="1">IF(ISERROR(OFFSET('HARGA SATUAN'!$I$6,MATCH(RAB!C130,'HARGA SATUAN'!$C$7:$C$1492,0),0)),0,OFFSET('HARGA SATUAN'!$I$6,MATCH(RAB!C130,'HARGA SATUAN'!$C$7:$C$1492,0),0))</f>
        <v>2900</v>
      </c>
      <c r="H130" s="361">
        <f t="shared" ca="1" si="52"/>
        <v>0</v>
      </c>
      <c r="I130" s="361">
        <f t="shared" ca="1" si="53"/>
        <v>5800</v>
      </c>
      <c r="J130" s="361">
        <f t="shared" ca="1" si="54"/>
        <v>0</v>
      </c>
      <c r="K130" s="362">
        <f t="shared" ca="1" si="55"/>
        <v>5800</v>
      </c>
    </row>
    <row r="131" spans="2:11">
      <c r="B131" s="512">
        <v>7</v>
      </c>
      <c r="C131" s="523" t="s">
        <v>119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Set</v>
      </c>
      <c r="F131" s="520">
        <f>F124*4</f>
        <v>4</v>
      </c>
      <c r="G131" s="360">
        <f ca="1">IF(ISERROR(OFFSET('HARGA SATUAN'!$I$6,MATCH(RAB!C131,'HARGA SATUAN'!$C$7:$C$1492,0),0)),0,OFFSET('HARGA SATUAN'!$I$6,MATCH(RAB!C131,'HARGA SATUAN'!$C$7:$C$1492,0),0))</f>
        <v>8900</v>
      </c>
      <c r="H131" s="361">
        <f t="shared" ca="1" si="52"/>
        <v>0</v>
      </c>
      <c r="I131" s="361">
        <f t="shared" ca="1" si="53"/>
        <v>35600</v>
      </c>
      <c r="J131" s="361">
        <f t="shared" ca="1" si="54"/>
        <v>0</v>
      </c>
      <c r="K131" s="362">
        <f t="shared" ca="1" si="55"/>
        <v>35600</v>
      </c>
    </row>
    <row r="132" spans="2:11">
      <c r="B132" s="374"/>
      <c r="C132" s="510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368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52"/>
        <v>0</v>
      </c>
      <c r="I132" s="361">
        <f t="shared" ca="1" si="53"/>
        <v>0</v>
      </c>
      <c r="J132" s="361">
        <f t="shared" ca="1" si="54"/>
        <v>0</v>
      </c>
      <c r="K132" s="362">
        <f t="shared" ca="1" si="55"/>
        <v>0</v>
      </c>
    </row>
    <row r="133" spans="2:11">
      <c r="B133" s="512" t="s">
        <v>1035</v>
      </c>
      <c r="C133" s="513" t="s">
        <v>1631</v>
      </c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>Unit</v>
      </c>
      <c r="F133" s="501">
        <v>1</v>
      </c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ca="1" si="52"/>
        <v>0</v>
      </c>
      <c r="I133" s="361">
        <f t="shared" ca="1" si="53"/>
        <v>0</v>
      </c>
      <c r="J133" s="361">
        <f t="shared" ca="1" si="54"/>
        <v>0</v>
      </c>
      <c r="K133" s="362">
        <f t="shared" ca="1" si="55"/>
        <v>0</v>
      </c>
    </row>
    <row r="134" spans="2:11">
      <c r="B134" s="512">
        <v>1</v>
      </c>
      <c r="C134" s="513" t="s">
        <v>29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Bh</v>
      </c>
      <c r="F134" s="501">
        <f>F133*1</f>
        <v>1</v>
      </c>
      <c r="G134" s="360">
        <f ca="1">IF(ISERROR(OFFSET('HARGA SATUAN'!$I$6,MATCH(RAB!C134,'HARGA SATUAN'!$C$7:$C$1492,0),0)),0,OFFSET('HARGA SATUAN'!$I$6,MATCH(RAB!C134,'HARGA SATUAN'!$C$7:$C$1492,0),0))</f>
        <v>185200</v>
      </c>
      <c r="H134" s="361">
        <f t="shared" ca="1" si="52"/>
        <v>0</v>
      </c>
      <c r="I134" s="361">
        <f t="shared" ca="1" si="53"/>
        <v>185200</v>
      </c>
      <c r="J134" s="361">
        <f t="shared" ca="1" si="54"/>
        <v>0</v>
      </c>
      <c r="K134" s="362">
        <f t="shared" ca="1" si="55"/>
        <v>185200</v>
      </c>
    </row>
    <row r="135" spans="2:11">
      <c r="B135" s="512">
        <v>2</v>
      </c>
      <c r="C135" s="513" t="s">
        <v>30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501">
        <f>F133*1</f>
        <v>1</v>
      </c>
      <c r="G135" s="360">
        <f ca="1">IF(ISERROR(OFFSET('HARGA SATUAN'!$I$6,MATCH(RAB!C135,'HARGA SATUAN'!$C$7:$C$1492,0),0)),0,OFFSET('HARGA SATUAN'!$I$6,MATCH(RAB!C135,'HARGA SATUAN'!$C$7:$C$1492,0),0))</f>
        <v>47459</v>
      </c>
      <c r="H135" s="361">
        <f t="shared" ca="1" si="52"/>
        <v>0</v>
      </c>
      <c r="I135" s="361">
        <f t="shared" ca="1" si="53"/>
        <v>47459</v>
      </c>
      <c r="J135" s="361">
        <f t="shared" ca="1" si="54"/>
        <v>0</v>
      </c>
      <c r="K135" s="362">
        <f t="shared" ca="1" si="55"/>
        <v>47459</v>
      </c>
    </row>
    <row r="136" spans="2:11">
      <c r="B136" s="512">
        <v>3</v>
      </c>
      <c r="C136" s="513" t="s">
        <v>32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Mtr</v>
      </c>
      <c r="F136" s="501">
        <f>F133*1.5</f>
        <v>1.5</v>
      </c>
      <c r="G136" s="360">
        <f ca="1">IF(ISERROR(OFFSET('HARGA SATUAN'!$I$6,MATCH(RAB!C136,'HARGA SATUAN'!$C$7:$C$1492,0),0)),0,OFFSET('HARGA SATUAN'!$I$6,MATCH(RAB!C136,'HARGA SATUAN'!$C$7:$C$1492,0),0))</f>
        <v>30000</v>
      </c>
      <c r="H136" s="361">
        <f t="shared" ca="1" si="52"/>
        <v>0</v>
      </c>
      <c r="I136" s="361">
        <f t="shared" ca="1" si="53"/>
        <v>45000</v>
      </c>
      <c r="J136" s="361">
        <f t="shared" ca="1" si="54"/>
        <v>0</v>
      </c>
      <c r="K136" s="362">
        <f t="shared" ca="1" si="55"/>
        <v>45000</v>
      </c>
    </row>
    <row r="137" spans="2:11">
      <c r="B137" s="512">
        <v>4</v>
      </c>
      <c r="C137" s="513" t="s">
        <v>33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501">
        <f>F133*2</f>
        <v>2</v>
      </c>
      <c r="G137" s="360">
        <f ca="1">IF(ISERROR(OFFSET('HARGA SATUAN'!$I$6,MATCH(RAB!C137,'HARGA SATUAN'!$C$7:$C$1492,0),0)),0,OFFSET('HARGA SATUAN'!$I$6,MATCH(RAB!C137,'HARGA SATUAN'!$C$7:$C$1492,0),0))</f>
        <v>9500</v>
      </c>
      <c r="H137" s="361">
        <f t="shared" ca="1" si="52"/>
        <v>0</v>
      </c>
      <c r="I137" s="361">
        <f t="shared" ca="1" si="53"/>
        <v>19000</v>
      </c>
      <c r="J137" s="361">
        <f t="shared" ca="1" si="54"/>
        <v>0</v>
      </c>
      <c r="K137" s="362">
        <f t="shared" ca="1" si="55"/>
        <v>19000</v>
      </c>
    </row>
    <row r="138" spans="2:11">
      <c r="B138" s="512">
        <v>5</v>
      </c>
      <c r="C138" s="513" t="s">
        <v>735</v>
      </c>
      <c r="D138" s="358" t="str">
        <f ca="1">IF(ISERROR(OFFSET('HARGA SATUAN'!$D$6,MATCH(RAB!C138,'HARGA SATUAN'!$C$7:$C$1492,0),0)),"",OFFSET('HARGA SATUAN'!$D$6,MATCH(RAB!C138,'HARGA SATUAN'!$C$7:$C$1492,0),0))</f>
        <v>JASA</v>
      </c>
      <c r="E138" s="359" t="str">
        <f ca="1">IF(B138="+","Unit",IF(ISERROR(OFFSET('HARGA SATUAN'!$E$6,MATCH(RAB!C138,'HARGA SATUAN'!$C$7:$C$1492,0),0)),"",OFFSET('HARGA SATUAN'!$E$6,MATCH(RAB!C138,'HARGA SATUAN'!$C$7:$C$1492,0),0)))</f>
        <v>Unit</v>
      </c>
      <c r="F138" s="501">
        <f>F133*1</f>
        <v>1</v>
      </c>
      <c r="G138" s="360">
        <f ca="1">IF(ISERROR(OFFSET('HARGA SATUAN'!$I$6,MATCH(RAB!C138,'HARGA SATUAN'!$C$7:$C$1492,0),0)),0,OFFSET('HARGA SATUAN'!$I$6,MATCH(RAB!C138,'HARGA SATUAN'!$C$7:$C$1492,0),0))</f>
        <v>56400</v>
      </c>
      <c r="H138" s="361">
        <f t="shared" ca="1" si="52"/>
        <v>0</v>
      </c>
      <c r="I138" s="361">
        <f t="shared" ca="1" si="53"/>
        <v>0</v>
      </c>
      <c r="J138" s="361">
        <f t="shared" ca="1" si="54"/>
        <v>56400</v>
      </c>
      <c r="K138" s="362">
        <f t="shared" ca="1" si="55"/>
        <v>56400</v>
      </c>
    </row>
    <row r="139" spans="2:11">
      <c r="B139" s="374"/>
      <c r="C139" s="510"/>
      <c r="D139" s="358" t="str">
        <f ca="1">IF(ISERROR(OFFSET('HARGA SATUAN'!$D$6,MATCH(RAB!C139,'HARGA SATUAN'!$C$7:$C$1492,0),0)),"",OFFSET('HARGA SATUAN'!$D$6,MATCH(RAB!C139,'HARGA SATUAN'!$C$7:$C$1492,0),0))</f>
        <v/>
      </c>
      <c r="E139" s="359" t="str">
        <f ca="1">IF(B139="+","Unit",IF(ISERROR(OFFSET('HARGA SATUAN'!$E$6,MATCH(RAB!C139,'HARGA SATUAN'!$C$7:$C$1492,0),0)),"",OFFSET('HARGA SATUAN'!$E$6,MATCH(RAB!C139,'HARGA SATUAN'!$C$7:$C$1492,0),0)))</f>
        <v/>
      </c>
      <c r="F139" s="368"/>
      <c r="G139" s="360">
        <f ca="1">IF(ISERROR(OFFSET('HARGA SATUAN'!$I$6,MATCH(RAB!C139,'HARGA SATUAN'!$C$7:$C$1492,0),0)),0,OFFSET('HARGA SATUAN'!$I$6,MATCH(RAB!C139,'HARGA SATUAN'!$C$7:$C$1492,0),0))</f>
        <v>0</v>
      </c>
      <c r="H139" s="361">
        <f t="shared" ca="1" si="52"/>
        <v>0</v>
      </c>
      <c r="I139" s="361">
        <f t="shared" ca="1" si="53"/>
        <v>0</v>
      </c>
      <c r="J139" s="361">
        <f t="shared" ca="1" si="54"/>
        <v>0</v>
      </c>
      <c r="K139" s="362">
        <f t="shared" ca="1" si="55"/>
        <v>0</v>
      </c>
    </row>
    <row r="140" spans="2:11">
      <c r="B140" s="366" t="s">
        <v>22</v>
      </c>
      <c r="C140" s="367" t="s">
        <v>1611</v>
      </c>
      <c r="D140" s="358" t="str">
        <f ca="1">IF(ISERROR(OFFSET('HARGA SATUAN'!$D$6,MATCH(RAB!C140,'HARGA SATUAN'!$C$7:$C$1492,0),0)),"",OFFSET('HARGA SATUAN'!$D$6,MATCH(RAB!C140,'HARGA SATUAN'!$C$7:$C$1492,0),0))</f>
        <v/>
      </c>
      <c r="E140" s="359" t="str">
        <f ca="1">IF(B140="+","Unit",IF(ISERROR(OFFSET('HARGA SATUAN'!$E$6,MATCH(RAB!C140,'HARGA SATUAN'!$C$7:$C$1492,0),0)),"",OFFSET('HARGA SATUAN'!$E$6,MATCH(RAB!C140,'HARGA SATUAN'!$C$7:$C$1492,0),0)))</f>
        <v/>
      </c>
      <c r="F140" s="368"/>
      <c r="G140" s="360">
        <f ca="1">IF(ISERROR(OFFSET('HARGA SATUAN'!$I$6,MATCH(RAB!C140,'HARGA SATUAN'!$C$7:$C$1492,0),0)),0,OFFSET('HARGA SATUAN'!$I$6,MATCH(RAB!C140,'HARGA SATUAN'!$C$7:$C$1492,0),0))</f>
        <v>0</v>
      </c>
      <c r="H140" s="361">
        <f t="shared" ca="1" si="52"/>
        <v>0</v>
      </c>
      <c r="I140" s="361">
        <f t="shared" ca="1" si="53"/>
        <v>0</v>
      </c>
      <c r="J140" s="361">
        <f t="shared" ca="1" si="54"/>
        <v>0</v>
      </c>
      <c r="K140" s="362">
        <f t="shared" ca="1" si="55"/>
        <v>0</v>
      </c>
    </row>
    <row r="141" spans="2:11">
      <c r="B141" s="374"/>
      <c r="C141" s="373"/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/>
      </c>
      <c r="F141" s="368"/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ca="1" si="52"/>
        <v>0</v>
      </c>
      <c r="I141" s="361">
        <f t="shared" ca="1" si="53"/>
        <v>0</v>
      </c>
      <c r="J141" s="361">
        <f t="shared" ca="1" si="54"/>
        <v>0</v>
      </c>
      <c r="K141" s="362">
        <f t="shared" ca="1" si="55"/>
        <v>0</v>
      </c>
    </row>
    <row r="142" spans="2:11">
      <c r="B142" s="375"/>
      <c r="C142" s="376" t="s">
        <v>475</v>
      </c>
      <c r="D142" s="358" t="str">
        <f ca="1">IF(ISERROR(OFFSET('HARGA SATUAN'!$D$6,MATCH(RAB!C142,'HARGA SATUAN'!$C$7:$C$1492,0),0)),"",OFFSET('HARGA SATUAN'!$D$6,MATCH(RAB!C142,'HARGA SATUAN'!$C$7:$C$1492,0),0))</f>
        <v/>
      </c>
      <c r="E142" s="359" t="str">
        <f ca="1">IF(B142="+","Unit",IF(ISERROR(OFFSET('HARGA SATUAN'!$E$6,MATCH(RAB!C142,'HARGA SATUAN'!$C$7:$C$1492,0),0)),"",OFFSET('HARGA SATUAN'!$E$6,MATCH(RAB!C142,'HARGA SATUAN'!$C$7:$C$1492,0),0)))</f>
        <v/>
      </c>
      <c r="F142" s="368"/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ca="1" si="52"/>
        <v>0</v>
      </c>
      <c r="I142" s="361">
        <f t="shared" ca="1" si="53"/>
        <v>0</v>
      </c>
      <c r="J142" s="361">
        <f t="shared" ca="1" si="54"/>
        <v>0</v>
      </c>
      <c r="K142" s="362">
        <f t="shared" ca="1" si="55"/>
        <v>0</v>
      </c>
    </row>
    <row r="143" spans="2:11">
      <c r="B143" s="378">
        <v>1</v>
      </c>
      <c r="C143" s="379" t="s">
        <v>1091</v>
      </c>
      <c r="D143" s="380" t="str">
        <f ca="1">IF(ISERROR(OFFSET('HARGA SATUAN'!$D$6,MATCH(RAB!C143,'HARGA SATUAN'!$C$7:$C$1492,0),0)),"",OFFSET('HARGA SATUAN'!$D$6,MATCH(RAB!C143,'HARGA SATUAN'!$C$7:$C$1492,0),0))</f>
        <v>JASA</v>
      </c>
      <c r="E143" s="381" t="str">
        <f ca="1">IF(ISERROR(OFFSET('HARGA SATUAN'!$E$6,MATCH(RAB!C143,'HARGA SATUAN'!$C$7:$C$1492,0),0)),"",OFFSET('HARGA SATUAN'!$E$6,MATCH(RAB!C143,'HARGA SATUAN'!$C$7:$C$1492,0),0))</f>
        <v>Lot</v>
      </c>
      <c r="F143" s="382">
        <v>1</v>
      </c>
      <c r="G143" s="383">
        <f ca="1">IF(ISERROR(OFFSET('HARGA SATUAN'!$I$6,MATCH(RAB!C143,'HARGA SATUAN'!$C$7:$C$1492,0),0)),0,OFFSET('HARGA SATUAN'!$I$6,MATCH(RAB!C143,'HARGA SATUAN'!$C$7:$C$1492,0),0))</f>
        <v>2.5000000000000001E-2</v>
      </c>
      <c r="H143" s="384"/>
      <c r="I143" s="384"/>
      <c r="J143" s="384">
        <f ca="1">SUM(K15:K21)*G143</f>
        <v>157111.66666666669</v>
      </c>
      <c r="K143" s="385">
        <f ca="1">SUM(H143:J143)</f>
        <v>157111.66666666669</v>
      </c>
    </row>
    <row r="144" spans="2:11">
      <c r="B144" s="386"/>
      <c r="C144" s="387"/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IF(ISERROR(OFFSET('HARGA SATUAN'!$E$6,MATCH(RAB!C144,'HARGA SATUAN'!$C$7:$C$1492,0),0)),"",OFFSET('HARGA SATUAN'!$E$6,MATCH(RAB!C144,'HARGA SATUAN'!$C$7:$C$1492,0),0))</f>
        <v/>
      </c>
      <c r="F144" s="377"/>
      <c r="G144" s="360" t="str">
        <f ca="1">IF(ISERROR(OFFSET('HARGA SATUAN'!$I$6,MATCH(RAB!C144,'HARGA SATUAN'!$C$7:$C$1492,0),0)),"",OFFSET('HARGA SATUAN'!$I$6,MATCH(RAB!C144,'HARGA SATUAN'!$C$7:$C$1492,0),0))</f>
        <v/>
      </c>
      <c r="H144" s="361">
        <f ca="1">IF(OR(D144="MDU",D144="MDU-KD"),IF(G144="PLN",0,G144*F144),0)</f>
        <v>0</v>
      </c>
      <c r="I144" s="361">
        <f ca="1">IF(D144="HDW",IF(G144="PLN",0,G144*F144),0)</f>
        <v>0</v>
      </c>
      <c r="J144" s="361">
        <f ca="1">IF(D144="JASA",IF(G144="PLN",0,G144*F144),0)</f>
        <v>0</v>
      </c>
      <c r="K144" s="362">
        <f ca="1">SUM(H144:J144)</f>
        <v>0</v>
      </c>
    </row>
    <row r="145" spans="2:13" ht="15.75" thickBot="1">
      <c r="B145" s="388"/>
      <c r="C145" s="389"/>
      <c r="D145" s="390"/>
      <c r="E145" s="391"/>
      <c r="F145" s="391"/>
      <c r="G145" s="391"/>
      <c r="H145" s="392"/>
      <c r="I145" s="392"/>
      <c r="J145" s="392"/>
      <c r="K145" s="393"/>
    </row>
    <row r="146" spans="2:13">
      <c r="B146" s="394"/>
      <c r="C146" s="644" t="s">
        <v>1008</v>
      </c>
      <c r="D146" s="644"/>
      <c r="E146" s="644"/>
      <c r="F146" s="644"/>
      <c r="G146" s="395" t="s">
        <v>9</v>
      </c>
      <c r="H146" s="396">
        <f ca="1">SUM(H14:H144)</f>
        <v>55252950</v>
      </c>
      <c r="I146" s="396">
        <f ca="1">SUM(I14:I144)</f>
        <v>17791448.240000002</v>
      </c>
      <c r="J146" s="396">
        <f ca="1">SUM(J14:J144)</f>
        <v>2096618.3333333335</v>
      </c>
      <c r="K146" s="396">
        <f ca="1">SUM(K14:K144)</f>
        <v>75141016.573333338</v>
      </c>
    </row>
    <row r="147" spans="2:13">
      <c r="B147" s="398"/>
      <c r="C147" s="627" t="s">
        <v>1457</v>
      </c>
      <c r="D147" s="627"/>
      <c r="E147" s="627"/>
      <c r="F147" s="627"/>
      <c r="G147" s="399" t="s">
        <v>9</v>
      </c>
      <c r="H147" s="400">
        <f ca="1">H146*0.11</f>
        <v>6077824.5</v>
      </c>
      <c r="I147" s="400">
        <f ca="1">I146*0.11</f>
        <v>1957059.3064000004</v>
      </c>
      <c r="J147" s="400">
        <f ca="1">J146*0.11</f>
        <v>230628.01666666669</v>
      </c>
      <c r="K147" s="400">
        <f ca="1">K146*0.11</f>
        <v>8265511.8230666677</v>
      </c>
    </row>
    <row r="148" spans="2:13" ht="15.75" thickBot="1">
      <c r="B148" s="398"/>
      <c r="C148" s="625" t="s">
        <v>463</v>
      </c>
      <c r="D148" s="625"/>
      <c r="E148" s="625"/>
      <c r="F148" s="625"/>
      <c r="G148" s="401" t="s">
        <v>9</v>
      </c>
      <c r="H148" s="402">
        <f ca="1">SUM(H146:H147)</f>
        <v>61330774.5</v>
      </c>
      <c r="I148" s="402">
        <f ca="1">SUM(I146:I147)</f>
        <v>19748507.546400003</v>
      </c>
      <c r="J148" s="401">
        <f ca="1">SUM(J146:J147)</f>
        <v>2327246.35</v>
      </c>
      <c r="K148" s="401">
        <f ca="1">SUM(K146:K147)</f>
        <v>83406528.396400005</v>
      </c>
      <c r="M148" s="484"/>
    </row>
    <row r="149" spans="2:13">
      <c r="B149" s="628" t="str">
        <f ca="1">"Terbilang : "&amp;PROPER(IF(K148=0,"nol",IF(K148&lt;0,"minus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IF(--MID(TEXT(ABS(K148),"000000000000000"),1,3)=0,"",MID(TEXT(ABS(K148),"000000000000000"),1,1)&amp;" ratus "&amp;MID(TEXT(ABS(K148),"000000000000000"),2,1)&amp;" puluh "&amp;MID(TEXT(ABS(K148),"000000000000000"),3,1)&amp;" trilyun ")&amp; IF(--MID(TEXT(ABS(K148),"000000000000000"),4,3)=0,"",MID(TEXT(ABS(K148),"000000000000000"),4,1)&amp;" ratus "&amp;MID(TEXT(ABS(K148),"000000000000000"),5,1)&amp;" puluh "&amp;MID(TEXT(ABS(K148),"000000000000000"),6,1)&amp;" milyar ")&amp; IF(--MID(TEXT(ABS(K148),"000000000000000"),7,3)=0,"",MID(TEXT(ABS(K148),"000000000000000"),7,1)&amp;" ratus "&amp;MID(TEXT(ABS(K148),"000000000000000"),8,1)&amp;" puluh "&amp;MID(TEXT(ABS(K148),"000000000000000"),9,1)&amp;" juta ")&amp; IF(--MID(TEXT(ABS(K148),"000000000000000"),10,3)=0,"",IF(--MID(TEXT(ABS(K148),"000000000000000"),10,3)=1,"*",MID(TEXT(ABS(K148),"000000000000000"),10,1)&amp;" ratus "&amp;MID(TEXT(ABS(K148),"000000000000000"),11,1)&amp;" puluh ")&amp;MID(TEXT(ABS(K148),"000000000000000"),12,1)&amp;" ribu ")&amp; IF(--MID(TEXT(ABS(K148),"000000000000000"),13,3)=0,"",MID(TEXT(ABS(K148),"000000000000000"),13,1)&amp;" ratus "&amp;MID(TEXT(ABS(K148),"000000000000000"),14,1)&amp;" puluh "&amp;MID(TEXT(ABS(K148),"000000000000000"),15,1)),1,"satu"),2,"dua"),3,"tiga"),4,"empat"),5,"lima"),6,"enam"),7,"tujuh"),8,"delapan"),9,"sembilan"),"0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Tiga Juta Empat Ratus Enam Ribu Lima Ratus Dua Puluh Delapan Rupiah</v>
      </c>
      <c r="C149" s="629"/>
      <c r="D149" s="629"/>
      <c r="E149" s="629"/>
      <c r="F149" s="629"/>
      <c r="G149" s="629"/>
      <c r="H149" s="629"/>
      <c r="I149" s="629"/>
      <c r="J149" s="629"/>
      <c r="K149" s="630"/>
    </row>
    <row r="150" spans="2:13">
      <c r="B150" s="631"/>
      <c r="C150" s="632"/>
      <c r="D150" s="632"/>
      <c r="E150" s="632"/>
      <c r="F150" s="632"/>
      <c r="G150" s="632"/>
      <c r="H150" s="632"/>
      <c r="I150" s="632"/>
      <c r="J150" s="632"/>
      <c r="K150" s="633"/>
    </row>
    <row r="151" spans="2:13" ht="15.75" thickBot="1">
      <c r="B151" s="403" t="str">
        <f>"Harga yang dipakai adalah "&amp;'HARGA SATUAN'!I5&amp;""</f>
        <v>Harga yang dipakai adalah RAB HSS 2023</v>
      </c>
      <c r="C151" s="404"/>
      <c r="D151" s="405"/>
      <c r="E151" s="405"/>
      <c r="F151" s="405"/>
      <c r="G151" s="406"/>
      <c r="H151" s="406"/>
      <c r="I151" s="406"/>
      <c r="J151" s="406"/>
      <c r="K151" s="407"/>
    </row>
    <row r="152" spans="2:13">
      <c r="C152" s="408"/>
      <c r="E152" s="410"/>
      <c r="F152" s="410"/>
      <c r="G152" s="410"/>
    </row>
    <row r="153" spans="2:13">
      <c r="C153" s="337"/>
      <c r="E153" s="410"/>
      <c r="F153" s="410"/>
      <c r="G153" s="410"/>
      <c r="H153" s="634"/>
      <c r="I153" s="634"/>
      <c r="J153" s="635"/>
      <c r="K153" s="635"/>
    </row>
    <row r="154" spans="2:13">
      <c r="C154" s="337"/>
      <c r="E154" s="410"/>
      <c r="F154" s="410"/>
      <c r="G154" s="410"/>
      <c r="H154" s="411"/>
      <c r="I154" s="624" t="s">
        <v>1639</v>
      </c>
      <c r="J154" s="624"/>
      <c r="K154" s="624"/>
    </row>
    <row r="155" spans="2:13">
      <c r="C155" s="337"/>
      <c r="E155" s="410"/>
      <c r="F155" s="410"/>
      <c r="G155" s="410"/>
      <c r="H155" s="411"/>
      <c r="I155" s="624" t="s">
        <v>1640</v>
      </c>
      <c r="J155" s="624"/>
      <c r="K155" s="624"/>
    </row>
    <row r="156" spans="2:13">
      <c r="C156" s="337"/>
      <c r="E156" s="410"/>
      <c r="F156" s="410"/>
      <c r="G156" s="410"/>
      <c r="H156" s="412"/>
      <c r="I156" s="413"/>
      <c r="J156" s="413"/>
      <c r="K156" s="413"/>
    </row>
    <row r="157" spans="2:13">
      <c r="C157" s="337"/>
      <c r="E157" s="410"/>
      <c r="F157" s="410"/>
      <c r="G157" s="410"/>
      <c r="H157" s="412"/>
      <c r="I157" s="412"/>
      <c r="J157" s="412"/>
      <c r="K157" s="412"/>
    </row>
    <row r="158" spans="2:13">
      <c r="C158" s="337"/>
      <c r="E158" s="410"/>
      <c r="F158" s="410"/>
      <c r="G158" s="410"/>
      <c r="H158" s="412"/>
      <c r="I158" s="412"/>
      <c r="J158" s="412"/>
      <c r="K158" s="412"/>
    </row>
    <row r="159" spans="2:13">
      <c r="C159" s="337"/>
      <c r="E159" s="410"/>
      <c r="F159" s="410"/>
      <c r="G159" s="410"/>
      <c r="H159" s="412"/>
      <c r="I159" s="412"/>
      <c r="J159" s="412"/>
      <c r="K159" s="412"/>
    </row>
    <row r="160" spans="2:13">
      <c r="C160" s="337"/>
      <c r="E160" s="410"/>
      <c r="F160" s="410"/>
      <c r="G160" s="410"/>
      <c r="H160" s="414"/>
      <c r="I160" s="624" t="s">
        <v>1641</v>
      </c>
      <c r="J160" s="624"/>
      <c r="K160" s="624"/>
    </row>
    <row r="161" spans="3:11">
      <c r="C161" s="408"/>
      <c r="E161" s="410"/>
      <c r="F161" s="410"/>
      <c r="G161" s="410"/>
      <c r="H161" s="412"/>
      <c r="I161" s="412"/>
      <c r="J161" s="412"/>
      <c r="K161" s="412"/>
    </row>
    <row r="162" spans="3:11">
      <c r="C162" s="408"/>
      <c r="E162" s="410"/>
      <c r="F162" s="410"/>
      <c r="G162" s="410"/>
      <c r="H162" s="412"/>
      <c r="I162" s="412"/>
      <c r="J162" s="412"/>
      <c r="K162" s="412"/>
    </row>
    <row r="163" spans="3:11">
      <c r="C163" s="408"/>
      <c r="E163" s="410"/>
      <c r="F163" s="410"/>
      <c r="G163" s="410"/>
      <c r="H163" s="412"/>
      <c r="I163" s="412"/>
      <c r="J163" s="412"/>
      <c r="K163" s="412"/>
    </row>
  </sheetData>
  <sheetProtection sort="0" autoFilter="0"/>
  <protectedRanges>
    <protectedRange sqref="B141 B116:B132 B139" name="Range1_1"/>
    <protectedRange sqref="F115:F132 F58:F73 F79:F81 F139:F142 F14:F56" name="Range1_1_2_2"/>
    <protectedRange sqref="C141 C116:C119 C121:C132 C139" name="Range1_1_1"/>
    <protectedRange sqref="B91:C101 B84:C85 B90 B114:C115 B86 B83 B81:C82 B87:C89 B102:B103" name="Range1_6_2"/>
    <protectedRange sqref="C102:C103" name="Range1_1_3_2"/>
    <protectedRange sqref="C90" name="Range1_1_3_3"/>
    <protectedRange sqref="C86" name="Range1_1_3_10"/>
    <protectedRange sqref="C120" name="Range1_1_3_13"/>
    <protectedRange sqref="C17" name="Range1_1_3_14"/>
    <protectedRange sqref="C24" name="Range1_1_3_15"/>
    <protectedRange sqref="C25" name="Range1_1_3_16"/>
    <protectedRange sqref="C18:C20" name="Range1_1_3"/>
    <protectedRange sqref="C83" name="Range1_1_3_1"/>
    <protectedRange sqref="C56" name="Range1_1_3_4"/>
    <protectedRange sqref="G57" name="Range1_3_7"/>
  </protectedRanges>
  <mergeCells count="22">
    <mergeCell ref="O3:P4"/>
    <mergeCell ref="B4:K4"/>
    <mergeCell ref="C146:F146"/>
    <mergeCell ref="B11:B13"/>
    <mergeCell ref="C11:C13"/>
    <mergeCell ref="D11:D13"/>
    <mergeCell ref="E11:E13"/>
    <mergeCell ref="F11:F13"/>
    <mergeCell ref="G11:G13"/>
    <mergeCell ref="I12:I13"/>
    <mergeCell ref="I155:K155"/>
    <mergeCell ref="I160:K160"/>
    <mergeCell ref="C148:F148"/>
    <mergeCell ref="G6:K6"/>
    <mergeCell ref="I154:K154"/>
    <mergeCell ref="C147:F147"/>
    <mergeCell ref="B149:K150"/>
    <mergeCell ref="H153:K153"/>
    <mergeCell ref="H11:K11"/>
    <mergeCell ref="H12:H13"/>
    <mergeCell ref="J12:J13"/>
    <mergeCell ref="K12:K13"/>
  </mergeCells>
  <phoneticPr fontId="138" type="noConversion"/>
  <conditionalFormatting sqref="C15 C17:C21">
    <cfRule type="cellIs" dxfId="15" priority="482" operator="equal">
      <formula>0</formula>
    </cfRule>
  </conditionalFormatting>
  <conditionalFormatting sqref="C24:C25">
    <cfRule type="cellIs" dxfId="14" priority="16" operator="equal">
      <formula>0</formula>
    </cfRule>
  </conditionalFormatting>
  <conditionalFormatting sqref="C39">
    <cfRule type="cellIs" dxfId="13" priority="13" operator="equal">
      <formula>0</formula>
    </cfRule>
  </conditionalFormatting>
  <conditionalFormatting sqref="C56">
    <cfRule type="cellIs" dxfId="12" priority="10" operator="equal">
      <formula>0</formula>
    </cfRule>
  </conditionalFormatting>
  <conditionalFormatting sqref="C80">
    <cfRule type="cellIs" dxfId="11" priority="107" operator="equal">
      <formula>0</formula>
    </cfRule>
  </conditionalFormatting>
  <conditionalFormatting sqref="C83">
    <cfRule type="cellIs" dxfId="10" priority="14" operator="equal">
      <formula>0</formula>
    </cfRule>
  </conditionalFormatting>
  <conditionalFormatting sqref="C86:C87">
    <cfRule type="cellIs" dxfId="9" priority="28" operator="equal">
      <formula>0</formula>
    </cfRule>
  </conditionalFormatting>
  <conditionalFormatting sqref="C90">
    <cfRule type="cellIs" dxfId="8" priority="29" operator="equal">
      <formula>0</formula>
    </cfRule>
  </conditionalFormatting>
  <conditionalFormatting sqref="C102:C103">
    <cfRule type="cellIs" dxfId="7" priority="23" operator="equal">
      <formula>0</formula>
    </cfRule>
  </conditionalFormatting>
  <conditionalFormatting sqref="C130">
    <cfRule type="cellIs" dxfId="6" priority="4" operator="equal">
      <formula>0</formula>
    </cfRule>
  </conditionalFormatting>
  <conditionalFormatting sqref="C140">
    <cfRule type="cellIs" dxfId="5" priority="105" operator="equal">
      <formula>0</formula>
    </cfRule>
  </conditionalFormatting>
  <conditionalFormatting sqref="C57:G57">
    <cfRule type="cellIs" dxfId="4" priority="8" operator="equal">
      <formula>0</formula>
    </cfRule>
  </conditionalFormatting>
  <conditionalFormatting sqref="E1:E3 G1:G13 E5:E13 H12:I12 O13 H57:K57 E143:G143 H143:K145 E144:H144 E145:F145 S14:V21 E14:K56">
    <cfRule type="cellIs" dxfId="3" priority="1062" stopIfTrue="1" operator="equal">
      <formula>0</formula>
    </cfRule>
  </conditionalFormatting>
  <conditionalFormatting sqref="E58:K142">
    <cfRule type="cellIs" dxfId="2" priority="2" stopIfTrue="1" operator="equal">
      <formula>0</formula>
    </cfRule>
  </conditionalFormatting>
  <conditionalFormatting sqref="G144:G65610 E149:E65610">
    <cfRule type="cellIs" dxfId="1" priority="196" stopIfTrue="1" operator="equal">
      <formula>0</formula>
    </cfRule>
  </conditionalFormatting>
  <conditionalFormatting sqref="C117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C84:C85 F58:F70 F72:F114 F133:F138 H14:K145 F22:F5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7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2" zoomScaleNormal="115" zoomScaleSheetLayoutView="100" workbookViewId="0">
      <selection activeCell="AB54" sqref="AB54:AD54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7" t="s">
        <v>1439</v>
      </c>
      <c r="X2" s="708"/>
      <c r="Y2" s="708"/>
      <c r="Z2" s="708"/>
      <c r="AA2" s="708"/>
      <c r="AB2" s="708"/>
      <c r="AC2" s="708"/>
      <c r="AD2" s="709"/>
    </row>
    <row r="3" spans="3:30">
      <c r="C3" s="238"/>
      <c r="W3" s="710"/>
      <c r="X3" s="711"/>
      <c r="Y3" s="711"/>
      <c r="Z3" s="711"/>
      <c r="AA3" s="711"/>
      <c r="AB3" s="711"/>
      <c r="AC3" s="711"/>
      <c r="AD3" s="71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238"/>
      <c r="W6" s="241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238"/>
      <c r="E7" s="490" t="str">
        <f>PETA!C6</f>
        <v>KOORDINAT : -6.874204, 110.733624</v>
      </c>
      <c r="W7" s="241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238"/>
      <c r="W8" s="241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238"/>
      <c r="W9" s="241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238"/>
      <c r="W10" s="241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238"/>
      <c r="W11" s="241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238"/>
      <c r="W12" s="241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238"/>
      <c r="W13" s="241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238"/>
      <c r="W14" s="241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238"/>
      <c r="W15" s="241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238"/>
      <c r="W16" s="241">
        <v>11</v>
      </c>
      <c r="X16" s="656" t="s">
        <v>1455</v>
      </c>
      <c r="Y16" s="656"/>
      <c r="Z16" s="656"/>
      <c r="AA16" s="656"/>
      <c r="AB16" s="656"/>
      <c r="AC16" s="656"/>
      <c r="AD16" s="657"/>
    </row>
    <row r="17" spans="3:30">
      <c r="C17" s="238"/>
      <c r="S17" s="242"/>
      <c r="W17" s="241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243"/>
      <c r="D18" s="244"/>
      <c r="E18" s="244"/>
      <c r="W18" s="241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238"/>
      <c r="W19" s="245"/>
      <c r="X19" s="705"/>
      <c r="Y19" s="705"/>
      <c r="Z19" s="705"/>
      <c r="AA19" s="705"/>
      <c r="AB19" s="705"/>
      <c r="AC19" s="705"/>
      <c r="AD19" s="706"/>
    </row>
    <row r="20" spans="3:30">
      <c r="C20" s="238"/>
      <c r="W20" s="692" t="s">
        <v>992</v>
      </c>
      <c r="X20" s="693"/>
      <c r="Y20" s="693"/>
      <c r="Z20" s="693"/>
      <c r="AA20" s="693"/>
      <c r="AB20" s="693"/>
      <c r="AC20" s="693"/>
      <c r="AD20" s="694"/>
    </row>
    <row r="21" spans="3:30">
      <c r="C21" s="238"/>
      <c r="W21" s="695" t="s">
        <v>985</v>
      </c>
      <c r="X21" s="696"/>
      <c r="Y21" s="696"/>
      <c r="Z21" s="697"/>
      <c r="AA21" s="698" t="s">
        <v>986</v>
      </c>
      <c r="AB21" s="699"/>
      <c r="AC21" s="699"/>
      <c r="AD21" s="700"/>
    </row>
    <row r="22" spans="3:30">
      <c r="C22" s="238"/>
      <c r="W22" s="701"/>
      <c r="X22" s="702"/>
      <c r="Y22" s="492"/>
      <c r="Z22" s="493"/>
      <c r="AA22" s="703"/>
      <c r="AB22" s="704"/>
      <c r="AC22" s="248"/>
      <c r="AD22" s="249"/>
    </row>
    <row r="23" spans="3:30">
      <c r="C23" s="238"/>
      <c r="W23" s="701"/>
      <c r="X23" s="702"/>
      <c r="Y23" s="492"/>
      <c r="Z23" s="493"/>
      <c r="AA23" s="690"/>
      <c r="AB23" s="691"/>
      <c r="AC23" s="248"/>
      <c r="AD23" s="249"/>
    </row>
    <row r="24" spans="3:30">
      <c r="C24" s="238"/>
      <c r="W24" s="685"/>
      <c r="X24" s="687"/>
      <c r="Y24" s="246"/>
      <c r="Z24" s="247"/>
      <c r="AA24" s="688"/>
      <c r="AB24" s="689"/>
      <c r="AC24" s="248"/>
      <c r="AD24" s="249"/>
    </row>
    <row r="25" spans="3:30">
      <c r="C25" s="238"/>
      <c r="W25" s="685"/>
      <c r="X25" s="687"/>
      <c r="Y25" s="246"/>
      <c r="Z25" s="247"/>
      <c r="AA25" s="690"/>
      <c r="AB25" s="691"/>
      <c r="AC25" s="248"/>
      <c r="AD25" s="249"/>
    </row>
    <row r="26" spans="3:30">
      <c r="C26" s="238"/>
      <c r="W26" s="480"/>
      <c r="X26" s="481"/>
      <c r="Y26" s="246"/>
      <c r="Z26" s="247"/>
      <c r="AA26" s="690"/>
      <c r="AB26" s="691"/>
      <c r="AC26" s="248"/>
      <c r="AD26" s="249"/>
    </row>
    <row r="27" spans="3:30">
      <c r="C27" s="238"/>
      <c r="W27" s="480"/>
      <c r="X27" s="481"/>
      <c r="Y27" s="246"/>
      <c r="Z27" s="247"/>
      <c r="AA27" s="684"/>
      <c r="AB27" s="679"/>
      <c r="AC27" s="248"/>
      <c r="AD27" s="249"/>
    </row>
    <row r="28" spans="3:30">
      <c r="C28" s="238"/>
      <c r="W28" s="480"/>
      <c r="X28" s="481"/>
      <c r="Y28" s="246"/>
      <c r="Z28" s="247"/>
      <c r="AA28" s="684"/>
      <c r="AB28" s="679"/>
      <c r="AC28" s="248"/>
      <c r="AD28" s="249"/>
    </row>
    <row r="29" spans="3:30">
      <c r="C29" s="238"/>
      <c r="W29" s="480"/>
      <c r="X29" s="481"/>
      <c r="Y29" s="246"/>
      <c r="Z29" s="247"/>
      <c r="AA29" s="684"/>
      <c r="AB29" s="679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4"/>
      <c r="AB30" s="679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4"/>
      <c r="AB31" s="679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4"/>
      <c r="AB32" s="679"/>
      <c r="AC32" s="248"/>
      <c r="AD32" s="249"/>
    </row>
    <row r="33" spans="3:30">
      <c r="C33" s="238"/>
      <c r="W33" s="480"/>
      <c r="X33" s="481"/>
      <c r="Y33" s="246"/>
      <c r="Z33" s="247"/>
      <c r="AA33" s="684"/>
      <c r="AB33" s="679"/>
      <c r="AC33" s="248"/>
      <c r="AD33" s="249"/>
    </row>
    <row r="34" spans="3:30">
      <c r="C34" s="238"/>
      <c r="W34" s="480"/>
      <c r="X34" s="481"/>
      <c r="Y34" s="246"/>
      <c r="Z34" s="247"/>
      <c r="AA34" s="684"/>
      <c r="AB34" s="679"/>
      <c r="AC34" s="248"/>
      <c r="AD34" s="249"/>
    </row>
    <row r="35" spans="3:30">
      <c r="C35" s="238"/>
      <c r="W35" s="685"/>
      <c r="X35" s="686"/>
      <c r="Y35" s="246"/>
      <c r="Z35" s="247"/>
      <c r="AA35" s="684"/>
      <c r="AB35" s="679"/>
      <c r="AC35" s="248"/>
      <c r="AD35" s="249"/>
    </row>
    <row r="36" spans="3:30">
      <c r="C36" s="238"/>
      <c r="W36" s="676"/>
      <c r="X36" s="677"/>
      <c r="Y36" s="246"/>
      <c r="Z36" s="251"/>
      <c r="AA36" s="678"/>
      <c r="AB36" s="679"/>
      <c r="AC36" s="248"/>
      <c r="AD36" s="249"/>
    </row>
    <row r="37" spans="3:30" ht="12.75" customHeight="1">
      <c r="C37" s="238"/>
      <c r="W37" s="680"/>
      <c r="X37" s="681"/>
      <c r="Y37" s="246"/>
      <c r="Z37" s="251"/>
      <c r="AA37" s="682"/>
      <c r="AB37" s="683"/>
      <c r="AC37" s="252"/>
      <c r="AD37" s="253"/>
    </row>
    <row r="38" spans="3:30" ht="12.75" customHeight="1">
      <c r="C38" s="238"/>
      <c r="W38" s="680"/>
      <c r="X38" s="681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0"/>
      <c r="X39" s="681"/>
      <c r="Y39" s="254"/>
      <c r="Z39" s="257"/>
      <c r="AA39" s="672"/>
      <c r="AB39" s="673"/>
      <c r="AC39" s="252"/>
      <c r="AD39" s="253"/>
    </row>
    <row r="40" spans="3:30" ht="12" customHeight="1">
      <c r="C40" s="238"/>
      <c r="W40" s="668"/>
      <c r="X40" s="66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0"/>
      <c r="X41" s="671"/>
      <c r="Y41" s="260"/>
      <c r="Z41" s="261"/>
      <c r="AA41" s="672"/>
      <c r="AB41" s="673"/>
      <c r="AC41" s="252"/>
      <c r="AD41" s="253"/>
    </row>
    <row r="42" spans="3:30" ht="12" customHeight="1">
      <c r="C42" s="238"/>
      <c r="W42" s="674" t="s">
        <v>1456</v>
      </c>
      <c r="X42" s="675"/>
      <c r="Y42" s="675"/>
      <c r="Z42" s="67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3" t="s">
        <v>11</v>
      </c>
      <c r="X44" s="654"/>
      <c r="Y44" s="656"/>
      <c r="Z44" s="656"/>
      <c r="AA44" s="656"/>
      <c r="AB44" s="656"/>
      <c r="AC44" s="656"/>
      <c r="AD44" s="65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3" t="s">
        <v>984</v>
      </c>
      <c r="X45" s="654"/>
      <c r="Y45" s="656">
        <v>1</v>
      </c>
      <c r="Z45" s="656"/>
      <c r="AA45" s="656"/>
      <c r="AB45" s="656" t="s">
        <v>12</v>
      </c>
      <c r="AC45" s="65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3" t="s">
        <v>15</v>
      </c>
      <c r="X46" s="654"/>
      <c r="Y46" s="667"/>
      <c r="Z46" s="667"/>
      <c r="AA46" s="667"/>
      <c r="AB46" s="656" t="s">
        <v>16</v>
      </c>
      <c r="AC46" s="65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1" t="s">
        <v>17</v>
      </c>
      <c r="X47" s="661"/>
      <c r="Y47" s="661"/>
      <c r="Z47" s="661"/>
      <c r="AA47" s="661"/>
      <c r="AB47" s="661"/>
      <c r="AC47" s="661"/>
      <c r="AD47" s="66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3" t="str">
        <f>RAB!G6</f>
        <v>SMP GAJAH</v>
      </c>
      <c r="X48" s="663"/>
      <c r="Y48" s="663"/>
      <c r="Z48" s="663"/>
      <c r="AA48" s="663"/>
      <c r="AB48" s="663"/>
      <c r="AC48" s="663"/>
      <c r="AD48" s="66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3"/>
      <c r="X49" s="663"/>
      <c r="Y49" s="663"/>
      <c r="Z49" s="663"/>
      <c r="AA49" s="663"/>
      <c r="AB49" s="663"/>
      <c r="AC49" s="663"/>
      <c r="AD49" s="66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3"/>
      <c r="X50" s="663"/>
      <c r="Y50" s="663"/>
      <c r="Z50" s="663"/>
      <c r="AA50" s="663"/>
      <c r="AB50" s="663"/>
      <c r="AC50" s="663"/>
      <c r="AD50" s="66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5"/>
      <c r="X51" s="665"/>
      <c r="Y51" s="665"/>
      <c r="Z51" s="665"/>
      <c r="AA51" s="665"/>
      <c r="AB51" s="665"/>
      <c r="AC51" s="665"/>
      <c r="AD51" s="66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3" t="s">
        <v>18</v>
      </c>
      <c r="X52" s="654"/>
      <c r="Y52" s="656" t="s">
        <v>1635</v>
      </c>
      <c r="Z52" s="656"/>
      <c r="AA52" s="656"/>
      <c r="AB52" s="656"/>
      <c r="AC52" s="656"/>
      <c r="AD52" s="65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3" t="s">
        <v>19</v>
      </c>
      <c r="X53" s="654"/>
      <c r="Y53" s="656" t="s">
        <v>1636</v>
      </c>
      <c r="Z53" s="656"/>
      <c r="AA53" s="656"/>
      <c r="AB53" s="656"/>
      <c r="AC53" s="656"/>
      <c r="AD53" s="65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3" t="s">
        <v>20</v>
      </c>
      <c r="X54" s="654"/>
      <c r="Y54" s="655" t="s">
        <v>1637</v>
      </c>
      <c r="Z54" s="655"/>
      <c r="AA54" s="655"/>
      <c r="AB54" s="656"/>
      <c r="AC54" s="656"/>
      <c r="AD54" s="65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8" t="s">
        <v>21</v>
      </c>
      <c r="X55" s="659"/>
      <c r="Y55" s="655" t="s">
        <v>1638</v>
      </c>
      <c r="Z55" s="655"/>
      <c r="AA55" s="655"/>
      <c r="AB55" s="655"/>
      <c r="AC55" s="655"/>
      <c r="AD55" s="660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Q32" sqref="Q32:R32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3" t="s">
        <v>1528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17"/>
      <c r="AE4" s="216"/>
      <c r="AF4" s="216"/>
    </row>
    <row r="5" spans="2:32" ht="13.5" customHeight="1">
      <c r="B5" s="215"/>
      <c r="C5" s="215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17"/>
      <c r="AE5" s="216"/>
      <c r="AF5" s="216"/>
    </row>
    <row r="6" spans="2:32" ht="12.75" customHeight="1">
      <c r="B6" s="215"/>
      <c r="C6" s="215"/>
      <c r="D6" s="716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  <c r="P6" s="717"/>
      <c r="Q6" s="717"/>
      <c r="R6" s="717"/>
      <c r="S6" s="717"/>
      <c r="T6" s="717"/>
      <c r="U6" s="717"/>
      <c r="V6" s="717"/>
      <c r="W6" s="717"/>
      <c r="X6" s="717"/>
      <c r="Y6" s="717"/>
      <c r="Z6" s="717"/>
      <c r="AA6" s="717"/>
      <c r="AB6" s="717"/>
      <c r="AC6" s="718"/>
      <c r="AE6" s="216"/>
      <c r="AF6" s="216"/>
    </row>
    <row r="7" spans="2:32" ht="12.75" customHeight="1" thickBot="1">
      <c r="B7" s="215"/>
      <c r="C7" s="215"/>
      <c r="D7" s="719"/>
      <c r="E7" s="720"/>
      <c r="F7" s="720"/>
      <c r="G7" s="720"/>
      <c r="H7" s="720"/>
      <c r="I7" s="720"/>
      <c r="J7" s="720"/>
      <c r="K7" s="720"/>
      <c r="L7" s="720"/>
      <c r="M7" s="720"/>
      <c r="N7" s="720"/>
      <c r="O7" s="720"/>
      <c r="P7" s="720"/>
      <c r="Q7" s="720"/>
      <c r="R7" s="720"/>
      <c r="S7" s="720"/>
      <c r="T7" s="720"/>
      <c r="U7" s="720"/>
      <c r="V7" s="720"/>
      <c r="W7" s="720"/>
      <c r="X7" s="720"/>
      <c r="Y7" s="720"/>
      <c r="Z7" s="720"/>
      <c r="AA7" s="720"/>
      <c r="AB7" s="720"/>
      <c r="AC7" s="72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85" zoomScaleNormal="40" zoomScaleSheetLayoutView="85" workbookViewId="0">
      <selection activeCell="U17" sqref="U17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7" t="s">
        <v>1527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2" t="s">
        <v>1632</v>
      </c>
      <c r="D6" s="722"/>
      <c r="E6" s="722"/>
      <c r="F6" s="722"/>
      <c r="G6" s="722"/>
      <c r="H6" s="722"/>
      <c r="I6" s="722"/>
      <c r="J6" s="722"/>
      <c r="K6" s="722"/>
      <c r="L6" s="722"/>
      <c r="M6" s="722"/>
      <c r="W6" s="182"/>
      <c r="Y6" s="428"/>
      <c r="Z6" s="428"/>
      <c r="AA6" s="428"/>
      <c r="AB6" s="429"/>
      <c r="AC6" s="429"/>
    </row>
    <row r="7" spans="1:29" ht="18" customHeight="1">
      <c r="A7" s="181"/>
      <c r="C7" s="722"/>
      <c r="D7" s="722"/>
      <c r="E7" s="722"/>
      <c r="F7" s="722"/>
      <c r="G7" s="722"/>
      <c r="H7" s="722"/>
      <c r="I7" s="722"/>
      <c r="J7" s="722"/>
      <c r="K7" s="722"/>
      <c r="L7" s="722"/>
      <c r="M7" s="722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2023-11-28T09:22:28Z</cp:lastPrinted>
  <dcterms:created xsi:type="dcterms:W3CDTF">2011-02-06T11:57:38Z</dcterms:created>
  <dcterms:modified xsi:type="dcterms:W3CDTF">2023-11-30T01:06:55Z</dcterms:modified>
</cp:coreProperties>
</file>