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RENALDI\DATA GRENALDY (2)\ULP DEMAK\PASANG BARU PERLUASAN\TNK AKHADINA\"/>
    </mc:Choice>
  </mc:AlternateContent>
  <xr:revisionPtr revIDLastSave="0" documentId="13_ncr:1_{86271234-C0F2-44F4-B6C8-33464B25213E}" xr6:coauthVersionLast="45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KKF!$A$1:$T$38</definedName>
    <definedName name="_xlnm.Print_Area" localSheetId="5">KKO!$A$2:$Q$9</definedName>
    <definedName name="_xlnm.Print_Area" localSheetId="11">PETA!$A$1:$W$55</definedName>
    <definedName name="_xlnm.Print_Area" localSheetId="8">RAB!$A$1:$K$105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F40" i="11" l="1"/>
  <c r="F39" i="11"/>
  <c r="F38" i="11"/>
  <c r="F37" i="11"/>
  <c r="F36" i="11"/>
  <c r="G37" i="11"/>
  <c r="E37" i="11"/>
  <c r="D37" i="11"/>
  <c r="J37" i="11" s="1"/>
  <c r="G36" i="11"/>
  <c r="E36" i="11"/>
  <c r="D36" i="11"/>
  <c r="J36" i="11" s="1"/>
  <c r="G35" i="11"/>
  <c r="E35" i="11"/>
  <c r="D35" i="11"/>
  <c r="I35" i="11" s="1"/>
  <c r="G34" i="11"/>
  <c r="E34" i="11"/>
  <c r="D34" i="11"/>
  <c r="H34" i="11" s="1"/>
  <c r="G39" i="11"/>
  <c r="E39" i="11"/>
  <c r="D39" i="11"/>
  <c r="J39" i="11" s="1"/>
  <c r="G38" i="11"/>
  <c r="E38" i="11"/>
  <c r="D38" i="11"/>
  <c r="J38" i="11" s="1"/>
  <c r="G40" i="11"/>
  <c r="E40" i="11"/>
  <c r="D40" i="11"/>
  <c r="E4" i="64"/>
  <c r="J35" i="11" l="1"/>
  <c r="J40" i="11"/>
  <c r="H37" i="11"/>
  <c r="I34" i="11"/>
  <c r="J34" i="11"/>
  <c r="H36" i="11"/>
  <c r="I37" i="11"/>
  <c r="H35" i="11"/>
  <c r="I36" i="11"/>
  <c r="H39" i="11"/>
  <c r="H38" i="11"/>
  <c r="I39" i="11"/>
  <c r="I38" i="11"/>
  <c r="H40" i="11"/>
  <c r="I40" i="11"/>
  <c r="G81" i="11"/>
  <c r="G82" i="11"/>
  <c r="G83" i="11"/>
  <c r="G84" i="11"/>
  <c r="G85" i="11"/>
  <c r="D81" i="11"/>
  <c r="H81" i="11" s="1"/>
  <c r="E81" i="11"/>
  <c r="D82" i="11"/>
  <c r="J82" i="11" s="1"/>
  <c r="E82" i="11"/>
  <c r="D83" i="11"/>
  <c r="I83" i="11" s="1"/>
  <c r="E83" i="11"/>
  <c r="D84" i="11"/>
  <c r="I84" i="11" s="1"/>
  <c r="E84" i="11"/>
  <c r="D85" i="11"/>
  <c r="H85" i="11" s="1"/>
  <c r="E85" i="11"/>
  <c r="D17" i="11"/>
  <c r="J17" i="11" s="1"/>
  <c r="E17" i="11"/>
  <c r="G17" i="11"/>
  <c r="D15" i="11"/>
  <c r="H15" i="11" s="1"/>
  <c r="E15" i="11"/>
  <c r="G15" i="11"/>
  <c r="D16" i="11"/>
  <c r="H16" i="11" s="1"/>
  <c r="E16" i="11"/>
  <c r="G16" i="11"/>
  <c r="F79" i="11"/>
  <c r="F78" i="11"/>
  <c r="F77" i="11"/>
  <c r="F76" i="11"/>
  <c r="F43" i="11"/>
  <c r="F44" i="11" s="1"/>
  <c r="F26" i="11"/>
  <c r="F25" i="11"/>
  <c r="F24" i="11"/>
  <c r="F23" i="11"/>
  <c r="F22" i="11"/>
  <c r="D20" i="11"/>
  <c r="J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J27" i="11" s="1"/>
  <c r="E27" i="11"/>
  <c r="G27" i="11"/>
  <c r="F29" i="11"/>
  <c r="F30" i="11" s="1"/>
  <c r="F31" i="11" s="1"/>
  <c r="F32" i="11" s="1"/>
  <c r="F33" i="11" s="1"/>
  <c r="D18" i="11"/>
  <c r="J18" i="11" s="1"/>
  <c r="E18" i="11"/>
  <c r="G18" i="11"/>
  <c r="D19" i="11"/>
  <c r="E19" i="11"/>
  <c r="G19" i="11"/>
  <c r="D28" i="11"/>
  <c r="E28" i="11"/>
  <c r="G28" i="11"/>
  <c r="D29" i="11"/>
  <c r="J29" i="11" s="1"/>
  <c r="E29" i="11"/>
  <c r="G29" i="11"/>
  <c r="D30" i="11"/>
  <c r="E30" i="11"/>
  <c r="G30" i="11"/>
  <c r="D31" i="11"/>
  <c r="J31" i="11" s="1"/>
  <c r="E31" i="11"/>
  <c r="G31" i="11"/>
  <c r="D32" i="11"/>
  <c r="E32" i="11"/>
  <c r="G32" i="11"/>
  <c r="D33" i="11"/>
  <c r="E33" i="11"/>
  <c r="G33" i="11"/>
  <c r="D41" i="11"/>
  <c r="J41" i="11" s="1"/>
  <c r="E41" i="11"/>
  <c r="G41" i="11"/>
  <c r="D42" i="11"/>
  <c r="J42" i="11" s="1"/>
  <c r="E42" i="11"/>
  <c r="G42" i="11"/>
  <c r="D43" i="11"/>
  <c r="E43" i="11"/>
  <c r="G43" i="11"/>
  <c r="D44" i="11"/>
  <c r="E44" i="11"/>
  <c r="G44" i="11"/>
  <c r="D45" i="11"/>
  <c r="E45" i="11"/>
  <c r="G45" i="11"/>
  <c r="D46" i="11"/>
  <c r="J46" i="11" s="1"/>
  <c r="E46" i="11"/>
  <c r="G46" i="11"/>
  <c r="D47" i="11"/>
  <c r="E47" i="11"/>
  <c r="G47" i="11"/>
  <c r="F71" i="11"/>
  <c r="F70" i="11"/>
  <c r="F69" i="11"/>
  <c r="F68" i="11"/>
  <c r="F67" i="11"/>
  <c r="F66" i="11"/>
  <c r="F65" i="11"/>
  <c r="F64" i="11"/>
  <c r="F63" i="11"/>
  <c r="D65" i="11"/>
  <c r="J65" i="11" s="1"/>
  <c r="E65" i="11"/>
  <c r="G65" i="11"/>
  <c r="D66" i="11"/>
  <c r="J66" i="11" s="1"/>
  <c r="E66" i="11"/>
  <c r="G66" i="11"/>
  <c r="D67" i="11"/>
  <c r="H67" i="11" s="1"/>
  <c r="E67" i="11"/>
  <c r="G67" i="11"/>
  <c r="D68" i="11"/>
  <c r="J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E71" i="11"/>
  <c r="G71" i="11"/>
  <c r="D72" i="11"/>
  <c r="J72" i="11" s="1"/>
  <c r="E72" i="11"/>
  <c r="G72" i="11"/>
  <c r="D73" i="11"/>
  <c r="H73" i="11" s="1"/>
  <c r="E73" i="11"/>
  <c r="G73" i="11"/>
  <c r="D74" i="11"/>
  <c r="J74" i="11" s="1"/>
  <c r="E74" i="11"/>
  <c r="G74" i="11"/>
  <c r="F60" i="11"/>
  <c r="F59" i="11"/>
  <c r="F58" i="11"/>
  <c r="F57" i="11"/>
  <c r="F56" i="11"/>
  <c r="F55" i="11"/>
  <c r="F54" i="11"/>
  <c r="F53" i="11"/>
  <c r="F52" i="11"/>
  <c r="F51" i="11"/>
  <c r="F49" i="11"/>
  <c r="D48" i="11"/>
  <c r="J48" i="11" s="1"/>
  <c r="E48" i="11"/>
  <c r="G48" i="11"/>
  <c r="D49" i="1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E53" i="11"/>
  <c r="G53" i="11"/>
  <c r="D54" i="1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J58" i="11" s="1"/>
  <c r="E58" i="11"/>
  <c r="G58" i="11"/>
  <c r="D59" i="11"/>
  <c r="J59" i="11" s="1"/>
  <c r="E59" i="11"/>
  <c r="G59" i="11"/>
  <c r="D60" i="11"/>
  <c r="E60" i="11"/>
  <c r="G60" i="11"/>
  <c r="D61" i="11"/>
  <c r="H61" i="11" s="1"/>
  <c r="E61" i="11"/>
  <c r="G61" i="11"/>
  <c r="D62" i="11"/>
  <c r="H62" i="11" s="1"/>
  <c r="E62" i="11"/>
  <c r="G62" i="11"/>
  <c r="D63" i="11"/>
  <c r="J63" i="11" s="1"/>
  <c r="E63" i="11"/>
  <c r="G63" i="11"/>
  <c r="D64" i="11"/>
  <c r="J64" i="11" s="1"/>
  <c r="E64" i="11"/>
  <c r="G64" i="11"/>
  <c r="K37" i="11" l="1"/>
  <c r="K39" i="11"/>
  <c r="K35" i="11"/>
  <c r="K34" i="11"/>
  <c r="K36" i="11"/>
  <c r="K38" i="11"/>
  <c r="K40" i="11"/>
  <c r="I54" i="11"/>
  <c r="I53" i="11"/>
  <c r="J60" i="11"/>
  <c r="I82" i="11"/>
  <c r="H83" i="11"/>
  <c r="J81" i="11"/>
  <c r="H84" i="11"/>
  <c r="J85" i="11"/>
  <c r="H82" i="11"/>
  <c r="I81" i="11"/>
  <c r="I85" i="11"/>
  <c r="J84" i="11"/>
  <c r="J83" i="11"/>
  <c r="I17" i="11"/>
  <c r="H17" i="11"/>
  <c r="I15" i="11"/>
  <c r="I16" i="11"/>
  <c r="J15" i="11"/>
  <c r="J16" i="11"/>
  <c r="I24" i="11"/>
  <c r="I22" i="11"/>
  <c r="H24" i="11"/>
  <c r="I23" i="11"/>
  <c r="I20" i="11"/>
  <c r="I27" i="11"/>
  <c r="J26" i="11"/>
  <c r="H20" i="11"/>
  <c r="H27" i="11"/>
  <c r="H23" i="11"/>
  <c r="J22" i="11"/>
  <c r="I26" i="11"/>
  <c r="I25" i="11"/>
  <c r="I21" i="11"/>
  <c r="H25" i="11"/>
  <c r="H21" i="11"/>
  <c r="J44" i="11"/>
  <c r="J33" i="11"/>
  <c r="I31" i="11"/>
  <c r="I46" i="11"/>
  <c r="H46" i="11"/>
  <c r="H42" i="11"/>
  <c r="I42" i="11"/>
  <c r="H31" i="11"/>
  <c r="J47" i="11"/>
  <c r="H47" i="11"/>
  <c r="J43" i="11"/>
  <c r="H43" i="11"/>
  <c r="J32" i="11"/>
  <c r="H32" i="11"/>
  <c r="J28" i="11"/>
  <c r="H28" i="11"/>
  <c r="H45" i="11"/>
  <c r="I45" i="11"/>
  <c r="I43" i="11"/>
  <c r="I32" i="11"/>
  <c r="H19" i="11"/>
  <c r="I19" i="11"/>
  <c r="H30" i="11"/>
  <c r="I30" i="11"/>
  <c r="I28" i="11"/>
  <c r="J45" i="11"/>
  <c r="J30" i="11"/>
  <c r="J19" i="11"/>
  <c r="I47" i="11"/>
  <c r="H41" i="11"/>
  <c r="I41" i="11"/>
  <c r="I44" i="11"/>
  <c r="I33" i="11"/>
  <c r="I18" i="11"/>
  <c r="H44" i="11"/>
  <c r="H33" i="11"/>
  <c r="H29" i="11"/>
  <c r="H18" i="11"/>
  <c r="I29" i="11"/>
  <c r="I74" i="11"/>
  <c r="H74" i="11"/>
  <c r="I65" i="11"/>
  <c r="I67" i="11"/>
  <c r="I68" i="11"/>
  <c r="J71" i="11"/>
  <c r="I69" i="11"/>
  <c r="I71" i="11"/>
  <c r="H68" i="11"/>
  <c r="J67" i="11"/>
  <c r="H65" i="11"/>
  <c r="I73" i="11"/>
  <c r="I72" i="11"/>
  <c r="H71" i="11"/>
  <c r="I70" i="11"/>
  <c r="J73" i="11"/>
  <c r="H69" i="11"/>
  <c r="I66" i="11"/>
  <c r="I63" i="11"/>
  <c r="J57" i="11"/>
  <c r="I51" i="11"/>
  <c r="H72" i="11"/>
  <c r="H70" i="11"/>
  <c r="H66" i="11"/>
  <c r="I57" i="11"/>
  <c r="J53" i="11"/>
  <c r="H49" i="11"/>
  <c r="H63" i="11"/>
  <c r="J62" i="11"/>
  <c r="H55" i="11"/>
  <c r="I55" i="11"/>
  <c r="H51" i="11"/>
  <c r="I50" i="11"/>
  <c r="I49" i="11"/>
  <c r="H54" i="11"/>
  <c r="J49" i="11"/>
  <c r="H59" i="11"/>
  <c r="I58" i="11"/>
  <c r="I59" i="11"/>
  <c r="H58" i="11"/>
  <c r="H53" i="11"/>
  <c r="I62" i="11"/>
  <c r="I64" i="11"/>
  <c r="I60" i="11"/>
  <c r="I56" i="11"/>
  <c r="I52" i="11"/>
  <c r="I48" i="11"/>
  <c r="H60" i="11"/>
  <c r="H56" i="11"/>
  <c r="J54" i="11"/>
  <c r="H52" i="11"/>
  <c r="J50" i="11"/>
  <c r="H48" i="11"/>
  <c r="J61" i="11"/>
  <c r="H64" i="11"/>
  <c r="I61" i="11"/>
  <c r="G6" i="11"/>
  <c r="W48" i="64" s="1"/>
  <c r="K85" i="11" l="1"/>
  <c r="K65" i="11"/>
  <c r="K68" i="11"/>
  <c r="K83" i="11"/>
  <c r="K82" i="11"/>
  <c r="K17" i="11"/>
  <c r="K84" i="11"/>
  <c r="K81" i="11"/>
  <c r="K15" i="11"/>
  <c r="K16" i="11"/>
  <c r="K27" i="11"/>
  <c r="K25" i="11"/>
  <c r="K22" i="11"/>
  <c r="K24" i="11"/>
  <c r="K18" i="11"/>
  <c r="K26" i="11"/>
  <c r="K23" i="11"/>
  <c r="K21" i="11"/>
  <c r="K20" i="11"/>
  <c r="K46" i="11"/>
  <c r="K28" i="11"/>
  <c r="K43" i="11"/>
  <c r="K47" i="11"/>
  <c r="K42" i="11"/>
  <c r="K31" i="11"/>
  <c r="K33" i="11"/>
  <c r="K19" i="11"/>
  <c r="K32" i="11"/>
  <c r="K41" i="11"/>
  <c r="K30" i="11"/>
  <c r="K45" i="11"/>
  <c r="K44" i="11"/>
  <c r="K29" i="11"/>
  <c r="K74" i="11"/>
  <c r="K51" i="11"/>
  <c r="K53" i="11"/>
  <c r="K67" i="11"/>
  <c r="K63" i="11"/>
  <c r="K62" i="11"/>
  <c r="K57" i="11"/>
  <c r="K73" i="11"/>
  <c r="K55" i="11"/>
  <c r="K59" i="11"/>
  <c r="K49" i="11"/>
  <c r="K69" i="11"/>
  <c r="K71" i="11"/>
  <c r="K72" i="11"/>
  <c r="K66" i="11"/>
  <c r="K70" i="11"/>
  <c r="K50" i="11"/>
  <c r="K60" i="11"/>
  <c r="K52" i="11"/>
  <c r="K58" i="11"/>
  <c r="K54" i="11"/>
  <c r="K48" i="11"/>
  <c r="K61" i="11"/>
  <c r="K56" i="11"/>
  <c r="K64" i="11"/>
  <c r="D78" i="11" l="1"/>
  <c r="D79" i="11"/>
  <c r="D75" i="11" l="1"/>
  <c r="J75" i="11" s="1"/>
  <c r="E75" i="11"/>
  <c r="G75" i="11"/>
  <c r="D76" i="11"/>
  <c r="J76" i="11" s="1"/>
  <c r="E76" i="11"/>
  <c r="G76" i="11"/>
  <c r="D77" i="11"/>
  <c r="J77" i="11" s="1"/>
  <c r="E77" i="11"/>
  <c r="G77" i="11"/>
  <c r="E78" i="11"/>
  <c r="G78" i="11"/>
  <c r="H78" i="11" s="1"/>
  <c r="E79" i="11"/>
  <c r="G79" i="11"/>
  <c r="H79" i="11" l="1"/>
  <c r="I75" i="11"/>
  <c r="J78" i="11"/>
  <c r="H75" i="11"/>
  <c r="J79" i="11"/>
  <c r="I78" i="11"/>
  <c r="I77" i="11"/>
  <c r="I76" i="11"/>
  <c r="I79" i="11"/>
  <c r="H76" i="11"/>
  <c r="H77" i="11"/>
  <c r="K75" i="11" l="1"/>
  <c r="K79" i="11"/>
  <c r="K77" i="11"/>
  <c r="K78" i="11"/>
  <c r="K76" i="11"/>
  <c r="D20" i="60" l="1"/>
  <c r="D14" i="11" l="1"/>
  <c r="J14" i="11" s="1"/>
  <c r="J86" i="11" s="1"/>
  <c r="E14" i="11"/>
  <c r="G14" i="11"/>
  <c r="K19" i="60"/>
  <c r="D19" i="60"/>
  <c r="H14" i="11" l="1"/>
  <c r="H86" i="11" s="1"/>
  <c r="I14" i="11"/>
  <c r="I86" i="11" s="1"/>
  <c r="K14" i="11" l="1"/>
  <c r="K86" i="11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D19" i="59"/>
  <c r="D8" i="60" s="1"/>
  <c r="D18" i="59"/>
  <c r="D21" i="59"/>
  <c r="K18" i="60"/>
  <c r="K17" i="60"/>
  <c r="D17" i="60"/>
  <c r="D18" i="60"/>
  <c r="K9" i="60" l="1"/>
  <c r="K16" i="60" s="1"/>
  <c r="D9" i="60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86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6" i="11"/>
  <c r="D87" i="11"/>
  <c r="H87" i="11" s="1"/>
  <c r="E87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7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4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7" i="11"/>
  <c r="I87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F224" i="29"/>
  <c r="E8" i="54"/>
  <c r="L8" i="54" s="1"/>
  <c r="M8" i="54" s="1"/>
  <c r="I9" i="54"/>
  <c r="H9" i="54"/>
  <c r="C10" i="54"/>
  <c r="D9" i="54"/>
  <c r="K36" i="39"/>
  <c r="K87" i="11"/>
  <c r="K89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9" i="11"/>
  <c r="H90" i="11" s="1"/>
  <c r="I89" i="11"/>
  <c r="I90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16" i="29" l="1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1" i="11"/>
  <c r="I91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0" i="11" l="1"/>
  <c r="K91" i="11" s="1"/>
  <c r="B92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9" i="11"/>
  <c r="J90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1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35" i="39" l="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<sst xmlns="http://schemas.openxmlformats.org/spreadsheetml/2006/main" count="4755" uniqueCount="1638">
  <si>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</si>
  <si>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</si>
  <si>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</si>
  <si>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</si>
  <si>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</si>
  <si>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</si>
  <si>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</si>
  <si>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</si>
  <si>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</si>
  <si>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</si>
  <si>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</si>
  <si>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</si>
  <si>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</si>
  <si>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</si>
  <si>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</si>
  <si>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</si>
  <si>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</si>
  <si>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</si>
  <si>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</si>
  <si>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</si>
  <si>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</si>
  <si>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</si>
  <si>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</si>
  <si>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</si>
  <si>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</si>
  <si>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</si>
  <si>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</si>
  <si>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</si>
  <si>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</si>
  <si>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</si>
  <si>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</si>
  <si>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</si>
  <si>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</si>
  <si>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</si>
  <si>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</si>
  <si>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</si>
  <si>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</si>
  <si>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</si>
  <si>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</si>
  <si>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</si>
  <si>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</si>
  <si>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</si>
  <si>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</si>
  <si>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</si>
  <si>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</si>
  <si>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</si>
  <si>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</si>
  <si>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</si>
  <si>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</si>
  <si>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</si>
  <si>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</si>
  <si>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</si>
  <si>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</si>
  <si>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</si>
  <si>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</si>
  <si>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</si>
  <si>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</si>
  <si>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</si>
  <si>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</si>
  <si>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</si>
  <si>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</si>
  <si>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</si>
  <si>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</si>
  <si>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</si>
  <si>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</si>
  <si>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</si>
  <si>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</si>
  <si>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</si>
  <si>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</si>
  <si>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</si>
  <si>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</si>
  <si>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</si>
  <si>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</si>
  <si>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</si>
  <si>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</si>
  <si>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</si>
  <si>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</si>
  <si>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</si>
  <si>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</si>
  <si>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</si>
  <si>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</si>
  <si>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</si>
  <si>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</si>
  <si>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</si>
  <si>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</si>
  <si>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</si>
  <si>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</si>
  <si>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</si>
  <si>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</si>
  <si>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</si>
  <si>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</si>
  <si>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</si>
  <si>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</si>
  <si>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</si>
  <si>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</si>
  <si>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</si>
  <si>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</si>
  <si>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</si>
  <si>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</si>
  <si>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</si>
  <si>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</si>
  <si>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</si>
  <si>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</si>
  <si>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</si>
  <si>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</si>
  <si>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</si>
  <si>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</si>
  <si>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</si>
  <si>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</si>
  <si>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</si>
  <si>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</si>
  <si>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</si>
  <si>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</si>
  <si>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</si>
  <si>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</si>
  <si>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</si>
  <si>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</si>
  <si>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</si>
  <si>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</si>
  <si>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</si>
  <si>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</si>
  <si>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</si>
  <si>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</si>
  <si>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</si>
  <si>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</si>
  <si>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</si>
  <si>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</si>
  <si>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</si>
  <si>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</si>
  <si>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</si>
  <si>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</si>
  <si>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</si>
  <si>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</si>
  <si>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</si>
  <si>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</si>
  <si>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</si>
  <si>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</si>
  <si>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</si>
  <si>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</si>
  <si>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</si>
  <si>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</si>
  <si>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</si>
  <si>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</si>
  <si>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</si>
  <si>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</si>
  <si>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</si>
  <si>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</si>
  <si>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</si>
  <si>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</si>
  <si>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</si>
  <si>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</si>
  <si>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</si>
  <si>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</si>
  <si>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</si>
  <si>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</si>
  <si>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</si>
  <si>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</si>
  <si>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</si>
  <si>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</si>
  <si>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</si>
  <si>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</si>
  <si>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</si>
  <si>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</si>
  <si>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</si>
  <si>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</si>
  <si>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</si>
  <si>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</si>
  <si>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</si>
  <si>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</si>
  <si>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</si>
  <si>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</si>
  <si>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</si>
  <si>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</si>
  <si>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</si>
  <si>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</si>
  <si>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</si>
  <si>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</si>
  <si>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</si>
  <si>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</si>
  <si>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</si>
  <si>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</si>
  <si>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</si>
  <si>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</si>
  <si>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</si>
  <si>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</si>
  <si>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</si>
  <si>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</si>
  <si>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</si>
  <si>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</si>
  <si>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</si>
  <si>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</si>
  <si>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</si>
  <si>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</si>
  <si>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</si>
  <si>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</si>
  <si>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</si>
  <si>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</si>
  <si>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</si>
  <si>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</si>
  <si>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</si>
  <si>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</si>
  <si>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</si>
  <si>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</si>
  <si>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</si>
  <si>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</si>
  <si>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</si>
  <si>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</si>
  <si>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</si>
  <si>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</si>
  <si>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</si>
  <si>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</si>
  <si>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</si>
  <si>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</si>
  <si>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</si>
  <si>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</si>
  <si>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</si>
  <si>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</si>
  <si>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</si>
  <si>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</si>
  <si>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</si>
  <si>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</si>
  <si>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</si>
  <si>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</si>
  <si>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</si>
  <si>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</si>
  <si>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</si>
  <si>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</si>
  <si>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</si>
  <si>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</si>
  <si>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</si>
  <si>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</si>
  <si>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</si>
  <si>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</si>
  <si>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</si>
  <si>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</si>
  <si>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</si>
  <si>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</si>
  <si>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</si>
  <si>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</si>
  <si>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</si>
  <si>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</si>
  <si>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</si>
  <si>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</si>
  <si>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</si>
  <si>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</si>
  <si>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</si>
  <si>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</si>
  <si>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</si>
  <si>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</si>
  <si>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</si>
  <si>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</si>
  <si>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</si>
  <si>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</si>
  <si>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</si>
  <si>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</si>
  <si>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</si>
  <si>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</si>
  <si>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</si>
  <si>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</si>
  <si>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</si>
  <si>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</si>
  <si>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</si>
  <si>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</si>
  <si>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</si>
  <si>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</si>
  <si>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</si>
  <si>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</si>
  <si>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</si>
  <si>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</si>
  <si>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</si>
  <si>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</si>
  <si>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</si>
  <si>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</si>
  <si>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</si>
  <si>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</si>
  <si>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</si>
  <si>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</si>
  <si>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</si>
  <si>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</si>
  <si>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</si>
  <si>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</si>
  <si>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</si>
  <si>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</si>
  <si>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</si>
  <si>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</si>
  <si>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</si>
  <si>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</si>
  <si>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</si>
  <si>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</si>
  <si>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</si>
  <si>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</si>
  <si>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</si>
  <si>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</si>
  <si>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</si>
  <si>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</si>
  <si>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</si>
  <si>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</si>
  <si>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</si>
  <si>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</si>
  <si>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</si>
  <si>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</si>
  <si>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</si>
  <si>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</si>
  <si>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</si>
  <si>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</si>
  <si>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</si>
  <si>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</si>
  <si>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</si>
  <si>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</si>
  <si>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</si>
  <si>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</si>
  <si>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</si>
  <si>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</si>
  <si>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</si>
  <si>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</si>
  <si>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</si>
  <si>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</si>
  <si>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</si>
  <si>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</si>
  <si>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</si>
  <si>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</si>
  <si>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</si>
  <si>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</si>
  <si>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</si>
  <si>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</si>
  <si>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</si>
  <si>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</si>
  <si>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</si>
  <si>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</si>
  <si>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</si>
  <si>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</si>
  <si>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</si>
  <si>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</si>
  <si>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</si>
  <si>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</si>
  <si>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</si>
  <si>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</si>
  <si>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</si>
  <si>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</si>
  <si>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</si>
  <si>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</si>
  <si>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</si>
  <si>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</si>
  <si>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</si>
  <si>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</si>
  <si>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</si>
  <si>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</si>
  <si>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</si>
  <si>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</si>
  <si>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</si>
  <si>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</si>
  <si>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</si>
  <si>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</si>
  <si>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</si>
  <si>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</si>
  <si>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</si>
  <si>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</si>
  <si>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</si>
  <si>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</si>
  <si>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</si>
  <si>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</si>
  <si>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</si>
  <si>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</si>
  <si>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</si>
  <si>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</si>
  <si>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</si>
  <si>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</si>
  <si>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</si>
  <si>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</si>
  <si>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</si>
  <si>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</si>
  <si>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</si>
  <si>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</si>
  <si>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</si>
  <si>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</si>
  <si>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</si>
  <si>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</si>
  <si>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</si>
  <si>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</si>
  <si>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</si>
  <si>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</si>
  <si>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</si>
  <si>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</si>
  <si>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</si>
  <si>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</si>
  <si>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</si>
  <si>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</si>
  <si>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</si>
  <si>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</si>
  <si>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</si>
  <si>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</si>
  <si>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</si>
  <si>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</si>
  <si>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</si>
  <si>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</si>
  <si>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</si>
  <si>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</si>
  <si>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</si>
  <si>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</si>
  <si>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</si>
  <si>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</si>
  <si>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</si>
  <si>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</si>
  <si>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</si>
  <si>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</si>
  <si>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</si>
  <si>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</si>
  <si>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</si>
  <si>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</si>
  <si>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</si>
  <si>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</si>
  <si>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</si>
  <si>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</si>
  <si>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</si>
  <si>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</si>
  <si>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</si>
  <si>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</si>
  <si>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</si>
  <si>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</si>
  <si>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</si>
  <si>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</si>
  <si>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</si>
  <si>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</si>
  <si>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</si>
  <si>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</si>
  <si>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</si>
  <si>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</si>
  <si>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</si>
  <si>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</si>
  <si>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</si>
  <si>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</si>
  <si>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</si>
  <si>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</si>
  <si>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</si>
  <si>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</si>
  <si>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</si>
  <si>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</si>
  <si>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</si>
  <si>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</si>
  <si>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</si>
  <si>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</si>
  <si>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</si>
  <si>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</si>
  <si>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</si>
  <si>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</si>
  <si>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</si>
  <si>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</si>
  <si>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</si>
  <si>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</si>
  <si>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</si>
  <si>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</si>
  <si>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</si>
  <si>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</si>
  <si>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</si>
  <si>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</si>
  <si>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</si>
  <si>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</si>
  <si>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</si>
  <si>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</si>
  <si>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</si>
  <si>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</si>
  <si>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</si>
  <si>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</si>
  <si>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</si>
  <si>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</si>
  <si>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</si>
  <si>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</si>
  <si>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</si>
  <si>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</si>
  <si>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</si>
  <si>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</si>
  <si>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</si>
  <si>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</si>
  <si>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</si>
  <si>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</si>
  <si>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</si>
  <si>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</si>
  <si>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</si>
  <si>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</si>
  <si>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</si>
  <si>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</si>
  <si>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</si>
  <si>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</si>
  <si>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</si>
  <si>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</si>
  <si>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</si>
  <si>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</si>
  <si>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</si>
  <si>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</si>
  <si>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</si>
  <si>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</si>
  <si>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</si>
  <si>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</si>
  <si>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</si>
  <si>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</si>
  <si>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</si>
  <si>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</si>
  <si>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</si>
  <si>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</si>
  <si>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</si>
  <si>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</si>
  <si>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</si>
  <si>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</si>
  <si>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</si>
  <si>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</si>
  <si>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</si>
  <si>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</si>
  <si>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</si>
  <si>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</si>
  <si>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</si>
  <si>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</si>
  <si>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</si>
  <si>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</si>
  <si>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</si>
  <si>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</si>
  <si>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</si>
  <si>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</si>
  <si>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</si>
  <si>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</si>
  <si>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</si>
  <si>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</si>
  <si>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</si>
  <si>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</si>
  <si>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</si>
  <si>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</si>
  <si>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</si>
  <si>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</si>
  <si>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</si>
  <si>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</si>
  <si>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</si>
  <si>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</si>
  <si>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</si>
  <si>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</si>
  <si>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</si>
  <si>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</si>
  <si>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</si>
  <si>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</si>
  <si>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</si>
  <si>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</si>
  <si>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</si>
  <si>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</si>
  <si>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</si>
  <si>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</si>
  <si>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</si>
  <si>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</si>
  <si>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</si>
  <si>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</si>
  <si>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</si>
  <si>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</si>
  <si>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</si>
  <si>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</si>
  <si>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</si>
  <si>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</si>
  <si>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</si>
  <si>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</si>
  <si>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</si>
  <si>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</si>
  <si>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</si>
  <si>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</si>
  <si>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</si>
  <si>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</si>
  <si>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</si>
  <si>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</si>
  <si>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</si>
  <si>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</si>
  <si>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</si>
  <si>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</si>
  <si>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</si>
  <si>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</si>
  <si>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</si>
  <si>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</si>
  <si>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</si>
  <si>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</si>
  <si>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</si>
  <si>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</si>
  <si>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</si>
  <si>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</si>
  <si>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</si>
  <si>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</si>
  <si>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</si>
  <si>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</si>
  <si>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</si>
  <si>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</si>
  <si>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</si>
  <si>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</si>
  <si>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</si>
  <si>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</si>
  <si>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</si>
  <si>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</si>
  <si>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</si>
  <si>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</si>
  <si>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</si>
  <si>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</si>
  <si>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</si>
  <si>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</si>
  <si>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</si>
  <si>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</si>
  <si>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</si>
  <si>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</si>
  <si>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</si>
  <si>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</si>
  <si>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</si>
  <si>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</si>
  <si>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</si>
  <si>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</si>
  <si>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</si>
  <si>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</si>
  <si>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</si>
  <si>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</si>
  <si>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</si>
  <si>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</si>
  <si>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</si>
  <si>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</si>
  <si>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</si>
  <si>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</si>
  <si>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</si>
  <si>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</si>
  <si>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</si>
  <si>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</si>
  <si>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</si>
  <si>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</si>
  <si>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</si>
  <si>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</si>
  <si>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</si>
  <si>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</si>
  <si>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</si>
  <si>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</si>
  <si>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</si>
  <si>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</si>
  <si>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</si>
  <si>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</si>
  <si>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</si>
  <si>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</si>
  <si>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</si>
  <si>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</si>
  <si>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</si>
  <si>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</si>
  <si>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</si>
  <si>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</si>
  <si>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</si>
  <si>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</si>
  <si>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</si>
  <si>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</si>
  <si>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</si>
  <si>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</si>
  <si>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</si>
  <si>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</si>
  <si>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</si>
  <si>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</si>
  <si>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</si>
  <si>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</si>
  <si>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</si>
  <si>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</si>
  <si>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</si>
  <si>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</si>
  <si>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</si>
  <si>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</si>
  <si>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</si>
  <si>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</si>
  <si>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</si>
  <si>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</si>
  <si>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</si>
  <si>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</si>
  <si>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</si>
  <si>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</si>
  <si>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</si>
  <si>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</si>
  <si>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</si>
  <si>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</si>
  <si>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</si>
  <si>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</si>
  <si>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</si>
  <si>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</si>
  <si>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</si>
  <si>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</si>
  <si>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</si>
  <si>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</si>
  <si>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</si>
  <si>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</si>
  <si>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</si>
  <si>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</si>
  <si>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</si>
  <si>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</si>
  <si>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</si>
  <si>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</si>
  <si>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</si>
  <si>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</si>
  <si>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</si>
  <si>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</si>
  <si>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</si>
  <si>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</si>
  <si>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</si>
  <si>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</si>
  <si>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</si>
  <si>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</si>
  <si>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</si>
  <si>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</si>
  <si>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</si>
  <si>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</si>
  <si>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</si>
  <si>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</si>
  <si>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</si>
  <si>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</si>
  <si>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</si>
  <si>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</si>
  <si>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</si>
  <si>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</si>
  <si>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</si>
  <si>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</si>
  <si>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</si>
  <si>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</si>
  <si>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</si>
  <si>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</si>
  <si>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</si>
  <si>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</si>
  <si>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</si>
  <si>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</si>
  <si>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</si>
  <si>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</si>
  <si>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</si>
  <si>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</si>
  <si>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</si>
  <si>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</si>
  <si>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</si>
  <si>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</si>
  <si>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</si>
  <si>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</si>
  <si>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</si>
  <si>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</si>
  <si>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</si>
  <si>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</si>
  <si>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</si>
  <si>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</si>
  <si>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</si>
  <si>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</si>
  <si>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</si>
  <si>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</si>
  <si>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</si>
  <si>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</si>
  <si>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</si>
  <si>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</si>
  <si>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</si>
  <si>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</si>
  <si>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</si>
  <si>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</si>
  <si>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</si>
  <si>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</si>
  <si>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</si>
  <si>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</si>
  <si>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</si>
  <si>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</si>
  <si>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</si>
  <si>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</si>
  <si>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</si>
  <si>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</si>
  <si>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</si>
  <si>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</si>
  <si>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</si>
  <si>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</si>
  <si>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</si>
  <si>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</si>
  <si>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</si>
  <si>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</si>
  <si>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</si>
  <si>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</si>
  <si>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</si>
  <si>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</si>
  <si>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</si>
  <si>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</si>
  <si>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</si>
  <si>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</si>
  <si>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</si>
  <si>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</si>
  <si>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</si>
  <si>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</si>
  <si>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</si>
  <si>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</si>
  <si>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</si>
  <si>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</si>
  <si>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</si>
  <si>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</si>
  <si>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</si>
  <si>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</si>
  <si>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</si>
  <si>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</si>
  <si>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</si>
  <si>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</si>
  <si>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</si>
  <si>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</si>
  <si>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</si>
  <si>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</si>
  <si>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</si>
  <si>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</si>
  <si>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</si>
  <si>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</si>
  <si>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</si>
  <si>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</si>
  <si>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</si>
  <si>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</si>
  <si>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</si>
  <si>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</si>
  <si>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</si>
  <si>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</si>
  <si>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</si>
  <si>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</si>
  <si>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</si>
  <si>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</si>
  <si>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</si>
  <si>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</si>
  <si>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</si>
  <si>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</si>
  <si>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</si>
  <si>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</si>
  <si>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</si>
  <si>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</si>
  <si>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</si>
  <si>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</si>
  <si>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</si>
  <si>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</si>
  <si>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</si>
  <si>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</si>
  <si>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</si>
  <si>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</si>
  <si>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</si>
  <si>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</si>
  <si>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</si>
  <si>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</si>
  <si>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</si>
  <si>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</si>
  <si>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</si>
  <si>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</si>
  <si>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</si>
  <si>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</si>
  <si>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</si>
  <si>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</si>
  <si>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</si>
  <si>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</si>
  <si>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</si>
  <si>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</si>
  <si>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</si>
  <si>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</si>
  <si>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</si>
  <si>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</si>
  <si>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</si>
  <si>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</si>
  <si>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</si>
  <si>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</si>
  <si>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</si>
  <si>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</si>
  <si>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</si>
  <si>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</si>
  <si>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</si>
  <si>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</si>
  <si>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</si>
  <si>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</si>
  <si>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</si>
  <si>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</si>
  <si>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</si>
  <si>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</si>
  <si>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</si>
  <si>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</si>
  <si>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</si>
  <si>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</si>
  <si>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</si>
  <si>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</si>
  <si>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</si>
  <si>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</si>
  <si>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</si>
  <si>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</si>
  <si>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</si>
  <si>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</si>
  <si>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</si>
  <si>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</si>
  <si>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</si>
  <si>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</si>
  <si>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</si>
  <si>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</si>
  <si>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</si>
  <si>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</si>
  <si>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</si>
  <si>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</si>
  <si>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</si>
  <si>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</si>
  <si>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</si>
  <si>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</si>
  <si>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</si>
  <si>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</si>
  <si>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</si>
  <si>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</si>
  <si>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</si>
  <si>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</si>
  <si>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</si>
  <si>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</si>
  <si>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</si>
  <si>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</si>
  <si>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</si>
  <si>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</si>
  <si>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</si>
  <si>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</si>
  <si>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</si>
  <si>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</si>
  <si>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</si>
  <si>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</si>
  <si>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</si>
  <si>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</si>
  <si>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</si>
  <si>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</si>
  <si>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</si>
  <si>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</si>
  <si>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</si>
  <si>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</si>
  <si>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</si>
  <si>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</si>
  <si>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</si>
  <si>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</si>
  <si>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</si>
  <si>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</si>
  <si>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</si>
  <si>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</si>
  <si>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</si>
  <si>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</si>
  <si>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</si>
  <si>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</si>
  <si>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</si>
  <si>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</si>
  <si>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</si>
  <si>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</si>
  <si>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</si>
  <si>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</si>
  <si>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</si>
  <si>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</si>
  <si>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</si>
  <si>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</si>
  <si>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</si>
  <si>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</si>
  <si>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</si>
  <si>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</si>
  <si>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</si>
  <si>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</si>
  <si>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</si>
  <si>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</si>
  <si>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</si>
  <si>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</si>
  <si>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</si>
  <si>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</si>
  <si>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</si>
  <si>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</si>
  <si>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</si>
  <si>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</si>
  <si>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</si>
  <si>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</si>
  <si>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</si>
  <si>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</si>
  <si>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</si>
  <si>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</si>
  <si>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</si>
  <si>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</si>
  <si>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</si>
  <si>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</si>
  <si>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</si>
  <si>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</si>
  <si>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</si>
  <si>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</si>
  <si>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</si>
  <si>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</si>
  <si>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</si>
  <si>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</si>
  <si>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</si>
  <si>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</si>
  <si>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</si>
  <si>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</si>
  <si>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</si>
  <si>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</si>
  <si>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</si>
  <si>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</si>
  <si>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</si>
  <si>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</si>
  <si>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</si>
  <si>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</si>
  <si>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</si>
  <si>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</si>
  <si>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</si>
  <si>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</si>
  <si>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</si>
  <si>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</si>
  <si>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</si>
  <si>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</si>
  <si>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</si>
  <si>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</si>
  <si>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</si>
  <si>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</si>
  <si>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</si>
  <si>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</si>
  <si>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</si>
  <si>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</si>
  <si>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</si>
  <si>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</si>
  <si>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</si>
  <si>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</si>
  <si>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</si>
  <si>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</si>
  <si>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</si>
  <si>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</si>
  <si>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</si>
  <si>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</si>
  <si>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</si>
  <si>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</si>
  <si>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</si>
  <si>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</si>
  <si>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</si>
  <si>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</si>
  <si>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</si>
  <si>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</si>
  <si>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</si>
  <si>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</si>
  <si>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</si>
  <si>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</si>
  <si>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</si>
  <si>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</si>
  <si>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</si>
  <si>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</si>
  <si>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</si>
  <si>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</si>
  <si>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</si>
  <si>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</si>
  <si>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</si>
  <si>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</si>
  <si>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</si>
  <si>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</si>
  <si>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</si>
  <si>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</si>
  <si>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</si>
  <si>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</si>
  <si>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</si>
  <si>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</si>
  <si>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</si>
  <si>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</si>
  <si>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</si>
  <si>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</si>
  <si>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</si>
  <si>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</si>
  <si>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</si>
  <si>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</si>
  <si>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</si>
  <si>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</si>
  <si>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</si>
  <si>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</si>
  <si>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</si>
  <si>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</si>
  <si>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</si>
  <si>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</si>
  <si>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</si>
  <si>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</si>
  <si>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</si>
  <si>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</si>
  <si>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</si>
  <si>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</si>
  <si>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</si>
  <si>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</si>
  <si>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</si>
  <si>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</si>
  <si>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</si>
  <si>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</si>
  <si>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</si>
  <si>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</si>
  <si>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</si>
  <si>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</si>
  <si>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</si>
  <si>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</si>
  <si>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</si>
  <si>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</si>
  <si>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</si>
  <si>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</si>
  <si>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</si>
  <si>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</si>
  <si>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</si>
  <si>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</si>
  <si>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</si>
  <si>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</si>
  <si>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</si>
  <si>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</si>
  <si>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</si>
  <si>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</si>
  <si>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</si>
  <si>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</si>
  <si>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</si>
  <si>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</si>
  <si>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</si>
  <si>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</si>
  <si>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</si>
  <si>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</si>
  <si>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</si>
  <si>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</si>
  <si>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</si>
  <si>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</si>
  <si>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</si>
  <si>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</si>
  <si>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</si>
  <si>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</si>
  <si>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</si>
  <si>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</si>
  <si>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</si>
  <si>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</si>
  <si>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</si>
  <si>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</si>
  <si>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</si>
  <si>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</si>
  <si>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</si>
  <si>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</si>
  <si>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</si>
  <si>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</si>
  <si>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</si>
  <si>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</si>
  <si>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</si>
  <si>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</si>
  <si>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</si>
  <si>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</si>
  <si>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</si>
  <si>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</si>
  <si>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</si>
  <si>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</si>
  <si>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</si>
  <si>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</si>
  <si>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</si>
  <si>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</si>
  <si>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</si>
  <si>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</si>
  <si>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</si>
  <si>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</si>
  <si>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</si>
  <si>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</si>
  <si>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</si>
  <si>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</si>
  <si>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</si>
  <si>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</si>
  <si>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</si>
  <si>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</si>
  <si>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</si>
  <si>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</si>
  <si>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</si>
  <si>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</si>
  <si>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</si>
  <si>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</si>
  <si>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</si>
  <si>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</si>
  <si>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</si>
  <si>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</si>
  <si>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</si>
  <si>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</si>
  <si>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</si>
  <si>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</si>
  <si>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</si>
  <si>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</si>
  <si>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</si>
  <si>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</si>
  <si>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</si>
  <si>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</si>
  <si>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</si>
  <si>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</si>
  <si>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</si>
  <si>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</si>
  <si>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</si>
  <si>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</si>
  <si>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</si>
  <si>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</si>
  <si>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</si>
  <si>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</si>
  <si>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</si>
  <si>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</si>
  <si>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</si>
  <si>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</si>
  <si>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</si>
  <si>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</si>
  <si>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</si>
  <si>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</si>
  <si>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</si>
  <si>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</si>
  <si>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</si>
  <si>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</si>
  <si>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</si>
  <si>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</si>
  <si>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</si>
  <si>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</si>
  <si>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</si>
  <si>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</si>
  <si>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</si>
  <si>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</si>
  <si>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</si>
  <si>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</si>
  <si>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</si>
  <si>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</si>
  <si>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</si>
  <si>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</si>
  <si>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</si>
  <si>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</si>
  <si>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</si>
  <si>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</si>
  <si>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</si>
  <si>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</si>
  <si>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</si>
  <si>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</si>
  <si>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</si>
  <si>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</si>
  <si>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</si>
  <si>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</si>
  <si>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</si>
  <si>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</si>
  <si>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</si>
  <si>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</si>
  <si>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</si>
  <si>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</si>
  <si>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</si>
  <si>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</si>
  <si>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</si>
  <si>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</si>
  <si>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</si>
  <si>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</si>
  <si>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</si>
  <si>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</si>
  <si>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</si>
  <si>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</si>
  <si>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</si>
  <si>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</si>
  <si>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</si>
  <si>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</si>
  <si>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</si>
  <si>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</si>
  <si>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</si>
  <si>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</si>
  <si>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</si>
  <si>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</si>
  <si>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</si>
  <si>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</si>
  <si>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</si>
  <si>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</si>
  <si>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</si>
  <si>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</si>
  <si>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</si>
  <si>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</si>
  <si>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</si>
  <si>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</si>
  <si>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</si>
  <si>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</si>
  <si>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</si>
  <si>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</si>
  <si>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</si>
  <si>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</si>
  <si>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</si>
  <si>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</si>
  <si>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</si>
  <si>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</si>
  <si>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</si>
  <si>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</si>
  <si>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</si>
  <si>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</si>
  <si>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</si>
  <si>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</si>
  <si>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</si>
  <si>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</si>
  <si>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</si>
  <si>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</si>
  <si>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</si>
  <si>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</si>
  <si>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</si>
  <si>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</si>
  <si>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</si>
  <si>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</si>
  <si>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</si>
  <si>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</si>
  <si>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</si>
  <si>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</si>
  <si>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</si>
  <si>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</si>
  <si>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</si>
  <si>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</si>
  <si>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</si>
  <si>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</si>
  <si>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</si>
  <si>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</si>
  <si>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</si>
  <si>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</si>
  <si>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</si>
  <si>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</si>
  <si>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</si>
  <si>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</si>
  <si>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</si>
  <si>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</si>
  <si>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</si>
  <si>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</si>
  <si>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</si>
  <si>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</si>
  <si>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</si>
  <si>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</si>
  <si>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</si>
  <si>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</si>
  <si>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</si>
  <si>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</si>
  <si>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</si>
  <si>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</si>
  <si>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</si>
  <si>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</si>
  <si>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</si>
  <si>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</si>
  <si>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</si>
  <si>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</si>
  <si>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</si>
  <si>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</si>
  <si>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</si>
  <si>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</si>
  <si>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</si>
  <si>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</si>
  <si>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</si>
  <si>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</si>
  <si>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</si>
  <si>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</si>
  <si>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</si>
  <si>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</si>
  <si>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</si>
  <si>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</si>
  <si>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</si>
  <si>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</si>
  <si>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</si>
  <si>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</si>
  <si>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</si>
  <si>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</si>
  <si>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</si>
  <si>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</si>
  <si>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</si>
  <si>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</si>
  <si>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</si>
  <si>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</si>
  <si>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</si>
  <si>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</si>
  <si>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</si>
  <si>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</si>
  <si>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</si>
  <si>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</si>
  <si>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</si>
  <si>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</si>
  <si>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</si>
  <si>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</si>
  <si>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</si>
  <si>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</si>
  <si>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</si>
  <si>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</si>
  <si>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</si>
  <si>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</si>
  <si>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</si>
  <si>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</si>
  <si>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</si>
  <si>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</si>
  <si>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</si>
  <si>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</si>
  <si>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</si>
  <si>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</si>
  <si>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</si>
  <si>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</si>
  <si>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</si>
  <si>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</si>
  <si>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</si>
  <si>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</si>
  <si>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</si>
  <si>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</si>
  <si>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</si>
  <si>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</si>
  <si>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</si>
  <si>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</si>
  <si>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</si>
  <si>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</si>
  <si>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</si>
  <si>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</si>
  <si>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</si>
  <si>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</si>
  <si>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</si>
  <si>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</si>
  <si>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</si>
  <si>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</si>
  <si>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</si>
  <si>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</si>
  <si>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</si>
  <si>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</si>
  <si>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</si>
  <si>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</si>
  <si>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</si>
  <si>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</si>
  <si>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</si>
  <si>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</si>
  <si>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</si>
  <si>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</si>
  <si>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</si>
  <si>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</si>
  <si>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</si>
  <si>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</si>
  <si>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</si>
  <si>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</si>
  <si>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</si>
  <si>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</si>
  <si>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</si>
  <si>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</si>
  <si>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</si>
  <si>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</si>
  <si>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</si>
  <si>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</si>
  <si>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</si>
  <si>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</si>
  <si>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</si>
  <si>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</si>
  <si>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</si>
  <si>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</si>
  <si>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</si>
  <si>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</si>
  <si>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</si>
  <si>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</si>
  <si>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</si>
  <si>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</si>
  <si>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</si>
  <si>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</si>
  <si>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</si>
  <si>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</si>
  <si>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</si>
  <si>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</si>
  <si>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</si>
  <si>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</si>
  <si>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</si>
  <si>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</si>
  <si>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</si>
  <si>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</si>
  <si>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</si>
  <si>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</si>
  <si>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</si>
  <si>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</si>
  <si>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</si>
  <si>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</si>
  <si>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</si>
  <si>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</si>
  <si>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</si>
  <si>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</si>
  <si>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</si>
  <si>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</si>
  <si>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</si>
  <si>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</si>
  <si>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</si>
  <si>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</si>
  <si>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</si>
  <si>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</si>
  <si>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</si>
  <si>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</si>
  <si>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</si>
  <si>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</si>
  <si>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</si>
  <si>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</si>
  <si>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</si>
  <si>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</si>
  <si>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</si>
  <si>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</si>
  <si>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</si>
  <si>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</si>
  <si>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</si>
  <si>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</si>
  <si>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</si>
  <si>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</si>
  <si>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</si>
  <si>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</si>
  <si>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</si>
  <si>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</si>
  <si>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</si>
  <si>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</si>
  <si>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</si>
  <si>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</si>
  <si>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</si>
  <si>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</si>
  <si>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</si>
  <si>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</si>
  <si>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</si>
  <si>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</si>
  <si>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</si>
  <si>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</si>
  <si>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</si>
  <si>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</si>
  <si>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</si>
  <si>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</si>
  <si>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</si>
  <si>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</si>
  <si>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</si>
  <si>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</si>
  <si>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</si>
  <si>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</si>
  <si>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</si>
  <si>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</si>
  <si>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</si>
  <si>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</si>
  <si>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</si>
  <si>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</si>
  <si>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</si>
  <si>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</si>
  <si>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</si>
  <si>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</si>
  <si>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</si>
  <si>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</si>
  <si>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</si>
  <si>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</si>
  <si>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</si>
  <si>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</si>
  <si>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</si>
  <si>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</si>
  <si>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</si>
  <si>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</si>
  <si>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</si>
  <si>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</si>
  <si>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</si>
  <si>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</si>
  <si>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</si>
  <si>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</si>
  <si>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</si>
  <si>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</si>
  <si>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</si>
  <si>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</si>
  <si>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</si>
  <si>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</si>
  <si>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</si>
  <si>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</si>
  <si>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</si>
  <si>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</si>
  <si>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</si>
  <si>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</si>
  <si>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</si>
  <si>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</si>
  <si>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</si>
  <si>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</si>
  <si>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</si>
  <si>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</si>
  <si>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</si>
  <si>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</si>
  <si>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</si>
  <si>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</si>
  <si>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</si>
  <si>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</si>
  <si>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</si>
  <si>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</si>
  <si>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</si>
  <si>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</si>
  <si>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</si>
  <si>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</si>
  <si>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</si>
  <si>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</si>
  <si>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</si>
  <si>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</si>
  <si>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</si>
  <si>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</si>
  <si>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</si>
  <si>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</si>
  <si>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</si>
  <si>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</si>
  <si>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</si>
  <si>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</si>
  <si>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</si>
  <si>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</si>
  <si>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</si>
  <si>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</si>
  <si>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</si>
  <si>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</si>
  <si>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</si>
  <si>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</si>
  <si>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</si>
  <si>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</si>
  <si>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</si>
  <si>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</si>
  <si>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</si>
  <si>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</si>
  <si>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</si>
  <si>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</si>
  <si>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</si>
  <si>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</si>
  <si>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</si>
  <si>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</si>
  <si>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</si>
  <si>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</si>
  <si>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</si>
  <si>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</si>
  <si>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</si>
  <si>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</si>
  <si>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</si>
  <si>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</si>
  <si>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</si>
  <si>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</si>
  <si>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</si>
  <si>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</si>
  <si>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</si>
  <si>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</si>
  <si>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</si>
  <si>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</si>
  <si>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</si>
  <si>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</si>
  <si>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</si>
  <si>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</si>
  <si>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</si>
  <si>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</si>
  <si>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</si>
  <si>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</si>
  <si>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</si>
  <si>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</si>
  <si>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</si>
  <si>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</si>
  <si>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</si>
  <si>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</si>
  <si>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</si>
  <si>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</si>
  <si>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KONSTRUKSI TRAFO</t>
  </si>
  <si>
    <t>PEKERJAAN PEMASANGAN APP</t>
  </si>
  <si>
    <t>CJ6-T</t>
  </si>
  <si>
    <t>CONDUKTOR</t>
  </si>
  <si>
    <t xml:space="preserve">Jumper Wire : </t>
  </si>
  <si>
    <t>CM2-11M</t>
  </si>
  <si>
    <t>Stainless Steel Strap 20 X 0.7 mm</t>
  </si>
  <si>
    <t>CJ5-T</t>
  </si>
  <si>
    <t>PEMASANGAN JTM 3 PHASE</t>
  </si>
  <si>
    <t>PEMASANGAN JTR</t>
  </si>
  <si>
    <t>TNK AKHADINA</t>
  </si>
  <si>
    <t>B2</t>
  </si>
  <si>
    <t>DONOREJO KEC. DEMAK</t>
  </si>
  <si>
    <t>Koordinat : -6.896577, 110.613538</t>
  </si>
  <si>
    <t>MANAGER ULP</t>
  </si>
  <si>
    <t>Staff Teknik</t>
  </si>
  <si>
    <t>TL Teknik</t>
  </si>
  <si>
    <t>Manager ULP</t>
  </si>
  <si>
    <t>Mbag Ren</t>
  </si>
  <si>
    <t>CG-105</t>
  </si>
  <si>
    <t>1 CJ5-T</t>
  </si>
  <si>
    <t>1 CJ6-T</t>
  </si>
  <si>
    <t>1 MJ6-T</t>
  </si>
  <si>
    <t>APP 1 PH DAYA 11 KVA (PRA)</t>
  </si>
  <si>
    <t>Trafo 1 Fasa CSP 50 KVA (G105, G106, G136)</t>
  </si>
  <si>
    <t>NFA2X-T 2 x 70 + N 50 mm²</t>
  </si>
  <si>
    <t>Sepatu Kabel AL/CU Ring-70 mm²</t>
  </si>
  <si>
    <t>MJ6-T</t>
  </si>
  <si>
    <t>Daya 11.000 VA</t>
  </si>
  <si>
    <t>Demak,  13 Oktober 2023</t>
  </si>
  <si>
    <t>ACHMAD SUHENDRO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</si>
</sst>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80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  <font>
      <b/>
      <sz val="10"/>
      <color rgb="FF000000"/>
      <name val="Times New Roman"/>
      <family val="1"/>
    </font>
    <font>
      <sz val="10"/>
      <color indexed="8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6508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" fillId="0" borderId="0"/>
    <xf numFmtId="41" fontId="23" fillId="0" borderId="0" applyFont="0" applyFill="0" applyBorder="0" applyAlignment="0" applyProtection="0"/>
    <xf numFmtId="0" fontId="8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5"/>
    <xf numFmtId="0" fontId="90" fillId="0" borderId="96"/>
    <xf numFmtId="43" fontId="23" fillId="0" borderId="0" applyFont="0" applyFill="0" applyBorder="0" applyAlignment="0" applyProtection="0"/>
    <xf numFmtId="0" fontId="38" fillId="20" borderId="103" applyNumberFormat="0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8" fillId="21" borderId="99" applyNumberFormat="0" applyAlignment="0" applyProtection="0"/>
    <xf numFmtId="0" fontId="34" fillId="7" borderId="107" applyNumberFormat="0" applyAlignment="0" applyProtection="0"/>
    <xf numFmtId="0" fontId="40" fillId="0" borderId="104" applyNumberFormat="0" applyFill="0" applyAlignment="0" applyProtection="0"/>
    <xf numFmtId="0" fontId="7" fillId="0" borderId="0"/>
    <xf numFmtId="0" fontId="7" fillId="0" borderId="0"/>
    <xf numFmtId="0" fontId="89" fillId="0" borderId="106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40" fillId="0" borderId="110" applyNumberFormat="0" applyFill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0" fontId="7" fillId="0" borderId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43" fontId="7" fillId="0" borderId="0" applyFont="0" applyFill="0" applyBorder="0" applyAlignment="0" applyProtection="0"/>
    <xf numFmtId="0" fontId="80" fillId="23" borderId="105"/>
    <xf numFmtId="0" fontId="80" fillId="0" borderId="105"/>
    <xf numFmtId="0" fontId="80" fillId="0" borderId="100"/>
    <xf numFmtId="0" fontId="80" fillId="0" borderId="100"/>
    <xf numFmtId="0" fontId="75" fillId="0" borderId="105"/>
    <xf numFmtId="0" fontId="75" fillId="0" borderId="105"/>
    <xf numFmtId="0" fontId="75" fillId="0" borderId="111"/>
    <xf numFmtId="0" fontId="75" fillId="0" borderId="111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7" fillId="0" borderId="0"/>
    <xf numFmtId="0" fontId="7" fillId="0" borderId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17" fillId="27" borderId="108" applyNumberFormat="0" applyFont="0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194" fontId="44" fillId="28" borderId="108" applyAlignment="0" applyProtection="0"/>
    <xf numFmtId="0" fontId="38" fillId="20" borderId="103" applyNumberFormat="0" applyAlignment="0" applyProtection="0"/>
    <xf numFmtId="0" fontId="23" fillId="27" borderId="102" applyNumberFormat="0" applyFont="0" applyAlignment="0" applyProtection="0"/>
    <xf numFmtId="0" fontId="34" fillId="7" borderId="101" applyNumberFormat="0" applyAlignment="0" applyProtection="0"/>
    <xf numFmtId="0" fontId="27" fillId="20" borderId="101" applyNumberFormat="0" applyAlignment="0" applyProtection="0"/>
    <xf numFmtId="194" fontId="44" fillId="28" borderId="108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34" fillId="7" borderId="107" applyNumberFormat="0" applyAlignment="0" applyProtection="0"/>
    <xf numFmtId="0" fontId="27" fillId="20" borderId="107" applyNumberFormat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89" fillId="0" borderId="112"/>
    <xf numFmtId="0" fontId="34" fillId="7" borderId="107" applyNumberFormat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7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7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5" fillId="0" borderId="111"/>
    <xf numFmtId="0" fontId="75" fillId="0" borderId="111"/>
    <xf numFmtId="0" fontId="80" fillId="0" borderId="100"/>
    <xf numFmtId="0" fontId="80" fillId="0" borderId="100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9" fontId="23" fillId="0" borderId="0" applyFont="0" applyFill="0" applyBorder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13"/>
    <xf numFmtId="0" fontId="89" fillId="0" borderId="113"/>
    <xf numFmtId="0" fontId="90" fillId="0" borderId="114"/>
    <xf numFmtId="0" fontId="90" fillId="0" borderId="114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11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7" borderId="131" applyNumberFormat="0" applyFont="0" applyAlignment="0" applyProtection="0"/>
    <xf numFmtId="0" fontId="23" fillId="27" borderId="131" applyNumberFormat="0" applyFont="0" applyAlignment="0" applyProtection="0"/>
    <xf numFmtId="0" fontId="27" fillId="20" borderId="117" applyNumberFormat="0" applyAlignment="0" applyProtection="0"/>
    <xf numFmtId="0" fontId="75" fillId="0" borderId="140"/>
    <xf numFmtId="0" fontId="34" fillId="7" borderId="107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4" fillId="7" borderId="117" applyNumberFormat="0" applyAlignment="0" applyProtection="0"/>
    <xf numFmtId="0" fontId="17" fillId="27" borderId="125" applyNumberFormat="0" applyFont="0" applyAlignment="0" applyProtection="0"/>
    <xf numFmtId="0" fontId="5" fillId="0" borderId="0"/>
    <xf numFmtId="0" fontId="34" fillId="7" borderId="117" applyNumberFormat="0" applyAlignment="0" applyProtection="0"/>
    <xf numFmtId="0" fontId="27" fillId="20" borderId="124" applyNumberFormat="0" applyAlignment="0" applyProtection="0"/>
    <xf numFmtId="0" fontId="34" fillId="7" borderId="117" applyNumberFormat="0" applyAlignment="0" applyProtection="0"/>
    <xf numFmtId="0" fontId="27" fillId="20" borderId="136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5" fillId="0" borderId="0"/>
    <xf numFmtId="194" fontId="44" fillId="28" borderId="125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23" fillId="0" borderId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27" fillId="20" borderId="124" applyNumberFormat="0" applyAlignment="0" applyProtection="0"/>
    <xf numFmtId="0" fontId="34" fillId="7" borderId="124" applyNumberFormat="0" applyAlignment="0" applyProtection="0"/>
    <xf numFmtId="0" fontId="34" fillId="7" borderId="136" applyNumberFormat="0" applyAlignment="0" applyProtection="0"/>
    <xf numFmtId="0" fontId="23" fillId="27" borderId="125" applyNumberFormat="0" applyFont="0" applyAlignment="0" applyProtection="0"/>
    <xf numFmtId="0" fontId="38" fillId="20" borderId="126" applyNumberFormat="0" applyAlignment="0" applyProtection="0"/>
    <xf numFmtId="0" fontId="89" fillId="0" borderId="123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0" fontId="23" fillId="27" borderId="131" applyNumberFormat="0" applyFont="0" applyAlignment="0" applyProtection="0"/>
    <xf numFmtId="0" fontId="23" fillId="27" borderId="131" applyNumberFormat="0" applyFont="0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43" fontId="23" fillId="0" borderId="0" applyFont="0" applyFill="0" applyBorder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27" fillId="20" borderId="124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07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34" fillId="7" borderId="130" applyNumberFormat="0" applyAlignment="0" applyProtection="0"/>
    <xf numFmtId="0" fontId="80" fillId="23" borderId="134"/>
    <xf numFmtId="0" fontId="80" fillId="0" borderId="134"/>
    <xf numFmtId="0" fontId="75" fillId="0" borderId="134"/>
    <xf numFmtId="0" fontId="75" fillId="0" borderId="134"/>
    <xf numFmtId="43" fontId="5" fillId="0" borderId="0" applyFont="0" applyFill="0" applyBorder="0" applyAlignment="0" applyProtection="0"/>
    <xf numFmtId="0" fontId="75" fillId="0" borderId="140"/>
    <xf numFmtId="0" fontId="75" fillId="0" borderId="128"/>
    <xf numFmtId="0" fontId="75" fillId="0" borderId="128"/>
    <xf numFmtId="0" fontId="80" fillId="0" borderId="140"/>
    <xf numFmtId="0" fontId="80" fillId="23" borderId="140"/>
    <xf numFmtId="0" fontId="80" fillId="0" borderId="128"/>
    <xf numFmtId="0" fontId="75" fillId="0" borderId="118"/>
    <xf numFmtId="0" fontId="75" fillId="0" borderId="118"/>
    <xf numFmtId="0" fontId="75" fillId="0" borderId="118"/>
    <xf numFmtId="0" fontId="75" fillId="0" borderId="118"/>
    <xf numFmtId="0" fontId="80" fillId="23" borderId="128"/>
    <xf numFmtId="0" fontId="80" fillId="0" borderId="118"/>
    <xf numFmtId="0" fontId="80" fillId="0" borderId="118"/>
    <xf numFmtId="0" fontId="80" fillId="23" borderId="118"/>
    <xf numFmtId="0" fontId="80" fillId="23" borderId="118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24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27" fillId="20" borderId="130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3" fillId="27" borderId="137" applyNumberFormat="0" applyFont="0" applyAlignment="0" applyProtection="0"/>
    <xf numFmtId="194" fontId="44" fillId="28" borderId="137" applyAlignment="0" applyProtection="0"/>
    <xf numFmtId="194" fontId="44" fillId="28" borderId="137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0" fontId="23" fillId="27" borderId="125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34" fillId="7" borderId="117" applyNumberFormat="0" applyAlignment="0" applyProtection="0"/>
    <xf numFmtId="0" fontId="34" fillId="7" borderId="124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34" fillId="7" borderId="136" applyNumberFormat="0" applyAlignment="0" applyProtection="0"/>
    <xf numFmtId="0" fontId="89" fillId="0" borderId="115"/>
    <xf numFmtId="0" fontId="90" fillId="0" borderId="116"/>
    <xf numFmtId="0" fontId="34" fillId="7" borderId="124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34" fillId="7" borderId="130" applyNumberFormat="0" applyAlignment="0" applyProtection="0"/>
    <xf numFmtId="0" fontId="34" fillId="7" borderId="107" applyNumberFormat="0" applyAlignment="0" applyProtection="0"/>
    <xf numFmtId="0" fontId="34" fillId="7" borderId="117" applyNumberFormat="0" applyAlignment="0" applyProtection="0"/>
    <xf numFmtId="0" fontId="23" fillId="27" borderId="137" applyNumberFormat="0" applyFont="0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0" borderId="0"/>
    <xf numFmtId="194" fontId="44" fillId="28" borderId="125" applyAlignment="0" applyProtection="0"/>
    <xf numFmtId="0" fontId="23" fillId="0" borderId="0"/>
    <xf numFmtId="0" fontId="34" fillId="7" borderId="136" applyNumberFormat="0" applyAlignment="0" applyProtection="0"/>
    <xf numFmtId="0" fontId="34" fillId="7" borderId="136" applyNumberForma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5" fillId="0" borderId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23" fillId="27" borderId="125" applyNumberFormat="0" applyFont="0" applyAlignment="0" applyProtection="0"/>
    <xf numFmtId="194" fontId="44" fillId="28" borderId="125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0" fontId="38" fillId="20" borderId="126" applyNumberForma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0" fontId="23" fillId="27" borderId="137" applyNumberFormat="0" applyFont="0" applyAlignment="0" applyProtection="0"/>
    <xf numFmtId="0" fontId="23" fillId="27" borderId="137" applyNumberFormat="0" applyFont="0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5" fillId="0" borderId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194" fontId="44" fillId="28" borderId="137" applyAlignment="0" applyProtection="0"/>
    <xf numFmtId="0" fontId="38" fillId="20" borderId="132" applyNumberFormat="0" applyAlignment="0" applyProtection="0"/>
    <xf numFmtId="0" fontId="23" fillId="27" borderId="131" applyNumberFormat="0" applyFont="0" applyAlignment="0" applyProtection="0"/>
    <xf numFmtId="0" fontId="89" fillId="0" borderId="129"/>
    <xf numFmtId="0" fontId="5" fillId="0" borderId="0"/>
    <xf numFmtId="0" fontId="27" fillId="20" borderId="130" applyNumberFormat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17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23" fillId="27" borderId="119" applyNumberFormat="0" applyFont="0" applyAlignment="0" applyProtection="0"/>
    <xf numFmtId="194" fontId="44" fillId="28" borderId="119" applyAlignment="0" applyProtection="0"/>
    <xf numFmtId="194" fontId="44" fillId="28" borderId="119" applyAlignment="0" applyProtection="0"/>
    <xf numFmtId="0" fontId="23" fillId="27" borderId="119" applyNumberFormat="0" applyFon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38" fillId="20" borderId="120" applyNumberFormat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0" fontId="40" fillId="0" borderId="127" applyNumberFormat="0" applyFill="0" applyAlignment="0" applyProtection="0"/>
    <xf numFmtId="194" fontId="44" fillId="28" borderId="137" applyAlignment="0" applyProtection="0"/>
    <xf numFmtId="194" fontId="44" fillId="28" borderId="137" applyAlignment="0" applyProtection="0"/>
    <xf numFmtId="0" fontId="89" fillId="0" borderId="122"/>
    <xf numFmtId="0" fontId="89" fillId="0" borderId="122"/>
    <xf numFmtId="0" fontId="17" fillId="27" borderId="137" applyNumberFormat="0" applyFont="0" applyAlignment="0" applyProtection="0"/>
    <xf numFmtId="0" fontId="23" fillId="0" borderId="0"/>
    <xf numFmtId="0" fontId="23" fillId="27" borderId="131" applyNumberFormat="0" applyFont="0" applyAlignment="0" applyProtection="0"/>
    <xf numFmtId="0" fontId="34" fillId="7" borderId="124" applyNumberFormat="0" applyAlignment="0" applyProtection="0"/>
    <xf numFmtId="0" fontId="40" fillId="0" borderId="127" applyNumberFormat="0" applyFill="0" applyAlignment="0" applyProtection="0"/>
    <xf numFmtId="0" fontId="27" fillId="20" borderId="136" applyNumberFormat="0" applyAlignment="0" applyProtection="0"/>
    <xf numFmtId="0" fontId="34" fillId="7" borderId="107" applyNumberFormat="0" applyAlignment="0" applyProtection="0"/>
    <xf numFmtId="0" fontId="89" fillId="0" borderId="115"/>
    <xf numFmtId="0" fontId="23" fillId="27" borderId="137" applyNumberFormat="0" applyFont="0" applyAlignment="0" applyProtection="0"/>
    <xf numFmtId="194" fontId="44" fillId="28" borderId="125" applyAlignment="0" applyProtection="0"/>
    <xf numFmtId="194" fontId="44" fillId="28" borderId="125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23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17" fillId="27" borderId="125" applyNumberFormat="0" applyFont="0" applyAlignment="0" applyProtection="0"/>
    <xf numFmtId="0" fontId="38" fillId="20" borderId="126" applyNumberFormat="0" applyAlignment="0" applyProtection="0"/>
    <xf numFmtId="0" fontId="23" fillId="27" borderId="137" applyNumberFormat="0" applyFont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21" applyNumberFormat="0" applyFill="0" applyAlignment="0" applyProtection="0"/>
    <xf numFmtId="0" fontId="40" fillId="0" borderId="133" applyNumberFormat="0" applyFill="0" applyAlignment="0" applyProtection="0"/>
    <xf numFmtId="0" fontId="34" fillId="7" borderId="130" applyNumberFormat="0" applyAlignment="0" applyProtection="0"/>
    <xf numFmtId="0" fontId="40" fillId="0" borderId="127" applyNumberFormat="0" applyFill="0" applyAlignment="0" applyProtection="0"/>
    <xf numFmtId="0" fontId="17" fillId="27" borderId="137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5" fillId="0" borderId="0"/>
    <xf numFmtId="0" fontId="40" fillId="0" borderId="127" applyNumberFormat="0" applyFill="0" applyAlignment="0" applyProtection="0"/>
    <xf numFmtId="43" fontId="12" fillId="0" borderId="0" applyFont="0" applyFill="0" applyBorder="0" applyAlignment="0" applyProtection="0"/>
    <xf numFmtId="0" fontId="5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17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23" fillId="27" borderId="131" applyNumberFormat="0" applyFont="0" applyAlignment="0" applyProtection="0"/>
    <xf numFmtId="194" fontId="44" fillId="28" borderId="131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38" fillId="20" borderId="132" applyNumberFormat="0" applyAlignment="0" applyProtection="0"/>
    <xf numFmtId="0" fontId="40" fillId="0" borderId="139" applyNumberFormat="0" applyFill="0" applyAlignment="0" applyProtection="0"/>
    <xf numFmtId="0" fontId="38" fillId="20" borderId="138" applyNumberFormat="0" applyAlignment="0" applyProtection="0"/>
    <xf numFmtId="0" fontId="23" fillId="27" borderId="137" applyNumberFormat="0" applyFont="0" applyAlignment="0" applyProtection="0"/>
    <xf numFmtId="0" fontId="89" fillId="0" borderId="135"/>
    <xf numFmtId="0" fontId="34" fillId="7" borderId="136" applyNumberFormat="0" applyAlignment="0" applyProtection="0"/>
    <xf numFmtId="0" fontId="27" fillId="20" borderId="136" applyNumberFormat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23" fillId="0" borderId="0"/>
    <xf numFmtId="0" fontId="17" fillId="27" borderId="131" applyNumberFormat="0" applyFont="0" applyAlignment="0" applyProtection="0"/>
    <xf numFmtId="0" fontId="23" fillId="0" borderId="0"/>
    <xf numFmtId="0" fontId="23" fillId="27" borderId="131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40" fillId="0" borderId="133" applyNumberFormat="0" applyFill="0" applyAlignment="0" applyProtection="0"/>
    <xf numFmtId="0" fontId="23" fillId="0" borderId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17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23" fillId="27" borderId="137" applyNumberFormat="0" applyFont="0" applyAlignment="0" applyProtection="0"/>
    <xf numFmtId="194" fontId="44" fillId="28" borderId="137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89" fillId="0" borderId="141"/>
    <xf numFmtId="0" fontId="34" fillId="7" borderId="136" applyNumberFormat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23" fillId="0" borderId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0" fontId="27" fillId="20" borderId="136" applyNumberFormat="0" applyAlignment="0" applyProtection="0"/>
    <xf numFmtId="43" fontId="23" fillId="0" borderId="0" applyFont="0" applyFill="0" applyBorder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34" fillId="7" borderId="13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89" fillId="0" borderId="142"/>
    <xf numFmtId="0" fontId="89" fillId="0" borderId="142"/>
    <xf numFmtId="0" fontId="90" fillId="0" borderId="143"/>
    <xf numFmtId="0" fontId="90" fillId="0" borderId="143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40" fillId="0" borderId="139" applyNumberFormat="0" applyFill="0" applyAlignment="0" applyProtection="0"/>
    <xf numFmtId="0" fontId="2" fillId="0" borderId="0"/>
    <xf numFmtId="0" fontId="2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4" fillId="7" borderId="1" applyNumberFormat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40" fillId="0" borderId="17" applyNumberFormat="0" applyFill="0" applyAlignment="0" applyProtection="0"/>
    <xf numFmtId="0" fontId="2" fillId="0" borderId="0"/>
    <xf numFmtId="41" fontId="23" fillId="0" borderId="0" applyFont="0" applyFill="0" applyBorder="0" applyAlignment="0" applyProtection="0"/>
    <xf numFmtId="0" fontId="2" fillId="0" borderId="0"/>
    <xf numFmtId="43" fontId="23" fillId="0" borderId="0" applyFont="0" applyFill="0" applyBorder="0" applyAlignment="0" applyProtection="0"/>
    <xf numFmtId="0" fontId="27" fillId="20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80" fillId="23" borderId="4"/>
    <xf numFmtId="0" fontId="80" fillId="0" borderId="4"/>
    <xf numFmtId="0" fontId="75" fillId="0" borderId="4"/>
    <xf numFmtId="0" fontId="75" fillId="0" borderId="4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" fillId="0" borderId="0"/>
    <xf numFmtId="0" fontId="2" fillId="0" borderId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0" fontId="17" fillId="27" borderId="119" applyNumberFormat="0" applyFont="0" applyAlignment="0" applyProtection="0"/>
    <xf numFmtId="9" fontId="1" fillId="0" borderId="0" applyFont="0" applyFill="0" applyBorder="0" applyAlignment="0" applyProtection="0"/>
    <xf numFmtId="0" fontId="89" fillId="0" borderId="142"/>
    <xf numFmtId="0" fontId="90" fillId="0" borderId="116"/>
    <xf numFmtId="0" fontId="38" fillId="20" borderId="138" applyNumberFormat="0" applyAlignment="0" applyProtection="0"/>
    <xf numFmtId="0" fontId="23" fillId="27" borderId="12" applyNumberFormat="0" applyFont="0" applyAlignment="0" applyProtection="0"/>
    <xf numFmtId="0" fontId="34" fillId="7" borderId="1" applyNumberFormat="0" applyAlignment="0" applyProtection="0"/>
    <xf numFmtId="0" fontId="27" fillId="20" borderId="1" applyNumberFormat="0" applyAlignment="0" applyProtection="0"/>
    <xf numFmtId="43" fontId="23" fillId="0" borderId="0" applyFont="0" applyFill="0" applyBorder="0" applyAlignment="0" applyProtection="0"/>
    <xf numFmtId="0" fontId="2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38" fillId="20" borderId="138" applyNumberFormat="0" applyAlignment="0" applyProtection="0"/>
    <xf numFmtId="0" fontId="89" fillId="0" borderId="144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</cellStyleXfs>
  <cellXfs count="706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8" xfId="0" applyFont="1" applyFill="1" applyBorder="1" applyAlignment="1">
      <alignment horizontal="center" vertical="center"/>
    </xf>
    <xf numFmtId="0" fontId="121" fillId="33" borderId="69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79" xfId="2670" applyFont="1" applyFill="1" applyBorder="1" applyAlignment="1">
      <alignment horizontal="left" vertical="center"/>
    </xf>
    <xf numFmtId="0" fontId="162" fillId="39" borderId="80" xfId="2670" applyFont="1" applyFill="1" applyBorder="1" applyAlignment="1">
      <alignment horizontal="center" vertical="center"/>
    </xf>
    <xf numFmtId="0" fontId="162" fillId="39" borderId="82" xfId="2670" applyFont="1" applyFill="1" applyBorder="1" applyAlignment="1">
      <alignment horizontal="left" vertical="center"/>
    </xf>
    <xf numFmtId="0" fontId="162" fillId="39" borderId="78" xfId="2670" applyFont="1" applyFill="1" applyBorder="1" applyAlignment="1">
      <alignment horizontal="center" vertical="center"/>
    </xf>
    <xf numFmtId="0" fontId="162" fillId="39" borderId="84" xfId="2670" applyFont="1" applyFill="1" applyBorder="1" applyAlignment="1">
      <alignment horizontal="left" vertical="center"/>
    </xf>
    <xf numFmtId="0" fontId="162" fillId="39" borderId="85" xfId="2670" applyFont="1" applyFill="1" applyBorder="1" applyAlignment="1">
      <alignment horizontal="center" vertical="center"/>
    </xf>
    <xf numFmtId="167" fontId="143" fillId="40" borderId="81" xfId="2672" applyFont="1" applyFill="1" applyBorder="1" applyAlignment="1" applyProtection="1">
      <alignment horizontal="right" vertical="center" wrapText="1"/>
      <protection locked="0"/>
    </xf>
    <xf numFmtId="167" fontId="143" fillId="40" borderId="83" xfId="2672" applyFont="1" applyFill="1" applyBorder="1" applyAlignment="1" applyProtection="1">
      <alignment horizontal="right" vertical="center"/>
      <protection locked="0"/>
    </xf>
    <xf numFmtId="169" fontId="143" fillId="40" borderId="83" xfId="2672" applyNumberFormat="1" applyFont="1" applyFill="1" applyBorder="1" applyAlignment="1" applyProtection="1">
      <alignment horizontal="right" vertical="center"/>
      <protection locked="0"/>
    </xf>
    <xf numFmtId="169" fontId="143" fillId="40" borderId="86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0" xfId="2673" applyFont="1" applyFill="1" applyBorder="1" applyAlignment="1">
      <alignment vertical="center" wrapText="1"/>
    </xf>
    <xf numFmtId="0" fontId="149" fillId="43" borderId="90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4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0" fontId="94" fillId="0" borderId="40" xfId="1450" applyFont="1" applyBorder="1" applyAlignment="1">
      <alignment horizontal="center" vertical="center"/>
    </xf>
    <xf numFmtId="0" fontId="94" fillId="0" borderId="47" xfId="1450" applyFont="1" applyBorder="1" applyAlignment="1">
      <alignment horizontal="center" vertical="center"/>
    </xf>
    <xf numFmtId="0" fontId="45" fillId="0" borderId="20" xfId="1615" applyFont="1" applyBorder="1" applyAlignment="1">
      <alignment horizontal="center" vertical="center"/>
    </xf>
    <xf numFmtId="0" fontId="45" fillId="0" borderId="21" xfId="1615" applyFont="1" applyBorder="1" applyAlignment="1">
      <alignment horizontal="left" vertical="center" wrapText="1"/>
    </xf>
    <xf numFmtId="0" fontId="116" fillId="0" borderId="20" xfId="1653" applyFont="1" applyBorder="1" applyAlignment="1">
      <alignment horizontal="center" vertical="center"/>
    </xf>
    <xf numFmtId="0" fontId="177" fillId="0" borderId="20" xfId="1653" applyFont="1" applyBorder="1" applyAlignment="1">
      <alignment horizontal="center" vertical="center"/>
    </xf>
    <xf numFmtId="0" fontId="177" fillId="0" borderId="21" xfId="1653" applyFont="1" applyBorder="1" applyAlignment="1">
      <alignment vertical="center" wrapText="1"/>
    </xf>
    <xf numFmtId="0" fontId="23" fillId="0" borderId="21" xfId="1451" applyBorder="1" applyAlignment="1">
      <alignment horizontal="left" wrapText="1"/>
    </xf>
    <xf numFmtId="0" fontId="12" fillId="0" borderId="21" xfId="1614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3" fontId="12" fillId="0" borderId="21" xfId="1614" applyNumberFormat="1" applyFont="1" applyBorder="1" applyAlignment="1">
      <alignment horizontal="center" vertical="center"/>
    </xf>
    <xf numFmtId="0" fontId="178" fillId="48" borderId="21" xfId="1653" applyFont="1" applyFill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24" fillId="33" borderId="0" xfId="1451" applyFont="1" applyFill="1"/>
    <xf numFmtId="0" fontId="179" fillId="0" borderId="20" xfId="1653" applyFont="1" applyBorder="1" applyAlignment="1">
      <alignment horizontal="center" vertical="center"/>
    </xf>
    <xf numFmtId="0" fontId="179" fillId="0" borderId="21" xfId="1653" applyFont="1" applyBorder="1" applyAlignment="1">
      <alignment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6" fillId="42" borderId="87" xfId="2673" applyFont="1" applyFill="1" applyBorder="1" applyAlignment="1">
      <alignment horizontal="center" vertical="center" wrapText="1"/>
    </xf>
    <xf numFmtId="0" fontId="166" fillId="42" borderId="88" xfId="2673" applyFont="1" applyFill="1" applyBorder="1" applyAlignment="1">
      <alignment horizontal="center" vertical="center" wrapText="1"/>
    </xf>
    <xf numFmtId="0" fontId="166" fillId="42" borderId="89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1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2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3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1" xfId="2673" applyNumberFormat="1" applyFont="1" applyFill="1" applyBorder="1" applyAlignment="1">
      <alignment horizontal="center" vertical="center" wrapText="1"/>
    </xf>
    <xf numFmtId="0" fontId="166" fillId="41" borderId="87" xfId="2673" applyFont="1" applyFill="1" applyBorder="1" applyAlignment="1">
      <alignment horizontal="center" vertical="center" wrapText="1"/>
    </xf>
    <xf numFmtId="0" fontId="166" fillId="41" borderId="88" xfId="2673" applyFont="1" applyFill="1" applyBorder="1" applyAlignment="1">
      <alignment horizontal="center" vertical="center" wrapText="1"/>
    </xf>
    <xf numFmtId="0" fontId="166" fillId="41" borderId="89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0" fontId="11" fillId="34" borderId="76" xfId="2670" applyFill="1" applyBorder="1" applyAlignment="1">
      <alignment horizontal="center" vertical="center"/>
    </xf>
    <xf numFmtId="0" fontId="141" fillId="0" borderId="77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94" fillId="0" borderId="60" xfId="1450" applyFont="1" applyBorder="1" applyAlignment="1">
      <alignment horizontal="left" vertical="center"/>
    </xf>
    <xf numFmtId="0" fontId="94" fillId="0" borderId="61" xfId="1450" applyFont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49" fontId="117" fillId="33" borderId="3" xfId="0" applyNumberFormat="1" applyFont="1" applyFill="1" applyBorder="1" applyAlignment="1">
      <alignment horizontal="center" vertical="center"/>
    </xf>
    <xf numFmtId="0" fontId="121" fillId="33" borderId="72" xfId="0" applyFont="1" applyFill="1" applyBorder="1" applyAlignment="1">
      <alignment horizontal="left" vertical="center"/>
    </xf>
    <xf numFmtId="0" fontId="121" fillId="33" borderId="73" xfId="0" applyFont="1" applyFill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59" xfId="0" applyFont="1" applyFill="1" applyBorder="1" applyAlignment="1">
      <alignment horizontal="left" vertical="center"/>
    </xf>
    <xf numFmtId="0" fontId="94" fillId="33" borderId="40" xfId="0" applyFont="1" applyFill="1" applyBorder="1" applyAlignment="1">
      <alignment horizontal="left" vertical="center"/>
    </xf>
    <xf numFmtId="0" fontId="122" fillId="33" borderId="74" xfId="0" applyFont="1" applyFill="1" applyBorder="1" applyAlignment="1">
      <alignment horizontal="center" vertical="center" wrapText="1"/>
    </xf>
    <xf numFmtId="0" fontId="122" fillId="33" borderId="75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4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3" fontId="117" fillId="33" borderId="0" xfId="0" applyNumberFormat="1" applyFont="1" applyFill="1" applyAlignment="1">
      <alignment horizontal="center" vertical="center" wrapText="1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650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2 4" xfId="5653" xr:uid="{0813A32B-71CE-49D6-8A16-70E18644E61B}"/>
    <cellStyle name="Calculation 10 3" xfId="3682" xr:uid="{FC6AEF61-9B3A-4953-998C-0C6AFC45D5D2}"/>
    <cellStyle name="Calculation 10 3 2" xfId="6243" xr:uid="{FB475D64-1F5E-433A-AE58-45977F6C3EBD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2 4" xfId="5654" xr:uid="{6B0D1BC2-2DBD-425F-AEC3-83F936DA35C6}"/>
    <cellStyle name="Calculation 11 3" xfId="3681" xr:uid="{49265FCD-15EE-4F3D-98E8-26B740BA12AD}"/>
    <cellStyle name="Calculation 11 3 2" xfId="6242" xr:uid="{4E782941-3E1E-4363-8843-E92E0121066E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2 4" xfId="5655" xr:uid="{8BA6B228-318F-4C13-A2E5-90BA5ED57F91}"/>
    <cellStyle name="Calculation 12 3" xfId="3680" xr:uid="{6B0320A4-A2D3-4406-89CB-8BDD606492C2}"/>
    <cellStyle name="Calculation 12 3 2" xfId="5873" xr:uid="{83EBD96D-CECD-4527-A7A8-CC2E4B893900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2 4" xfId="5656" xr:uid="{23D02CEF-2F35-4BDA-8198-97A81F2C53BF}"/>
    <cellStyle name="Calculation 13 3" xfId="3679" xr:uid="{FEAAD657-80FF-4B3F-A165-C830F32FE787}"/>
    <cellStyle name="Calculation 13 3 2" xfId="5879" xr:uid="{F5124401-48F9-4145-8A78-541315D80613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2 4" xfId="5657" xr:uid="{07464606-AACC-4BEE-858F-804DB6DF465B}"/>
    <cellStyle name="Calculation 14 3" xfId="3678" xr:uid="{699905E9-41AD-4FDE-870F-27C8345502F9}"/>
    <cellStyle name="Calculation 14 3 2" xfId="6241" xr:uid="{7DED364B-1BE7-4D6B-8658-B4F3C5D80383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2 4" xfId="5658" xr:uid="{81EF119C-DD0E-4C2A-8EE7-7B4E2489CEC4}"/>
    <cellStyle name="Calculation 15 3" xfId="3677" xr:uid="{AE8EC5A1-839F-4732-86B7-46096DDCDE12}"/>
    <cellStyle name="Calculation 15 3 2" xfId="6240" xr:uid="{40AE0067-BBA5-4186-BC9F-E324C2C587F4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2 4" xfId="5659" xr:uid="{95935C74-A80D-4265-BAD1-207ACF455EC0}"/>
    <cellStyle name="Calculation 16 3" xfId="3676" xr:uid="{04128D6D-B053-499F-A46D-04800D3E2238}"/>
    <cellStyle name="Calculation 16 3 2" xfId="6239" xr:uid="{C71BA84B-6C42-408E-B46C-018901510952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7 2" xfId="6315" xr:uid="{7F784C8D-FC13-495C-A8FF-AACFCDE30634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2 4" xfId="5660" xr:uid="{C719DE35-41F2-4501-B244-C6D611D7C501}"/>
    <cellStyle name="Calculation 2 2 3" xfId="3674" xr:uid="{1718B1CA-B296-4F88-91A1-CEFE7FA5ECD3}"/>
    <cellStyle name="Calculation 2 2 3 2" xfId="6237" xr:uid="{D33B57D9-1330-440F-8205-C179087C4F90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2 4" xfId="5661" xr:uid="{8BA3F18B-899C-465E-B0F4-1E34ED28D511}"/>
    <cellStyle name="Calculation 2 3 3" xfId="3673" xr:uid="{31BF3874-959B-4CF2-B304-75AE18E9AE5B}"/>
    <cellStyle name="Calculation 2 3 3 2" xfId="6236" xr:uid="{4AF2AD40-915E-47FD-802D-6669A7ACD43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4 4" xfId="5662" xr:uid="{CD24E0E1-76A4-47E0-9CCE-33886D16DBCD}"/>
    <cellStyle name="Calculation 2 5" xfId="3675" xr:uid="{057B7AF0-40C9-4BD3-844F-72456D2A9274}"/>
    <cellStyle name="Calculation 2 5 2" xfId="6238" xr:uid="{B1E5F01A-3D3D-482D-9D07-F888D8A9D723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2 4" xfId="5663" xr:uid="{5B119019-D644-4782-B270-DCE04EB9A617}"/>
    <cellStyle name="Calculation 3 3" xfId="3672" xr:uid="{E5879892-07DD-4EBC-907F-C27620EC2FC3}"/>
    <cellStyle name="Calculation 3 3 2" xfId="6235" xr:uid="{961CDB8A-08B9-419E-BA71-966DF9C5CD5C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2 4" xfId="5664" xr:uid="{96D56F60-6D1C-4EE5-9D4E-94D5FDE49895}"/>
    <cellStyle name="Calculation 4 3" xfId="3671" xr:uid="{6AEAFCB9-5231-47F7-9505-42C8FB83BBF0}"/>
    <cellStyle name="Calculation 4 3 2" xfId="6234" xr:uid="{4EBAA05C-8D75-409C-8E8F-D8B9CCBE8412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2 4" xfId="5665" xr:uid="{0BF107A8-F1E2-41AA-8F94-99BEFAD20221}"/>
    <cellStyle name="Calculation 5 3" xfId="3670" xr:uid="{42D94F41-20DA-4CF7-92DB-85197F0B8661}"/>
    <cellStyle name="Calculation 5 3 2" xfId="5872" xr:uid="{886369DF-B2C1-4794-AE29-5A82DC21C2CA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2 4" xfId="5666" xr:uid="{B25370E7-8871-47DC-AAE4-6E6E7D4B372D}"/>
    <cellStyle name="Calculation 6 3" xfId="3669" xr:uid="{BF3E1D3E-2AE4-4054-BB93-CAA66C993C5B}"/>
    <cellStyle name="Calculation 6 3 2" xfId="5871" xr:uid="{5ECE1C7E-1693-47D3-9BA2-4F608AEA7372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2 4" xfId="5667" xr:uid="{21712982-E90F-48C1-8189-6362F54C1004}"/>
    <cellStyle name="Calculation 7 3" xfId="3668" xr:uid="{C97DD6BA-705C-48D9-8EEF-EDD3731712CD}"/>
    <cellStyle name="Calculation 7 3 2" xfId="6233" xr:uid="{900C1BBB-7B1D-4D0E-BB8C-E851A0A667FC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2 4" xfId="5668" xr:uid="{DE3B8103-0CC7-494B-BCA4-BA8A7E3C9078}"/>
    <cellStyle name="Calculation 8 3" xfId="3667" xr:uid="{0926AF0E-11A0-4E04-BAA4-9550DDF02D6A}"/>
    <cellStyle name="Calculation 8 3 2" xfId="6232" xr:uid="{92E7B911-6E17-4A13-AE6E-143E0D4D4733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2 4" xfId="5669" xr:uid="{0063300F-42FA-444B-BE55-F6987360EFE2}"/>
    <cellStyle name="Calculation 9 3" xfId="3666" xr:uid="{97810E95-0FDD-4506-8D83-5627D31ED025}"/>
    <cellStyle name="Calculation 9 3 2" xfId="6231" xr:uid="{5C0E234E-DC49-4CA2-BB0F-33C822F66C07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2 2 2 3" xfId="5865" xr:uid="{CFC88387-8A08-4852-B273-31BC2FDD1285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0 5 2" xfId="5878" xr:uid="{D5C1394E-0064-481F-BE0E-6C34E13BFDE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2 3 2" xfId="5908" xr:uid="{5754AF1A-E115-4CC5-B8C6-06D218EC7FAD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1 4 2" xfId="5907" xr:uid="{11B28DAA-5F2C-4D78-8B6D-2E7E9241F03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2 3 2" xfId="5910" xr:uid="{D3C06349-4579-4828-A0EA-83315AD5ECAE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3 3 2" xfId="5911" xr:uid="{420D19B0-07DE-4FE2-99F1-F208EB0B1BAE}"/>
    <cellStyle name="Comma [0] 12 4" xfId="2902" xr:uid="{99BCCA6F-4BFA-416A-9F12-8C5740FF3EE9}"/>
    <cellStyle name="Comma [0] 12 4 2" xfId="5909" xr:uid="{AC24E446-F694-409D-955D-CFC5812C99E0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2 3 2" xfId="5912" xr:uid="{3C95B965-90D2-41B2-A7E3-6EAB84DD2A26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2 3 2" xfId="5914" xr:uid="{E66D23BB-17EF-4850-9795-E151D0FEAB1F}"/>
    <cellStyle name="Comma [0] 15 3" xfId="2906" xr:uid="{88246A47-5282-43D0-A8C7-336B9B16CA56}"/>
    <cellStyle name="Comma [0] 15 3 2" xfId="5913" xr:uid="{827A30C7-2A71-433F-9B5A-82AFCFF8D659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5915" xr:uid="{97747787-58C2-4DDA-9E11-FC5B75C3B14A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2 3 2" xfId="5917" xr:uid="{2F8521C4-7A4B-4F32-B063-4670C10CA1F0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8 4 2" xfId="5916" xr:uid="{1F01E25D-3A55-4BE8-9F46-EDFE60A6266B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2 3 2" xfId="5919" xr:uid="{FB6A1838-7C50-480F-BF2F-4A75E23EB824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19 4 2" xfId="5918" xr:uid="{92BC7928-84C4-426E-88B3-B52CBBE9305A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0 4 2" xfId="5920" xr:uid="{E8A1B8D4-1035-47BC-9DCA-1C02B956DB5D}"/>
    <cellStyle name="Comma [0] 2 11" xfId="566" xr:uid="{00000000-0005-0000-0000-000036020000}"/>
    <cellStyle name="Comma [0] 2 11 2" xfId="2914" xr:uid="{B84335E5-D1A8-4C73-ABD6-9CFFA0DB128C}"/>
    <cellStyle name="Comma [0] 2 11 2 2" xfId="5921" xr:uid="{41017BAC-B203-4F21-8126-DB38A0C70A17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13 2" xfId="5869" xr:uid="{2C253CB3-E593-445A-8EB1-E27F52D529D6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2 3 2" xfId="5928" xr:uid="{A198315C-49C9-443B-AFE4-CFA6B638F670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3 3 2" xfId="5929" xr:uid="{F787896D-5602-4216-A0C5-0B8D27BF656E}"/>
    <cellStyle name="Comma [0] 2 2 2 2 2 2 2 4" xfId="2920" xr:uid="{E692216F-B0B4-4BB9-A627-97233D982EC6}"/>
    <cellStyle name="Comma [0] 2 2 2 2 2 2 2 4 2" xfId="5927" xr:uid="{C47EA6A7-8624-4837-A057-DAD6603BE351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2 2" xfId="5930" xr:uid="{DB048320-BB96-4F30-903C-9D73585016EC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2 5 2" xfId="5926" xr:uid="{54F4B6B2-50B9-46CA-8505-4FF36D5DB3EA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3 3 2" xfId="5931" xr:uid="{9F4AD284-715F-476E-B5A1-4B28E80ADAB0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4 3 2" xfId="5932" xr:uid="{898804AB-0CDA-424B-9184-0B6544462A6C}"/>
    <cellStyle name="Comma [0] 2 2 2 2 2 5" xfId="2918" xr:uid="{AB84DAE5-3105-48EE-AFA8-0E5AF34EEB9C}"/>
    <cellStyle name="Comma [0] 2 2 2 2 2 5 2" xfId="5925" xr:uid="{F680DA34-C0E3-48DF-9754-B80D28707B77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2 2" xfId="5933" xr:uid="{A9E89DC5-BEBB-43A6-9F7E-DE6CF3ABB24B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2 2" xfId="5934" xr:uid="{E3E729F7-ABDD-4ACA-8112-EB01B78AA2FF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2 6 2" xfId="5924" xr:uid="{69B3EFCA-E1A3-41DA-9D16-620808F60CCA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3 3 2" xfId="5935" xr:uid="{7B183D69-8B22-4BA7-9B98-698DA961DD92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4 3 2" xfId="5936" xr:uid="{50D07B1F-CC46-4DE7-986B-36845C6F1E8D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5 3 2" xfId="5937" xr:uid="{DF0A944B-B9B9-4335-9373-2779958F5E9F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2 7 2" xfId="5923" xr:uid="{774DFB6B-BAD1-4517-8F94-8D41AD7C8C29}"/>
    <cellStyle name="Comma [0] 2 2 3" xfId="594" xr:uid="{00000000-0005-0000-0000-000052020000}"/>
    <cellStyle name="Comma [0] 2 2 3 2" xfId="2931" xr:uid="{32E5268B-9DF1-4288-BF30-D20B9C6D2E55}"/>
    <cellStyle name="Comma [0] 2 2 3 2 2" xfId="5938" xr:uid="{243FF904-F911-45F9-8B03-BD359D3B354C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2 2" xfId="5939" xr:uid="{B411B122-5B37-4432-A5B3-47105FBA2E0A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2 2" xfId="5940" xr:uid="{93FCC5C6-9779-461C-AF17-F30D2192BA75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6 3 2" xfId="5941" xr:uid="{30DAA191-051B-4B7C-9CB9-80E1658B2E1F}"/>
    <cellStyle name="Comma [0] 2 2 7" xfId="2915" xr:uid="{2396C483-A35D-4CC6-BD57-D086B88A80BF}"/>
    <cellStyle name="Comma [0] 2 2 7 2" xfId="5922" xr:uid="{64A8643B-82FA-4C72-BB53-DEB69F12B869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5945" xr:uid="{BCBC584C-848D-4A09-930B-4C1CFA34B793}"/>
    <cellStyle name="Comma [0] 2 3 2 2 3" xfId="603" xr:uid="{00000000-0005-0000-0000-00005B020000}"/>
    <cellStyle name="Comma [0] 2 3 2 2 3 2" xfId="2939" xr:uid="{596BCF8D-5EF1-48DD-9FFF-413CD04DFD17}"/>
    <cellStyle name="Comma [0] 2 3 2 2 3 2 2" xfId="5946" xr:uid="{A7DD3D88-59A8-4957-A879-16DA00559E86}"/>
    <cellStyle name="Comma [0] 2 3 2 2 4" xfId="604" xr:uid="{00000000-0005-0000-0000-00005C020000}"/>
    <cellStyle name="Comma [0] 2 3 2 2 4 2" xfId="2940" xr:uid="{ECB1F4D2-57F4-4718-9001-76BBE3F6A732}"/>
    <cellStyle name="Comma [0] 2 3 2 2 4 2 2" xfId="5947" xr:uid="{B552CC99-C817-46F6-9AD9-DED32AC3F878}"/>
    <cellStyle name="Comma [0] 2 3 2 2 5" xfId="2937" xr:uid="{4F2065BE-C375-489B-AD1D-DDE89C9B7E76}"/>
    <cellStyle name="Comma [0] 2 3 2 2 5 2" xfId="5944" xr:uid="{59FF84FB-D4BF-4D28-BDCC-2FC76FC73DDD}"/>
    <cellStyle name="Comma [0] 2 3 2 3" xfId="605" xr:uid="{00000000-0005-0000-0000-00005D020000}"/>
    <cellStyle name="Comma [0] 2 3 2 3 2" xfId="2941" xr:uid="{CED98DFE-1352-4E51-9F1A-3FA1B827D6EC}"/>
    <cellStyle name="Comma [0] 2 3 2 3 2 2" xfId="5948" xr:uid="{958053FD-1407-4B56-9CAE-86C08383CCF7}"/>
    <cellStyle name="Comma [0] 2 3 2 4" xfId="606" xr:uid="{00000000-0005-0000-0000-00005E020000}"/>
    <cellStyle name="Comma [0] 2 3 2 4 2" xfId="2942" xr:uid="{E98C71C7-A7C3-4B73-9F2A-70516F14EC44}"/>
    <cellStyle name="Comma [0] 2 3 2 4 2 2" xfId="5949" xr:uid="{7870997D-1798-4D85-8D61-74D3AAB4E0B8}"/>
    <cellStyle name="Comma [0] 2 3 2 5" xfId="607" xr:uid="{00000000-0005-0000-0000-00005F020000}"/>
    <cellStyle name="Comma [0] 2 3 2 5 2" xfId="2943" xr:uid="{554DB2DB-A28C-4ECE-853F-60478B697195}"/>
    <cellStyle name="Comma [0] 2 3 2 5 2 2" xfId="5950" xr:uid="{BD3078B3-5006-4035-AA88-87A141F54B3A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2 7 2" xfId="5943" xr:uid="{54B5C3E3-3DCF-4A95-B8FC-69170F925B74}"/>
    <cellStyle name="Comma [0] 2 3 3" xfId="609" xr:uid="{00000000-0005-0000-0000-000061020000}"/>
    <cellStyle name="Comma [0] 2 3 3 2" xfId="2944" xr:uid="{75C07F8B-10FA-428F-B5AF-D7408772A93F}"/>
    <cellStyle name="Comma [0] 2 3 3 2 2" xfId="5951" xr:uid="{C5A5EA24-68B1-418C-A943-55E4DAF4DB88}"/>
    <cellStyle name="Comma [0] 2 3 4" xfId="610" xr:uid="{00000000-0005-0000-0000-000062020000}"/>
    <cellStyle name="Comma [0] 2 3 4 2" xfId="2945" xr:uid="{99DA39E1-6D04-49F0-AA1D-4C9A9AA2DC2D}"/>
    <cellStyle name="Comma [0] 2 3 4 2 2" xfId="5952" xr:uid="{DF28F4F6-686A-467D-A4AF-31D8D09453F7}"/>
    <cellStyle name="Comma [0] 2 3 5" xfId="611" xr:uid="{00000000-0005-0000-0000-000063020000}"/>
    <cellStyle name="Comma [0] 2 3 5 2" xfId="2946" xr:uid="{88EB56F1-C5A9-4CA0-9060-8E9A1D34AD43}"/>
    <cellStyle name="Comma [0] 2 3 5 2 2" xfId="5953" xr:uid="{44744D88-FF4E-4037-B584-A4DC8D7D2C1C}"/>
    <cellStyle name="Comma [0] 2 3 6" xfId="612" xr:uid="{00000000-0005-0000-0000-000064020000}"/>
    <cellStyle name="Comma [0] 2 3 6 2" xfId="2947" xr:uid="{0ABD82E6-C053-4F02-BAAF-725C3DAC707A}"/>
    <cellStyle name="Comma [0] 2 3 6 2 2" xfId="5954" xr:uid="{030892C3-CAE7-48CD-AAC0-893FD4167166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3 9 2" xfId="5942" xr:uid="{F16F4E42-A4E7-4C69-9BC9-D84A2A254CC8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5955" xr:uid="{444F3BD4-84A8-4BB5-9A49-4C43C501CDDF}"/>
    <cellStyle name="Comma [0] 2 4 3" xfId="617" xr:uid="{00000000-0005-0000-0000-000069020000}"/>
    <cellStyle name="Comma [0] 2 4 3 2" xfId="2949" xr:uid="{D22154D5-FB0A-4B6D-AFFB-A32EB77CEC45}"/>
    <cellStyle name="Comma [0] 2 4 3 2 2" xfId="5956" xr:uid="{E7288043-4172-40DD-974A-70F76EE79DAC}"/>
    <cellStyle name="Comma [0] 2 4 4" xfId="618" xr:uid="{00000000-0005-0000-0000-00006A020000}"/>
    <cellStyle name="Comma [0] 2 4 4 2" xfId="2950" xr:uid="{93EE83AB-F827-45C5-A385-BB151E117EA5}"/>
    <cellStyle name="Comma [0] 2 4 4 2 2" xfId="5957" xr:uid="{5F4592DE-04C2-47C1-92E3-785592F5622A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5 3 2" xfId="5958" xr:uid="{B602F57D-CA4B-486D-A7A5-119492DC8C8B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5960" xr:uid="{4960B9E7-E3D4-4A79-A4B6-A7BDABB48767}"/>
    <cellStyle name="Comma [0] 2 5 3" xfId="624" xr:uid="{00000000-0005-0000-0000-000070020000}"/>
    <cellStyle name="Comma [0] 2 5 3 2" xfId="2954" xr:uid="{1CB494BF-573A-4AE9-9D86-1D5D1B966344}"/>
    <cellStyle name="Comma [0] 2 5 3 2 2" xfId="5961" xr:uid="{9170A627-C1CE-438B-9FF7-BEDFD751A046}"/>
    <cellStyle name="Comma [0] 2 5 4" xfId="625" xr:uid="{00000000-0005-0000-0000-000071020000}"/>
    <cellStyle name="Comma [0] 2 5 4 2" xfId="2955" xr:uid="{32F73D2A-93B2-43B1-BCA7-B5716CBCB738}"/>
    <cellStyle name="Comma [0] 2 5 4 2 2" xfId="5962" xr:uid="{555B00AE-6837-4C9D-95C3-50CD981C9553}"/>
    <cellStyle name="Comma [0] 2 5 5" xfId="2952" xr:uid="{26B3FA34-240A-4F6F-9103-476214700031}"/>
    <cellStyle name="Comma [0] 2 5 5 2" xfId="5959" xr:uid="{088A884A-C719-4AE2-9BC7-71F2B284DC96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5968" xr:uid="{A95FEBEF-237A-40CD-B02B-8B65F7B9AF6D}"/>
    <cellStyle name="Comma [0] 2 6 2 2 2 2 3" xfId="632" xr:uid="{00000000-0005-0000-0000-000078020000}"/>
    <cellStyle name="Comma [0] 2 6 2 2 2 2 3 2" xfId="2962" xr:uid="{5D16E8D0-318A-4419-8E68-6EFB4576E169}"/>
    <cellStyle name="Comma [0] 2 6 2 2 2 2 3 2 2" xfId="5969" xr:uid="{D0058540-FA76-4BB5-9EB2-E9A7563BFE0B}"/>
    <cellStyle name="Comma [0] 2 6 2 2 2 2 4" xfId="633" xr:uid="{00000000-0005-0000-0000-000079020000}"/>
    <cellStyle name="Comma [0] 2 6 2 2 2 2 4 2" xfId="2963" xr:uid="{5187E8D2-8F63-4FBC-A55F-781986F95BA6}"/>
    <cellStyle name="Comma [0] 2 6 2 2 2 2 4 2 2" xfId="5970" xr:uid="{0CCEE239-98FA-4679-8676-1A044EDFBB5C}"/>
    <cellStyle name="Comma [0] 2 6 2 2 2 2 5" xfId="634" xr:uid="{00000000-0005-0000-0000-00007A020000}"/>
    <cellStyle name="Comma [0] 2 6 2 2 2 2 5 2" xfId="2964" xr:uid="{36C86C94-3A2C-4805-8AD0-A9F48AA7FAFC}"/>
    <cellStyle name="Comma [0] 2 6 2 2 2 2 5 2 2" xfId="5971" xr:uid="{EA5C9B65-41B3-4A6E-8809-B6D20805EE02}"/>
    <cellStyle name="Comma [0] 2 6 2 2 2 2 6" xfId="2960" xr:uid="{5ED57133-7263-4B49-8681-335DAB2B56FC}"/>
    <cellStyle name="Comma [0] 2 6 2 2 2 2 6 2" xfId="5967" xr:uid="{13A9B964-5120-4CBF-B730-5D55C9680EB0}"/>
    <cellStyle name="Comma [0] 2 6 2 2 2 3" xfId="635" xr:uid="{00000000-0005-0000-0000-00007B020000}"/>
    <cellStyle name="Comma [0] 2 6 2 2 2 3 2" xfId="2965" xr:uid="{573B27F4-3C50-4DA4-9535-A3CAB1A8E888}"/>
    <cellStyle name="Comma [0] 2 6 2 2 2 3 2 2" xfId="5972" xr:uid="{A52D06E2-9862-4C8B-BB48-CFEE25ABC428}"/>
    <cellStyle name="Comma [0] 2 6 2 2 2 4" xfId="636" xr:uid="{00000000-0005-0000-0000-00007C020000}"/>
    <cellStyle name="Comma [0] 2 6 2 2 2 4 2" xfId="2966" xr:uid="{CA51E3C2-AE26-4B5B-A1A9-E6D37D6FDB80}"/>
    <cellStyle name="Comma [0] 2 6 2 2 2 4 2 2" xfId="5973" xr:uid="{60D0D369-BD10-44C4-B9AE-642DE35D9A86}"/>
    <cellStyle name="Comma [0] 2 6 2 2 2 5" xfId="637" xr:uid="{00000000-0005-0000-0000-00007D020000}"/>
    <cellStyle name="Comma [0] 2 6 2 2 2 5 2" xfId="2967" xr:uid="{75C7D9BE-EBE6-48B5-AF3D-B42A805100BB}"/>
    <cellStyle name="Comma [0] 2 6 2 2 2 5 2 2" xfId="5974" xr:uid="{E8F07F6A-3905-4751-9138-7E6B969D5CE0}"/>
    <cellStyle name="Comma [0] 2 6 2 2 2 6" xfId="2959" xr:uid="{64914DA9-E908-4050-BD49-E4F63989D574}"/>
    <cellStyle name="Comma [0] 2 6 2 2 2 6 2" xfId="5966" xr:uid="{0EECEFC6-762D-40F3-A896-1EFC469C86DA}"/>
    <cellStyle name="Comma [0] 2 6 2 2 3" xfId="638" xr:uid="{00000000-0005-0000-0000-00007E020000}"/>
    <cellStyle name="Comma [0] 2 6 2 2 3 2" xfId="2968" xr:uid="{5D5240EB-ACE1-45A4-AF40-BECDEBAE9853}"/>
    <cellStyle name="Comma [0] 2 6 2 2 3 2 2" xfId="5975" xr:uid="{5008C2FC-8E5D-4618-B5B5-674D21383231}"/>
    <cellStyle name="Comma [0] 2 6 2 2 4" xfId="639" xr:uid="{00000000-0005-0000-0000-00007F020000}"/>
    <cellStyle name="Comma [0] 2 6 2 2 4 2" xfId="2969" xr:uid="{E7B1C0A4-7E2E-4353-8C1B-66B198346490}"/>
    <cellStyle name="Comma [0] 2 6 2 2 4 2 2" xfId="5976" xr:uid="{89F15464-0F80-44FB-8585-333856EB0B7E}"/>
    <cellStyle name="Comma [0] 2 6 2 2 5" xfId="640" xr:uid="{00000000-0005-0000-0000-000080020000}"/>
    <cellStyle name="Comma [0] 2 6 2 2 5 2" xfId="2970" xr:uid="{1B776225-32D8-4A8E-AFC3-AF755FF1E99D}"/>
    <cellStyle name="Comma [0] 2 6 2 2 5 2 2" xfId="5977" xr:uid="{E488F3C5-724F-462C-81EE-C99D2BD3923D}"/>
    <cellStyle name="Comma [0] 2 6 2 2 6" xfId="2958" xr:uid="{80332999-120B-4891-AFDE-A9B76F570B94}"/>
    <cellStyle name="Comma [0] 2 6 2 2 6 2" xfId="5965" xr:uid="{D15D4ECB-3F31-40A7-90B3-3B7965D6D889}"/>
    <cellStyle name="Comma [0] 2 6 2 3" xfId="641" xr:uid="{00000000-0005-0000-0000-000081020000}"/>
    <cellStyle name="Comma [0] 2 6 2 3 2" xfId="2971" xr:uid="{3DAD9B34-3DEA-4549-926C-F7996A1CD24F}"/>
    <cellStyle name="Comma [0] 2 6 2 3 2 2" xfId="5978" xr:uid="{5D2D49ED-9D27-46A4-8A1D-93EB316CC2BF}"/>
    <cellStyle name="Comma [0] 2 6 2 4" xfId="642" xr:uid="{00000000-0005-0000-0000-000082020000}"/>
    <cellStyle name="Comma [0] 2 6 2 4 2" xfId="2972" xr:uid="{DAC05CB6-3FDE-4AC4-AB10-6EDE70376440}"/>
    <cellStyle name="Comma [0] 2 6 2 4 2 2" xfId="5979" xr:uid="{89678B89-849D-4155-90F3-C2BF5385D7BD}"/>
    <cellStyle name="Comma [0] 2 6 2 5" xfId="643" xr:uid="{00000000-0005-0000-0000-000083020000}"/>
    <cellStyle name="Comma [0] 2 6 2 5 2" xfId="2973" xr:uid="{D82D8FF8-4E97-4260-B91E-9210B8F3D15D}"/>
    <cellStyle name="Comma [0] 2 6 2 5 2 2" xfId="5980" xr:uid="{FE85C322-C7C4-455D-B0B6-75E2EDAE8374}"/>
    <cellStyle name="Comma [0] 2 6 2 6" xfId="2957" xr:uid="{3A1A5F73-B882-4D93-AB58-C1ABC3864011}"/>
    <cellStyle name="Comma [0] 2 6 2 6 2" xfId="5964" xr:uid="{90F823EA-8FF0-409C-9667-507D454EEAA8}"/>
    <cellStyle name="Comma [0] 2 6 3" xfId="644" xr:uid="{00000000-0005-0000-0000-000084020000}"/>
    <cellStyle name="Comma [0] 2 6 3 2" xfId="2974" xr:uid="{2AA3CDD8-31FA-4E05-B029-6287B40C5C2C}"/>
    <cellStyle name="Comma [0] 2 6 3 2 2" xfId="5981" xr:uid="{5F954D73-041A-4447-B74C-8ACE4B721250}"/>
    <cellStyle name="Comma [0] 2 6 4" xfId="645" xr:uid="{00000000-0005-0000-0000-000085020000}"/>
    <cellStyle name="Comma [0] 2 6 4 2" xfId="2975" xr:uid="{A45B843A-903C-4D28-BE2A-DFA62308DCEC}"/>
    <cellStyle name="Comma [0] 2 6 4 2 2" xfId="5982" xr:uid="{9ECCEC54-9D7E-4429-8F6C-B598504168E0}"/>
    <cellStyle name="Comma [0] 2 6 5" xfId="646" xr:uid="{00000000-0005-0000-0000-000086020000}"/>
    <cellStyle name="Comma [0] 2 6 5 2" xfId="2976" xr:uid="{39B9C1A7-0CD9-4C18-88BB-1E7F7D48F97B}"/>
    <cellStyle name="Comma [0] 2 6 5 2 2" xfId="5983" xr:uid="{93B2D7AF-2C3C-417B-A5D2-0737AC891E7C}"/>
    <cellStyle name="Comma [0] 2 6 6" xfId="2956" xr:uid="{A746D29E-45A2-45AE-9052-AD19E2FD2F49}"/>
    <cellStyle name="Comma [0] 2 6 6 2" xfId="5963" xr:uid="{CC7D96E2-FE02-4BCD-8492-67C00E87547E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7 3 2" xfId="5984" xr:uid="{47236ACF-1C7F-43FF-8E99-360147CDB05F}"/>
    <cellStyle name="Comma [0] 2 8" xfId="649" xr:uid="{00000000-0005-0000-0000-000089020000}"/>
    <cellStyle name="Comma [0] 2 8 2" xfId="2978" xr:uid="{3C7CD232-5543-4878-A7D0-A8E81E2AB151}"/>
    <cellStyle name="Comma [0] 2 8 2 2" xfId="5985" xr:uid="{607441F1-23FF-4060-B2B9-A107C9E52398}"/>
    <cellStyle name="Comma [0] 2 9" xfId="650" xr:uid="{00000000-0005-0000-0000-00008A020000}"/>
    <cellStyle name="Comma [0] 2 9 2" xfId="2979" xr:uid="{2245032A-2CB2-471D-9872-56BBCE142C98}"/>
    <cellStyle name="Comma [0] 2 9 2 2" xfId="5986" xr:uid="{60550C43-53D7-423E-9238-3745DA6D62F1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5987" xr:uid="{48F2F852-92E7-4784-A81A-C2C849057B9C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2 2" xfId="5988" xr:uid="{98775345-1CA4-4645-95CE-A863E151C87E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2 3 2" xfId="5990" xr:uid="{F402E291-9767-4F92-B68C-FD95AC41191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4 4 2" xfId="5989" xr:uid="{0285400B-24D4-44B7-A104-B753CE4B53F3}"/>
    <cellStyle name="Comma [0] 25" xfId="661" xr:uid="{00000000-0005-0000-0000-000095020000}"/>
    <cellStyle name="Comma [0] 25 2" xfId="2984" xr:uid="{6628C05C-7FA3-4B8D-A85D-4B8C4245C18D}"/>
    <cellStyle name="Comma [0] 25 2 2" xfId="5991" xr:uid="{BCB9ED0D-DBE4-45D8-B4CE-D4272BC971BF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7 3 2" xfId="5992" xr:uid="{398A9567-20C5-4C08-A95F-0F8BB703F215}"/>
    <cellStyle name="Comma [0] 28" xfId="5322" xr:uid="{49687FDF-4BAF-4F8C-A62B-0868C6A0E6D8}"/>
    <cellStyle name="Comma [0] 29" xfId="5867" xr:uid="{1C87ECD3-D616-48D3-905A-DF65393FE8FD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5994" xr:uid="{B4E82B41-E27B-4FFF-930F-AAE5910966D7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2 4 2" xfId="5993" xr:uid="{7303B3FB-6D50-4E0D-809D-43B750A19342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 4 2" xfId="5876" xr:uid="{AFDDD0ED-9188-4C14-AF6E-0CB83B128ECC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2 3 2" xfId="5995" xr:uid="{3AE0904B-0CD7-47D4-9279-64AA31AE9EE7}"/>
    <cellStyle name="Comma [0] 35" xfId="672" xr:uid="{00000000-0005-0000-0000-0000A0020000}"/>
    <cellStyle name="Comma [0] 35 2" xfId="2989" xr:uid="{40F35AD8-CDA9-4210-A287-C9C7D75C0098}"/>
    <cellStyle name="Comma [0] 35 2 2" xfId="5996" xr:uid="{42877309-D590-4F01-A0BE-23F29E84CDF3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2 3 2" xfId="5998" xr:uid="{6EBDAE7F-C3AD-4D14-8AE6-C89FE56BE903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3 3 2" xfId="5999" xr:uid="{C063C2D5-B5AA-4ABD-866C-6D48DC7FCE4F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4 7 2" xfId="5997" xr:uid="{851BC632-7F3A-4DB7-924B-2443D72B2E9A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6001" xr:uid="{F43BA97F-1357-4987-9CE5-222887DC7722}"/>
    <cellStyle name="Comma [0] 5 3" xfId="684" xr:uid="{00000000-0005-0000-0000-0000AC020000}"/>
    <cellStyle name="Comma [0] 5 3 2" xfId="2995" xr:uid="{C96C6F93-357F-45C2-AB12-52E153BFACDC}"/>
    <cellStyle name="Comma [0] 5 3 2 2" xfId="6002" xr:uid="{34124876-1C41-4FCD-BF02-EAD6BB6FE871}"/>
    <cellStyle name="Comma [0] 5 4" xfId="2993" xr:uid="{BCBC6E3E-D099-4B6C-A6E0-3D59FC851EEE}"/>
    <cellStyle name="Comma [0] 5 4 2" xfId="6000" xr:uid="{90373786-E466-4DD2-A46B-88F898C43AA8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6004" xr:uid="{69910719-3234-4FD9-9724-C242EB656D18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3 3 2" xfId="6005" xr:uid="{A8DD1941-C589-4A7B-B390-AFA6C06EE611}"/>
    <cellStyle name="Comma [0] 6 4" xfId="2996" xr:uid="{689AA435-C4B9-449E-B61E-493F7683EB8D}"/>
    <cellStyle name="Comma [0] 6 4 2" xfId="6003" xr:uid="{D7FF8358-CF42-4575-960C-96C41200393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2 3 2" xfId="6006" xr:uid="{B2EC1A3F-8426-47BC-B5F3-3534EB42329E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2 3 2" xfId="6008" xr:uid="{9E39717B-D0ED-421A-B18E-850AE19B46B8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3 3 2" xfId="6009" xr:uid="{B90700E6-F879-4B8E-9DFB-90B1654DD998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8 5 2" xfId="6007" xr:uid="{1A9FC068-ED4B-4A42-8F81-5E69DC45E6F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2 3 2" xfId="6011" xr:uid="{A09B37B5-3368-4ECF-BA01-37CF40E0F717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3 3 2" xfId="6012" xr:uid="{3164D24D-548F-489C-A1AD-E4341052F822}"/>
    <cellStyle name="Comma [0] 9 4" xfId="3003" xr:uid="{F49A75C6-0625-46F4-9683-B2B3464141AF}"/>
    <cellStyle name="Comma [0] 9 4 2" xfId="6010" xr:uid="{4B6939F2-2B3A-46A0-BDB2-E09502E12BE6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0 3 2" xfId="6013" xr:uid="{E40AC67A-1AB8-47BA-87B8-586D2EF006E4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1 3 2" xfId="6014" xr:uid="{C8E1ACE6-F0FD-4409-9E6A-BA7FA7144F24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3 3 2" xfId="6015" xr:uid="{0BDDCEF4-CF04-43F2-989F-8847F1BD6AC4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] 94 3 2" xfId="6016" xr:uid="{4F9A1B49-7BA1-4EB8-920F-AE878A6F050D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6316" xr:uid="{8561FDAD-6A2F-40F3-AF1F-B83C724E5405}"/>
    <cellStyle name="Comma 10 2 2 3" xfId="3011" xr:uid="{E8BADA5B-B244-4ED0-8E19-35CF583BD885}"/>
    <cellStyle name="Comma 10 2 2 3 2" xfId="6018" xr:uid="{E13252A0-CF3B-4E59-B7E1-27FA4116767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2 4 2" xfId="6017" xr:uid="{BDCAA56E-4309-4737-BF44-F08BB1E5FC8C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3 3 2" xfId="6019" xr:uid="{921CBD2E-362E-4523-97E3-BC831ADF4202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4 3 2" xfId="6020" xr:uid="{C939A0D7-4EC6-48EF-980E-00D1E30F238C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5 3 2" xfId="6021" xr:uid="{335796B2-0636-4ED0-84BB-B4F8E495F142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6 3 2" xfId="6022" xr:uid="{C9D875F7-9693-4BDD-A6A0-089C13D4DF2F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1 3 2" xfId="6023" xr:uid="{744C2CA9-440E-4173-B704-5C0DDCDE4FAB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2 3 2" xfId="6025" xr:uid="{14EBE838-EEDB-44F5-8B0B-34688F25F7E6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3 3 2" xfId="6026" xr:uid="{5BC52B3A-EB4A-4E18-815E-F141177EBAC8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4 3 2" xfId="6027" xr:uid="{95B06F6E-5886-44D3-8FA1-6A2FB6942EFF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5 3 2" xfId="6028" xr:uid="{55964DD7-3172-4D5B-BC06-73D1720F3374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6 3 2" xfId="6029" xr:uid="{52702E7A-1FBE-4CD3-B397-741F25B8D395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2 8 2" xfId="6024" xr:uid="{42E743CB-8498-4D25-BB17-4107ED724FF8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2 3 2" xfId="6031" xr:uid="{C56480FC-63CA-4A41-A583-730ABD056986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3 4 2" xfId="6030" xr:uid="{FA0F56CC-8896-44E8-9005-CC2CA9EAA05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2 3 2" xfId="6034" xr:uid="{EEE340A8-C1F4-4B2F-AEAE-6599B1305D0B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2 4 2" xfId="6033" xr:uid="{420FA901-4458-44B0-B93E-CA3612B3112D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4 4 2" xfId="6032" xr:uid="{1451E360-0B83-4590-B49B-6613838C5CF9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2 3 2" xfId="6036" xr:uid="{D83C1192-C3C7-430F-87F3-DC3CE149C4CF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3 3 2" xfId="6037" xr:uid="{7126D141-2128-488E-93E5-EE924E55A5C7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4 3 2" xfId="6038" xr:uid="{86FC595E-7533-4C4E-87DC-BD5673C0EB8B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5 6 2" xfId="6035" xr:uid="{30049486-6E03-47C4-BE41-8DFCBF561EE4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6 3 2" xfId="6039" xr:uid="{E6E96C96-8739-4F48-B1D8-242818204C92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2 3 2" xfId="6041" xr:uid="{0DA4C6A7-E211-4EC9-BDCB-9D7A011D9A75}"/>
    <cellStyle name="Comma 17 3" xfId="3033" xr:uid="{818BF886-F484-4354-BBF0-E51D3F2320F9}"/>
    <cellStyle name="Comma 17 3 2" xfId="6040" xr:uid="{877CA9C8-4F40-4D12-A15C-C4702FDFD597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2 3 2" xfId="6043" xr:uid="{0D5DEA0A-82C3-41A2-AF4B-D0516A0BA5E5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8 4 2" xfId="6042" xr:uid="{E14A937B-C6B5-4712-9F20-8A3A2E039BFB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6045" xr:uid="{88D1A8D2-3E35-41F4-8298-455A9056DBCE}"/>
    <cellStyle name="Comma 19 3" xfId="772" xr:uid="{00000000-0005-0000-0000-000004030000}"/>
    <cellStyle name="Comma 19 3 2" xfId="3039" xr:uid="{7D4004BC-F4C9-4715-9D24-8C30366989F3}"/>
    <cellStyle name="Comma 19 3 2 2" xfId="6046" xr:uid="{9827811E-8997-45EE-82CF-75F7D8BE902B}"/>
    <cellStyle name="Comma 19 4" xfId="773" xr:uid="{00000000-0005-0000-0000-000005030000}"/>
    <cellStyle name="Comma 19 4 2" xfId="3040" xr:uid="{45986635-CE21-460F-AF39-154B29ED41E2}"/>
    <cellStyle name="Comma 19 4 2 2" xfId="6047" xr:uid="{BCF48D93-E39C-420E-8C34-9C46C460F638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19 6 2" xfId="6044" xr:uid="{751E7762-9FF5-439D-8D45-F90E19658E09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0 3 2" xfId="6048" xr:uid="{06D5308F-855D-481A-B754-DB6878FBC6E4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1 3 2" xfId="6049" xr:uid="{6608615F-EB9D-467F-96E5-3E95F12FC7DE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2 3 2" xfId="6050" xr:uid="{1CBDDD60-0CF4-418E-9C46-5E59789ADC72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3 3 2" xfId="6051" xr:uid="{FF06B802-526C-4BD6-8BC4-FE0A27130595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4 3 2" xfId="6052" xr:uid="{C22C3CC1-3839-4D7A-8AE4-ECFD573E4B3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5 3 2" xfId="6053" xr:uid="{A96EC0A4-2F6B-40F6-A6F4-CD2EA8A8D0CC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6 3 2" xfId="6054" xr:uid="{E4CBD97B-0059-4879-9FA1-8B01B25996D1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7 3 2" xfId="6055" xr:uid="{2A7CA050-6F7E-4F18-9F2E-54AC4D51F192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8 3 2" xfId="6056" xr:uid="{C8C4F6E6-9307-4E6E-B325-2BC673AFBE98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19 3 2" xfId="6057" xr:uid="{8472C1CE-A066-449F-AD3A-0B8B4D76F96E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2 3 2" xfId="6063" xr:uid="{796AC5F0-8D6C-44CA-99A4-E322770B2C17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3 3 2" xfId="6064" xr:uid="{0D42D632-9B2C-4ADC-82CE-28CD10FBA0D1}"/>
    <cellStyle name="Comma 2 2 2 2 2 2 2 4" xfId="3055" xr:uid="{A5F63825-5350-4D7B-9D88-09A52BA42B0B}"/>
    <cellStyle name="Comma 2 2 2 2 2 2 2 4 2" xfId="6062" xr:uid="{19940C05-CFE3-481C-B8C5-E88CA702B12E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2 2" xfId="6065" xr:uid="{B2FF27D8-8E54-4F67-809F-50707B083C17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2 5 2" xfId="6061" xr:uid="{377E7525-C41C-4236-B498-347FC071EAF3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3 3 2" xfId="6066" xr:uid="{B13A5F6E-95D3-4918-91BD-E4DF891BFA33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4 3 2" xfId="6067" xr:uid="{A1579472-872E-4D00-9F31-BE6583E93F0C}"/>
    <cellStyle name="Comma 2 2 2 2 2 5" xfId="3053" xr:uid="{292E16A3-50C0-4300-B2A0-C61C77350C20}"/>
    <cellStyle name="Comma 2 2 2 2 2 5 2" xfId="6060" xr:uid="{81DCE828-7A5E-405B-8153-0E1A0A742841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2 2" xfId="6068" xr:uid="{B072EB9F-69A8-44C6-BABB-3BBE531D98C4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2 2" xfId="6069" xr:uid="{55863F81-BB21-4936-9E2A-1357716BE9B7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2 6 2" xfId="6059" xr:uid="{F7787598-CC3C-4BD4-937C-DAB1707F5312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3 3 2" xfId="6070" xr:uid="{A530F8EB-31F4-4259-B60D-877C6014DEA8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4 3 2" xfId="6071" xr:uid="{31DEAFB2-9682-40E8-8920-5223A49E5AA8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5 3 2" xfId="6072" xr:uid="{9C20D3C4-1FEB-460F-B63F-8B4B7A9F84DE}"/>
    <cellStyle name="Comma 2 2 2 6" xfId="3051" xr:uid="{6BB74C52-7C4A-42E6-8EEE-864D18B444ED}"/>
    <cellStyle name="Comma 2 2 2 6 2" xfId="6058" xr:uid="{E505BF87-F263-4490-A519-C09FE1CCFBFE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3 3 2" xfId="6073" xr:uid="{89FBDF5A-3269-4D74-9041-DFA210841D04}"/>
    <cellStyle name="Comma 2 2 4" xfId="823" xr:uid="{00000000-0005-0000-0000-000037030000}"/>
    <cellStyle name="Comma 2 2 4 2" xfId="3067" xr:uid="{D327E1DC-367F-4D39-84A6-E24CC3A29998}"/>
    <cellStyle name="Comma 2 2 4 2 2" xfId="6074" xr:uid="{B61C3460-0C64-4E1D-B521-400B8080F08B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2 2" xfId="6075" xr:uid="{D751EC18-E976-4DA4-9E13-F8B268070C8D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6 2 2" xfId="6076" xr:uid="{25B030DA-28E8-4526-AB0C-291F8E3A46CB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0 3 2" xfId="6077" xr:uid="{34D55F28-C7E3-466E-9A77-38B7C694F7C8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1 3 2" xfId="6078" xr:uid="{4D0DAF37-1487-4FB6-8EB1-849980A5A044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2 3 2" xfId="6079" xr:uid="{9D33CFB8-F86B-453A-A8CE-FD8EC5F19745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3 3 2" xfId="6080" xr:uid="{0AEF8C79-2398-4DAC-958C-E119B999C3AC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4 3 2" xfId="6081" xr:uid="{76E6B85F-8A63-4106-A75D-68E1B33104BB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5 3 2" xfId="6082" xr:uid="{4DFF5E58-3AB3-4676-BA3C-4E8C300FB832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6 3 2" xfId="6083" xr:uid="{4C1669C7-B725-461F-B2A6-0A59495EA47F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7 3 2" xfId="6084" xr:uid="{3C6C86F1-7BE6-4A0C-A3E1-53BF460CAAAD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8 3 2" xfId="6085" xr:uid="{C172189F-6D83-4BA9-92EC-756CFF731292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29 3 2" xfId="6086" xr:uid="{1339670D-7F18-47F4-9D9A-2F0D0C1F1F65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 3 2" xfId="6087" xr:uid="{30E5D42B-C2D8-4D1E-A012-D7FAD6DC0500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0 3 2" xfId="6088" xr:uid="{25E8BDA0-6BEC-4792-9A30-EA0EF8FB87E2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1 3 2" xfId="6089" xr:uid="{51718B34-E0EC-4909-BDF1-4E026351EE2B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2 3 2" xfId="6090" xr:uid="{441028F8-BC55-4AC2-B831-F51D4DE2FBCC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3 3 2" xfId="6091" xr:uid="{69F594DD-51C1-4EBE-9E5A-4A6D369779FE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4 3 2" xfId="6092" xr:uid="{BF9D68C1-2E88-4AD4-AD44-214105026BD7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5 3 2" xfId="6093" xr:uid="{C35261AF-AD21-4A84-B872-3DDEFEF09641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6 3 2" xfId="6094" xr:uid="{0AA1E406-2AEA-48A7-AE91-5164AAFA87BF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7 3 2" xfId="6095" xr:uid="{0218C1D4-30D1-4138-BB7F-FDF751CB1C03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8 3 2" xfId="6096" xr:uid="{79C08A80-4CF0-44CE-91D1-B47937A5C760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39 3 2" xfId="6097" xr:uid="{C9CE7560-D8F9-48D9-B44C-E5A066421CE5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0 3 2" xfId="6098" xr:uid="{11433E05-5064-4991-A7B2-DF0A5C5C2E70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1 3 2" xfId="6099" xr:uid="{03798B16-E655-4CDB-B8DD-626B126B33BE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2 3 2" xfId="6100" xr:uid="{0ACCFB44-8630-4F0C-A0D8-BD4A0C90C195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3 3 2" xfId="6101" xr:uid="{DFD625F2-C009-45A0-B630-17825135ED02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4 3 2" xfId="6102" xr:uid="{193044A1-A519-402A-934F-C231B8FF82A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5 3 2" xfId="6103" xr:uid="{3040DC70-3A09-4AE9-B141-8A0927ED8D51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6 3 2" xfId="6104" xr:uid="{1696B888-A6E9-457B-AB9C-AFEA7E1D7AB5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7 3 2" xfId="6105" xr:uid="{281C522B-782A-43B0-9A44-A008996A8D2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8 3 2" xfId="6106" xr:uid="{201F4BDD-E7B4-4ACF-AB64-DA936306020A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49 3 2" xfId="6107" xr:uid="{CF28F60D-3213-4759-B0B5-9865C81BF1ED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 3 2" xfId="6108" xr:uid="{78D6F113-DD4B-40FD-9B45-328E710D1D5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0 3 2" xfId="6109" xr:uid="{13B91136-E126-4F9B-B0B8-16D87DEC43BD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1 3 2" xfId="6110" xr:uid="{E7DEA4C3-3CCF-48BA-8CE2-06383CFA913C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2 3 2" xfId="6111" xr:uid="{52A07BD2-B1AE-448D-B56F-373A4EB12919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3 3 2" xfId="6112" xr:uid="{FA17C648-739B-4C3D-88B8-C41124255C48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4 3 2" xfId="6113" xr:uid="{5F1D9D9C-E8F9-48E8-9382-E34BE83DD1FE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5 3 2" xfId="6114" xr:uid="{65C16A23-670A-44F1-8DF3-ADB7CA15293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6 3 2" xfId="6115" xr:uid="{9450B7AF-9175-41AA-9120-67CCD4C13813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7 3 2" xfId="6116" xr:uid="{2A2CD657-5DA2-4410-938B-5BF2C634DBE5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2 3 2" xfId="6118" xr:uid="{83834AD6-9AB5-44B7-A878-8711C5115245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3 3 2" xfId="6119" xr:uid="{B00D664F-9264-4110-9FE5-31F7F33A59A4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4 3 2" xfId="6120" xr:uid="{F5885EE1-E6B2-498D-8F2E-79C274E02092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8 6 2" xfId="6117" xr:uid="{9A091772-07DC-4C9E-963D-A1F246E50E44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59 3 2" xfId="6121" xr:uid="{8378CCB4-FBEB-40A4-BAA4-DC1EE63CD1E7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0 3 2" xfId="6122" xr:uid="{74EA3EB3-2B82-4E57-B580-BAFC39BC4A00}"/>
    <cellStyle name="Comma 2 61" xfId="2691" xr:uid="{119929EB-FFF5-4EB7-A063-EB1046313570}"/>
    <cellStyle name="Comma 2 61 2" xfId="5870" xr:uid="{6602D7D3-BAE6-41EB-AC65-B9F16E98C8AA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8 3 2" xfId="6123" xr:uid="{F68F77B4-D5AD-4219-A1EE-89A3CD8D372F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 9 3 2" xfId="6124" xr:uid="{0EF21EF7-898F-45BC-A1AF-824906853CA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2 3 2" xfId="6126" xr:uid="{F2E1E1CF-9663-45B3-BA79-8F48409B03CB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0 4 2" xfId="6125" xr:uid="{D51E91CB-E684-47E0-A484-B19E157C14B5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2 3 2" xfId="6128" xr:uid="{9B064902-074D-48EC-8F7E-D06236D6551D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1 4 2" xfId="6127" xr:uid="{A255F395-A6E3-4B04-AAF8-C920616B054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2 3 2" xfId="6130" xr:uid="{5EC8D799-0D07-43A2-972F-1762E5DFB228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2 4 2" xfId="6129" xr:uid="{3A9320F7-B236-4571-B5A1-77DE7133E0B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3 3 2" xfId="6131" xr:uid="{AF91074E-B739-48F3-AB19-31409ED2C63D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4 3 2" xfId="6132" xr:uid="{C620574A-BCDE-4383-B827-4E622185AE0A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5 3 2" xfId="6133" xr:uid="{2F4E4E5A-FF99-4ECB-95D4-785BDD7D71E0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6 3 2" xfId="6134" xr:uid="{4CE4CC0E-49FB-43A6-832D-295846215FD2}"/>
    <cellStyle name="Comma 27" xfId="970" xr:uid="{00000000-0005-0000-0000-0000CA030000}"/>
    <cellStyle name="Comma 27 2" xfId="3128" xr:uid="{C30E9176-0C1A-48BE-B80B-5D2B7874FBD2}"/>
    <cellStyle name="Comma 27 2 2" xfId="6135" xr:uid="{58760043-9387-4A93-BD5D-C92B30B93996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8 3 2" xfId="6136" xr:uid="{593401C3-6C9D-42A2-8D67-66D2B1CF576C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29 3 2" xfId="6137" xr:uid="{7D353A33-1E40-494D-8A28-650C2C70CAB2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11 2" xfId="6138" xr:uid="{9300A138-9C0C-4538-B734-AD9D3D05074C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6142" xr:uid="{66DD7ADD-AB41-40B7-A832-340D0407BB22}"/>
    <cellStyle name="Comma 3 2 2 2 3" xfId="981" xr:uid="{00000000-0005-0000-0000-0000D5030000}"/>
    <cellStyle name="Comma 3 2 2 2 3 2" xfId="3136" xr:uid="{8EEF7E98-A6E6-4B52-9E47-B6350A63318C}"/>
    <cellStyle name="Comma 3 2 2 2 3 2 2" xfId="6143" xr:uid="{41FA537C-143A-4430-87A4-C885B02A2847}"/>
    <cellStyle name="Comma 3 2 2 2 4" xfId="982" xr:uid="{00000000-0005-0000-0000-0000D6030000}"/>
    <cellStyle name="Comma 3 2 2 2 4 2" xfId="3137" xr:uid="{9A2DF3B3-EB7A-4424-B65F-7B12AC49DE9B}"/>
    <cellStyle name="Comma 3 2 2 2 4 2 2" xfId="6144" xr:uid="{DCFF556C-E3C7-4FE7-91D6-B7908AECE94E}"/>
    <cellStyle name="Comma 3 2 2 2 5" xfId="3134" xr:uid="{F3332EE1-586C-4AEB-B321-EFC9BBFEE295}"/>
    <cellStyle name="Comma 3 2 2 2 5 2" xfId="6141" xr:uid="{38E983BF-ED1F-4835-B8B9-9DFCD992EADC}"/>
    <cellStyle name="Comma 3 2 2 3" xfId="983" xr:uid="{00000000-0005-0000-0000-0000D7030000}"/>
    <cellStyle name="Comma 3 2 2 3 2" xfId="3138" xr:uid="{767F3952-CD37-427F-94F9-42C19890A6F9}"/>
    <cellStyle name="Comma 3 2 2 3 2 2" xfId="6145" xr:uid="{DA9EB833-5E5B-43B1-9047-E12BC0D943F0}"/>
    <cellStyle name="Comma 3 2 2 4" xfId="984" xr:uid="{00000000-0005-0000-0000-0000D8030000}"/>
    <cellStyle name="Comma 3 2 2 4 2" xfId="3139" xr:uid="{C6207382-D4E7-4B74-B8B7-F8E01C04BF7F}"/>
    <cellStyle name="Comma 3 2 2 4 2 2" xfId="6146" xr:uid="{8104229D-B5B4-42D5-A1CC-A8854F486A8A}"/>
    <cellStyle name="Comma 3 2 2 5" xfId="985" xr:uid="{00000000-0005-0000-0000-0000D9030000}"/>
    <cellStyle name="Comma 3 2 2 5 2" xfId="3140" xr:uid="{7F06C688-C1FE-46D2-BEBE-4D6C53B90CE0}"/>
    <cellStyle name="Comma 3 2 2 5 2 2" xfId="6147" xr:uid="{63D130B3-39BF-4774-AA11-CD95363A5DAB}"/>
    <cellStyle name="Comma 3 2 2 6" xfId="3133" xr:uid="{510301FD-500C-4E5E-A635-63EF1EEAD036}"/>
    <cellStyle name="Comma 3 2 2 6 2" xfId="6140" xr:uid="{EFDEA174-2A69-40C5-8A0E-80BC73D53C23}"/>
    <cellStyle name="Comma 3 2 3" xfId="986" xr:uid="{00000000-0005-0000-0000-0000DA030000}"/>
    <cellStyle name="Comma 3 2 3 2" xfId="3141" xr:uid="{EF0D8DE0-3C5E-4E75-914A-88F2701EAB23}"/>
    <cellStyle name="Comma 3 2 3 2 2" xfId="6148" xr:uid="{CF0363C7-3F12-453A-9D14-CECEE50B8F49}"/>
    <cellStyle name="Comma 3 2 4" xfId="987" xr:uid="{00000000-0005-0000-0000-0000DB030000}"/>
    <cellStyle name="Comma 3 2 4 2" xfId="3142" xr:uid="{F770057D-8D5F-4B9E-AEDB-33A888FFAA72}"/>
    <cellStyle name="Comma 3 2 4 2 2" xfId="6149" xr:uid="{3E3DCA4F-98C8-4DD2-A52A-3FCF3938AA78}"/>
    <cellStyle name="Comma 3 2 5" xfId="988" xr:uid="{00000000-0005-0000-0000-0000DC030000}"/>
    <cellStyle name="Comma 3 2 5 2" xfId="3143" xr:uid="{D1950CEB-18F2-406D-879E-1ACA57621145}"/>
    <cellStyle name="Comma 3 2 5 2 2" xfId="6150" xr:uid="{3ABC9CDA-4462-43B0-B153-B6A6F4BE671E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2 7 2" xfId="6139" xr:uid="{53F1A4BE-F0B1-407E-A4AE-96E1336024FB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6152" xr:uid="{02DFCB3F-73BE-470C-AB97-26FBD38873AB}"/>
    <cellStyle name="Comma 3 3 3" xfId="992" xr:uid="{00000000-0005-0000-0000-0000E0030000}"/>
    <cellStyle name="Comma 3 3 3 2" xfId="3146" xr:uid="{33DE9018-6CD5-4817-9680-C7B6CACC0BA4}"/>
    <cellStyle name="Comma 3 3 3 2 2" xfId="6153" xr:uid="{84617DA5-EA1B-41ED-B210-9B2219B7FD74}"/>
    <cellStyle name="Comma 3 3 4" xfId="993" xr:uid="{00000000-0005-0000-0000-0000E1030000}"/>
    <cellStyle name="Comma 3 3 4 2" xfId="3147" xr:uid="{262BCFD5-2872-49B4-A206-7369120B3481}"/>
    <cellStyle name="Comma 3 3 4 2 2" xfId="6154" xr:uid="{BAD9C307-10DC-4E63-814E-454CF793B86B}"/>
    <cellStyle name="Comma 3 3 5" xfId="3144" xr:uid="{1131D518-BDB7-488A-B1F2-B2C8942B1862}"/>
    <cellStyle name="Comma 3 3 5 2" xfId="6151" xr:uid="{D2A8DB4C-83D5-43B2-8D45-297BE58CF1F4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6156" xr:uid="{3E218E28-FBE3-4696-8688-AA8217E45C7B}"/>
    <cellStyle name="Comma 3 4 3" xfId="996" xr:uid="{00000000-0005-0000-0000-0000E4030000}"/>
    <cellStyle name="Comma 3 4 3 2" xfId="3150" xr:uid="{0C120D9D-80D9-4E59-86B9-95540507C15C}"/>
    <cellStyle name="Comma 3 4 3 2 2" xfId="6157" xr:uid="{1C0206F7-987D-48B9-B1F9-2B0380E37F1D}"/>
    <cellStyle name="Comma 3 4 4" xfId="997" xr:uid="{00000000-0005-0000-0000-0000E5030000}"/>
    <cellStyle name="Comma 3 4 4 2" xfId="3151" xr:uid="{A3FED434-C322-43AF-A473-349673162E1B}"/>
    <cellStyle name="Comma 3 4 4 2 2" xfId="6158" xr:uid="{693CCE45-279B-451E-A2B2-B2C708CF51F3}"/>
    <cellStyle name="Comma 3 4 5" xfId="3148" xr:uid="{3447AD81-1124-4869-9F48-2EC210490C11}"/>
    <cellStyle name="Comma 3 4 5 2" xfId="6155" xr:uid="{3E26AC72-FF7F-4951-B798-9899EDD1A16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6164" xr:uid="{823B2663-E1D2-4C1F-B88D-34319ABED163}"/>
    <cellStyle name="Comma 3 5 2 2 2 2 3" xfId="1004" xr:uid="{00000000-0005-0000-0000-0000EC030000}"/>
    <cellStyle name="Comma 3 5 2 2 2 2 3 2" xfId="3158" xr:uid="{2005CAB7-DAF1-43F4-B804-BDA5D9AADB9F}"/>
    <cellStyle name="Comma 3 5 2 2 2 2 3 2 2" xfId="6165" xr:uid="{8AAF8F02-66A1-46F4-A6F8-282DD06217E6}"/>
    <cellStyle name="Comma 3 5 2 2 2 2 4" xfId="1005" xr:uid="{00000000-0005-0000-0000-0000ED030000}"/>
    <cellStyle name="Comma 3 5 2 2 2 2 4 2" xfId="3159" xr:uid="{40A8EAD9-8C14-4309-AEE0-BDD768DF57AF}"/>
    <cellStyle name="Comma 3 5 2 2 2 2 4 2 2" xfId="6166" xr:uid="{24F20B84-1C9A-4E2F-B5D2-FB18FDD83F12}"/>
    <cellStyle name="Comma 3 5 2 2 2 2 5" xfId="1006" xr:uid="{00000000-0005-0000-0000-0000EE030000}"/>
    <cellStyle name="Comma 3 5 2 2 2 2 5 2" xfId="3160" xr:uid="{B80D2D68-E28B-40B6-9B5B-001B91B876A7}"/>
    <cellStyle name="Comma 3 5 2 2 2 2 5 2 2" xfId="6167" xr:uid="{51FBD6D3-FD6C-4A43-B237-FDF462CD77F1}"/>
    <cellStyle name="Comma 3 5 2 2 2 2 6" xfId="3156" xr:uid="{3857FC0A-1FC3-4D3B-AD6C-F4AF28714095}"/>
    <cellStyle name="Comma 3 5 2 2 2 2 6 2" xfId="6163" xr:uid="{B52EDB38-3731-4242-9646-25B0A6367172}"/>
    <cellStyle name="Comma 3 5 2 2 2 3" xfId="1007" xr:uid="{00000000-0005-0000-0000-0000EF030000}"/>
    <cellStyle name="Comma 3 5 2 2 2 3 2" xfId="3161" xr:uid="{C31BD69B-4DC1-4840-A42D-1DC8A7F5135B}"/>
    <cellStyle name="Comma 3 5 2 2 2 3 2 2" xfId="6168" xr:uid="{347C3E4C-9B42-48B9-863B-B1A1C4C88DE4}"/>
    <cellStyle name="Comma 3 5 2 2 2 4" xfId="1008" xr:uid="{00000000-0005-0000-0000-0000F0030000}"/>
    <cellStyle name="Comma 3 5 2 2 2 4 2" xfId="3162" xr:uid="{D1293590-74C9-48A2-BF7A-789FD6F13F62}"/>
    <cellStyle name="Comma 3 5 2 2 2 4 2 2" xfId="6169" xr:uid="{BCA5A427-5A0F-4D59-893D-DB3E931A14BB}"/>
    <cellStyle name="Comma 3 5 2 2 2 5" xfId="1009" xr:uid="{00000000-0005-0000-0000-0000F1030000}"/>
    <cellStyle name="Comma 3 5 2 2 2 5 2" xfId="3163" xr:uid="{DDB635BC-7792-4AA2-80F1-4D933746255A}"/>
    <cellStyle name="Comma 3 5 2 2 2 5 2 2" xfId="6170" xr:uid="{4F4F7C26-1F5C-4862-B3A0-EB9FA62EA004}"/>
    <cellStyle name="Comma 3 5 2 2 2 6" xfId="3155" xr:uid="{685EB41F-89B6-4981-B598-311A336FE9CD}"/>
    <cellStyle name="Comma 3 5 2 2 2 6 2" xfId="6162" xr:uid="{65A87C71-67B0-41D9-9A1A-F7B39A4E471F}"/>
    <cellStyle name="Comma 3 5 2 2 3" xfId="1010" xr:uid="{00000000-0005-0000-0000-0000F2030000}"/>
    <cellStyle name="Comma 3 5 2 2 3 2" xfId="3164" xr:uid="{F168003E-ACDA-4971-B3FE-E779BF6B1582}"/>
    <cellStyle name="Comma 3 5 2 2 3 2 2" xfId="6171" xr:uid="{90AC0813-3A51-47BA-800D-212CE13A2B5B}"/>
    <cellStyle name="Comma 3 5 2 2 4" xfId="1011" xr:uid="{00000000-0005-0000-0000-0000F3030000}"/>
    <cellStyle name="Comma 3 5 2 2 4 2" xfId="3165" xr:uid="{AE03CCA9-E1E4-424E-9559-4104058C84F2}"/>
    <cellStyle name="Comma 3 5 2 2 4 2 2" xfId="6172" xr:uid="{B2DC1D3E-44CA-4ABF-8467-B6F75B496D9A}"/>
    <cellStyle name="Comma 3 5 2 2 5" xfId="1012" xr:uid="{00000000-0005-0000-0000-0000F4030000}"/>
    <cellStyle name="Comma 3 5 2 2 5 2" xfId="3166" xr:uid="{F379E24D-982A-4DA2-A4E7-BADDC47ACF0D}"/>
    <cellStyle name="Comma 3 5 2 2 5 2 2" xfId="6173" xr:uid="{A08FAB40-8C1B-44A1-A03D-3389A763986D}"/>
    <cellStyle name="Comma 3 5 2 2 6" xfId="3154" xr:uid="{98D8CABE-A6EE-40E8-B814-FEB8908F3E34}"/>
    <cellStyle name="Comma 3 5 2 2 6 2" xfId="6161" xr:uid="{C0B3B06F-28D9-462A-91C7-E94C8402A54D}"/>
    <cellStyle name="Comma 3 5 2 3" xfId="1013" xr:uid="{00000000-0005-0000-0000-0000F5030000}"/>
    <cellStyle name="Comma 3 5 2 3 2" xfId="3167" xr:uid="{38C63C08-3075-4F4B-8573-856AC1CDEE63}"/>
    <cellStyle name="Comma 3 5 2 3 2 2" xfId="6174" xr:uid="{3FB40290-F547-424F-A3B5-828A16966A5D}"/>
    <cellStyle name="Comma 3 5 2 4" xfId="1014" xr:uid="{00000000-0005-0000-0000-0000F6030000}"/>
    <cellStyle name="Comma 3 5 2 4 2" xfId="3168" xr:uid="{060EF659-4517-41F9-AA73-A1916C5A3B28}"/>
    <cellStyle name="Comma 3 5 2 4 2 2" xfId="6175" xr:uid="{90B3622C-980F-4AFD-A161-8ABFA5872308}"/>
    <cellStyle name="Comma 3 5 2 5" xfId="1015" xr:uid="{00000000-0005-0000-0000-0000F7030000}"/>
    <cellStyle name="Comma 3 5 2 5 2" xfId="3169" xr:uid="{4D25AC0A-33FD-49EE-8E49-0A462C22678D}"/>
    <cellStyle name="Comma 3 5 2 5 2 2" xfId="6176" xr:uid="{2A36C95D-0B66-4609-8C78-204CAD24AB92}"/>
    <cellStyle name="Comma 3 5 2 6" xfId="3153" xr:uid="{7C4D74B8-52C8-4AB0-A2E7-2AC1DC9422C4}"/>
    <cellStyle name="Comma 3 5 2 6 2" xfId="6160" xr:uid="{32208675-3133-40BA-8F59-E6AA818620FD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6178" xr:uid="{8E68DA0F-1A8D-4993-A457-D0D3F5D6F984}"/>
    <cellStyle name="Comma 3 5 3 3" xfId="1018" xr:uid="{00000000-0005-0000-0000-0000FA030000}"/>
    <cellStyle name="Comma 3 5 3 3 2" xfId="3172" xr:uid="{6E7C0D8E-CAE6-4087-AE74-EB1FC9E6EE97}"/>
    <cellStyle name="Comma 3 5 3 3 2 2" xfId="6179" xr:uid="{60FC2D9D-41E2-4527-B2D7-735333BA0848}"/>
    <cellStyle name="Comma 3 5 3 4" xfId="1019" xr:uid="{00000000-0005-0000-0000-0000FB030000}"/>
    <cellStyle name="Comma 3 5 3 4 2" xfId="3173" xr:uid="{960A11AB-DDDE-4472-8E7F-3B703287FE67}"/>
    <cellStyle name="Comma 3 5 3 4 2 2" xfId="6180" xr:uid="{967580FC-4FE8-4BE5-BC35-730E27D98C15}"/>
    <cellStyle name="Comma 3 5 3 5" xfId="3170" xr:uid="{FA321AEC-0517-42B4-A463-8676DDCC91B8}"/>
    <cellStyle name="Comma 3 5 3 5 2" xfId="6177" xr:uid="{323A5B4F-7712-42E7-A2DA-AB2B269E924C}"/>
    <cellStyle name="Comma 3 5 4" xfId="1020" xr:uid="{00000000-0005-0000-0000-0000FC030000}"/>
    <cellStyle name="Comma 3 5 4 2" xfId="3174" xr:uid="{4889B9FC-8607-4130-9BE7-92A0236736E5}"/>
    <cellStyle name="Comma 3 5 4 2 2" xfId="6181" xr:uid="{D2A14868-1FBC-495C-B379-1B6ECA9496B5}"/>
    <cellStyle name="Comma 3 5 5" xfId="1021" xr:uid="{00000000-0005-0000-0000-0000FD030000}"/>
    <cellStyle name="Comma 3 5 5 2" xfId="3175" xr:uid="{A2030E3F-08FC-48E9-A02D-95E70DB3D81C}"/>
    <cellStyle name="Comma 3 5 5 2 2" xfId="6182" xr:uid="{933AF00C-BDB3-42CF-80EA-B3E59A2EC602}"/>
    <cellStyle name="Comma 3 5 6" xfId="1022" xr:uid="{00000000-0005-0000-0000-0000FE030000}"/>
    <cellStyle name="Comma 3 5 6 2" xfId="3176" xr:uid="{0B894AB4-20EC-4670-965E-4E6C9E2FFF60}"/>
    <cellStyle name="Comma 3 5 6 2 2" xfId="6183" xr:uid="{98AFA52C-C96C-4D57-A5F1-A08D10742226}"/>
    <cellStyle name="Comma 3 5 7" xfId="3152" xr:uid="{17672DDB-D8B5-4B3D-815A-9C588A497E52}"/>
    <cellStyle name="Comma 3 5 7 2" xfId="6159" xr:uid="{E5C2E9CC-9C74-4C73-A96B-87AB54908FBD}"/>
    <cellStyle name="Comma 3 6" xfId="1023" xr:uid="{00000000-0005-0000-0000-0000FF030000}"/>
    <cellStyle name="Comma 3 6 2" xfId="3177" xr:uid="{08DBC276-C119-426D-847F-735FD99AA96B}"/>
    <cellStyle name="Comma 3 6 2 2" xfId="6184" xr:uid="{EB70E9E8-ECE0-426F-A732-BB0FF196393C}"/>
    <cellStyle name="Comma 3 7" xfId="1024" xr:uid="{00000000-0005-0000-0000-000000040000}"/>
    <cellStyle name="Comma 3 7 2" xfId="3178" xr:uid="{0B70389D-AAA6-42F3-ABB8-F7B0BBA02B7F}"/>
    <cellStyle name="Comma 3 7 2 2" xfId="6185" xr:uid="{7B1845CB-A1A5-4CDE-8F6F-76E4ED2E9BF3}"/>
    <cellStyle name="Comma 3 8" xfId="1025" xr:uid="{00000000-0005-0000-0000-000001040000}"/>
    <cellStyle name="Comma 3 8 2" xfId="3179" xr:uid="{451AFB79-B914-461E-821A-03ACD7FA0605}"/>
    <cellStyle name="Comma 3 8 2 2" xfId="6186" xr:uid="{2E8B0F5B-47E9-4A50-A475-0CEE1245D58A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0 3 2" xfId="6187" xr:uid="{AEF5A04D-4568-42C6-BBA9-43FB4E79C94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1 3 2" xfId="6188" xr:uid="{806EC23F-0739-4CC2-BC1E-EEB8C1B2CACC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4 2" xfId="6189" xr:uid="{28A2C86F-CBC4-4B8C-8661-5F8335028FF2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4 3 2" xfId="6190" xr:uid="{528D97B6-1672-41EB-BCBB-DFC63B444417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7 3 2" xfId="6191" xr:uid="{D533776C-A607-4410-9A6B-7E3F2B4755EE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2 3 2" xfId="6193" xr:uid="{A875D3B5-1AC2-4B64-BF98-588EFBF86F22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 6 2" xfId="6192" xr:uid="{B4272310-B802-482F-AA0E-3A3824E10A15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2 3 2" xfId="6194" xr:uid="{30306DB7-B8DF-4CA7-A57D-1633CF8F9853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5 3 2" xfId="6195" xr:uid="{08E152A9-A391-4EEA-BE42-F1A37B4764DF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6 3 2" xfId="6196" xr:uid="{4C64FE87-084B-4DEE-B245-E480821154F4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7 3 2" xfId="6197" xr:uid="{0D49167C-4523-470D-A3FE-152D8892D725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8 3 2" xfId="6198" xr:uid="{8E8D592C-CE66-4D41-98DD-4AD498993B3C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49 3 2" xfId="6199" xr:uid="{7145C6E1-AB6A-408D-9B4C-3E4B1FCD7055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2 3 2" xfId="6200" xr:uid="{A1647AE5-AF52-4FFB-8A8A-1E0B278943B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0 3 2" xfId="6201" xr:uid="{8A00AB56-D7CA-4F2D-A1EA-ECA3B07485DA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1 3 2" xfId="6202" xr:uid="{43F68074-1F88-457E-9097-F56CFDECA1F3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2 3 2" xfId="6203" xr:uid="{EBB07309-EC9B-4412-BDEB-311054064F03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8 3 2" xfId="6204" xr:uid="{C6CDFEBB-0F7B-457E-9F1A-A41013C77E12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59 3 2" xfId="6205" xr:uid="{8785FC24-2135-4019-B707-D862B29DE566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2 3 2" xfId="6207" xr:uid="{B87822F4-3736-4A9E-82E8-8D07FBAFDD84}"/>
    <cellStyle name="Comma 6 3" xfId="3199" xr:uid="{931473CD-1404-47D7-B23E-F95DB265C92C}"/>
    <cellStyle name="Comma 6 3 2" xfId="6206" xr:uid="{8E449641-DE21-417A-BB43-16DB74741E7C}"/>
    <cellStyle name="Comma 60" xfId="5670" xr:uid="{A5A651BE-ADD7-4A47-BDFE-1A95A7244952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2 3 2" xfId="6208" xr:uid="{6B70CBF5-96CC-4380-86E2-4A690976B35B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3 3 2" xfId="6209" xr:uid="{FA03BBB0-F1E8-4DA1-81B3-F7423D1DC040}"/>
    <cellStyle name="Comma 66" xfId="1087" xr:uid="{00000000-0005-0000-0000-00003F040000}"/>
    <cellStyle name="Comma 66 2" xfId="3203" xr:uid="{5B849F2D-25FB-4A0C-86EA-AD9A31722FC6}"/>
    <cellStyle name="Comma 66 2 2" xfId="6210" xr:uid="{E2653269-33E7-4A6F-8447-58BDA3C3656D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67 3 2" xfId="6211" xr:uid="{B2647931-C68E-4396-861C-9915DB709C1B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2 3 2" xfId="6213" xr:uid="{5703B0CC-3F74-4B8C-8DFC-2B045DDCAE20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3 3 2" xfId="6214" xr:uid="{1607C628-D88B-4434-820D-387D30B8020B}"/>
    <cellStyle name="Comma 7 4" xfId="3205" xr:uid="{B12EFE5C-D056-4BAE-B5DA-7C1A3BF49D5E}"/>
    <cellStyle name="Comma 7 4 2" xfId="6212" xr:uid="{D20D6EA8-496C-4A5F-BF90-47990CACB167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2 2 2" xfId="6215" xr:uid="{E5F76592-DECB-4A1D-A9A0-7EDEA92E6FE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4 3 2" xfId="6216" xr:uid="{F3576DC5-7018-4956-9D0A-D3CD557EDA84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75 3 2" xfId="6217" xr:uid="{AA947A1D-73C8-43E9-9267-D67BD1D2FB2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2 3 2" xfId="6220" xr:uid="{38A26DE0-D4F8-4333-806D-61CBED4A0BB3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2 4 2" xfId="6219" xr:uid="{78D63A0A-5620-4DCD-AE5A-613BDDB244D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 4 2" xfId="6218" xr:uid="{CDFDFECB-EC44-4DFA-89BA-3E2F8E1DB64A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2 3 2" xfId="6221" xr:uid="{04EC4293-25BB-46DC-A34C-216DEC4C8429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3 3 2" xfId="6222" xr:uid="{953FA70F-991E-484F-B1C4-3DF4F4D45F2D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5 3 2" xfId="6223" xr:uid="{23620E62-CF62-4FDA-98C7-5436C9ACC81C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6 3 2" xfId="6224" xr:uid="{F7F81FF3-723C-4E66-94A4-E75E9519E952}"/>
    <cellStyle name="Comma 89" xfId="1114" xr:uid="{00000000-0005-0000-0000-00005A040000}"/>
    <cellStyle name="Comma 89 2" xfId="3218" xr:uid="{B0087802-3BF4-4FDE-AA2C-B664F360661D}"/>
    <cellStyle name="Comma 89 2 2" xfId="6225" xr:uid="{43B660B0-7020-4B0F-9956-2709D9029A57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6227" xr:uid="{D4B9080F-7ABB-4C00-B439-8CDD7385899E}"/>
    <cellStyle name="Comma 9 3" xfId="1117" xr:uid="{00000000-0005-0000-0000-00005D040000}"/>
    <cellStyle name="Comma 9 3 2" xfId="3221" xr:uid="{51C18A76-9A74-4396-9DBF-C25BC8B4C409}"/>
    <cellStyle name="Comma 9 3 2 2" xfId="6228" xr:uid="{D77F9FD0-E1D5-4707-B353-DD736F68F0C3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 5 2" xfId="6226" xr:uid="{AB6B14BB-D231-4CC3-A57A-E2CC12334DBF}"/>
    <cellStyle name="Comma 98" xfId="1119" xr:uid="{00000000-0005-0000-0000-00005F040000}"/>
    <cellStyle name="Comma 98 2" xfId="3222" xr:uid="{72830CE0-02C4-4D46-8A97-7DC21722AAAD}"/>
    <cellStyle name="Comma 98 2 2" xfId="6229" xr:uid="{0747A138-08DE-4145-BCBC-A8CDDD252F1B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2 2" xfId="6230" xr:uid="{9AB7F18B-DD2D-4730-97D0-6BC88DD1726E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3 2" xfId="5906" xr:uid="{C3682F3F-B67C-4786-B825-2A209431DC3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3 2" xfId="5905" xr:uid="{986FBBB2-1316-4FDE-B79C-57004001766D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3 2" xfId="5904" xr:uid="{092395F2-00C1-4C69-9E67-E2139D37EBCD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3 2" xfId="5903" xr:uid="{3922FCA2-73E3-4343-BBAA-177B3CCE4A02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2 4" xfId="5672" xr:uid="{23EC6C49-545F-48BB-A044-80343FBEEACF}"/>
    <cellStyle name="Input 10 3" xfId="3631" xr:uid="{9E15F01B-623A-410B-90FD-FF76974ADC1C}"/>
    <cellStyle name="Input 10 3 2" xfId="5902" xr:uid="{33159264-6DA4-4919-BD6D-A350AF9B9A71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2 4" xfId="5673" xr:uid="{23FDAA5B-EF00-4445-9C28-E15E29086F0C}"/>
    <cellStyle name="Input 11 3" xfId="3630" xr:uid="{FDB4B1F3-3A6A-4DB3-B956-7837CDC781EB}"/>
    <cellStyle name="Input 11 3 2" xfId="5901" xr:uid="{8157E45D-AE43-4DD1-8D94-577676D5A659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2 4" xfId="5674" xr:uid="{3C16135F-0D03-442C-8E1A-8D49890B2292}"/>
    <cellStyle name="Input 12 3" xfId="3629" xr:uid="{B151740C-786A-4C5A-B664-8ACA03067F61}"/>
    <cellStyle name="Input 12 3 2" xfId="5900" xr:uid="{A7F6D845-EF5B-4821-B4D7-03393AF81A9D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2 4" xfId="5675" xr:uid="{3D253EFC-7F11-4DF2-8EEC-37B6AEB5734A}"/>
    <cellStyle name="Input 13 3" xfId="3628" xr:uid="{9C90BD0C-C16C-442E-A10A-E27747DC2FAF}"/>
    <cellStyle name="Input 13 3 2" xfId="5899" xr:uid="{9FEC01B2-FAB7-426B-A0E8-279079915BF6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2 4" xfId="5676" xr:uid="{24CE9CAB-80FD-4AC8-A8B9-3A59829DEB33}"/>
    <cellStyle name="Input 14 3" xfId="3627" xr:uid="{91DABBD7-5B2A-4B01-B035-74FCC1D9AED7}"/>
    <cellStyle name="Input 14 3 2" xfId="5898" xr:uid="{51C9B734-45AB-4EEB-AA32-D3B50889997D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2 4" xfId="5677" xr:uid="{35784B1B-0BB1-4026-BA08-A0B5B340DA84}"/>
    <cellStyle name="Input 15 3" xfId="3626" xr:uid="{CD34BDA4-F48B-4399-B781-4CB144500259}"/>
    <cellStyle name="Input 15 3 2" xfId="5897" xr:uid="{6B0F180B-0979-4069-89BF-030C1A42646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2 4" xfId="5678" xr:uid="{8BE37471-BBDC-4EF1-8660-508FBE130A72}"/>
    <cellStyle name="Input 16 3" xfId="3625" xr:uid="{0D7A49DD-9A91-4C6A-B1C9-1FA366FB0CFE}"/>
    <cellStyle name="Input 16 3 2" xfId="5896" xr:uid="{C457340F-5839-43AD-B97F-1B2967E08B2B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2 4" xfId="5679" xr:uid="{AF35EEB5-ABEA-4A25-B828-4EF867FF5857}"/>
    <cellStyle name="Input 17 3" xfId="3624" xr:uid="{34EB2CD2-198F-4EA0-B8C1-9B509200BC8D}"/>
    <cellStyle name="Input 17 3 2" xfId="5895" xr:uid="{A8AB7AE5-854D-464A-A39A-AF6227562130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2 4" xfId="5680" xr:uid="{34BD8FB0-017D-44B9-A455-9C72194DB174}"/>
    <cellStyle name="Input 18 3" xfId="3623" xr:uid="{0C2D6B64-B18B-499C-A093-5D1B0BBD630B}"/>
    <cellStyle name="Input 18 3 2" xfId="5894" xr:uid="{60AD484B-C192-4616-A93D-781FD754EE79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2 4" xfId="5681" xr:uid="{E6E0A21A-0D59-47F4-AEEC-156C95DB85AB}"/>
    <cellStyle name="Input 19 3" xfId="3622" xr:uid="{08AA1154-D682-4668-B4AC-D9CD0C994BDD}"/>
    <cellStyle name="Input 19 3 2" xfId="5893" xr:uid="{08D61847-E2BD-454E-826F-88AE35C26C2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2 4" xfId="5682" xr:uid="{0FF51268-97E6-460C-9253-06EB3E637D93}"/>
    <cellStyle name="Input 2 2 3" xfId="3620" xr:uid="{69741AAF-C562-47D2-B8E5-F79F5ECD709F}"/>
    <cellStyle name="Input 2 2 3 2" xfId="5892" xr:uid="{10DA278D-85E0-4FD5-A83E-6EE3BB5FFDF8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2 4" xfId="5683" xr:uid="{5A1F60A9-C36C-4C34-97CC-419634089DA2}"/>
    <cellStyle name="Input 2 3 3" xfId="3619" xr:uid="{A166ECD6-0DDA-46A6-B4BE-3E7DC68008F6}"/>
    <cellStyle name="Input 2 3 3 2" xfId="5891" xr:uid="{1DBC5E24-D8BD-4B8E-95C4-916C11D79B12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4 4" xfId="5684" xr:uid="{4B41D538-4402-4926-9A40-E189DF69A402}"/>
    <cellStyle name="Input 2 5" xfId="3621" xr:uid="{C6A34531-B4ED-41CD-96EE-6A20DDEE49C4}"/>
    <cellStyle name="Input 2 5 2" xfId="5868" xr:uid="{87DCB389-9366-46F6-8899-E73036B357BD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2 4" xfId="5685" xr:uid="{B8033997-1651-4D7D-9BB8-EE0D00164DFC}"/>
    <cellStyle name="Input 20 3" xfId="3618" xr:uid="{6CAFABA3-81EF-4481-B797-652F5DB53334}"/>
    <cellStyle name="Input 20 3 2" xfId="5890" xr:uid="{3C7EE810-BF42-4423-AEF2-DF29EAF1B2A5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2 4" xfId="5686" xr:uid="{DE0ACE8A-FF03-4DEE-B763-B7992326869B}"/>
    <cellStyle name="Input 21 3" xfId="3617" xr:uid="{5ADBAC3D-4DE9-48D0-A8EC-578CFD49037E}"/>
    <cellStyle name="Input 21 3 2" xfId="5889" xr:uid="{C9F5EA48-33E8-4049-A62A-49A96DDF37E8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2 2" xfId="6314" xr:uid="{5C49F6D6-1797-4FDF-905A-ED052BDFD430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2 4" xfId="5687" xr:uid="{920527C8-0EE8-4ECC-883E-B804BDB57116}"/>
    <cellStyle name="Input 3 2 3" xfId="3615" xr:uid="{88B86E0E-290A-49B2-A8F3-0504D28F2927}"/>
    <cellStyle name="Input 3 2 3 2" xfId="5887" xr:uid="{AC05C28C-DF3A-4440-BD95-DAF2908DC20A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3 4" xfId="5688" xr:uid="{C9427B2C-5BB0-4EB7-B703-5C3A05BEA110}"/>
    <cellStyle name="Input 3 4" xfId="3616" xr:uid="{3A0EE516-E0DF-4BD7-B8B6-D66792CFFB83}"/>
    <cellStyle name="Input 3 4 2" xfId="5888" xr:uid="{CF8022E2-69BB-4DE5-87DD-8C7FFF1758B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2 4" xfId="5689" xr:uid="{4EDF31E8-1B02-47A7-B800-89AFB3AE9786}"/>
    <cellStyle name="Input 4 2 3" xfId="3613" xr:uid="{5A377356-3073-4FF4-B377-B8C51B42E942}"/>
    <cellStyle name="Input 4 2 3 2" xfId="5885" xr:uid="{591834D8-ED00-49C1-A419-C0834C323480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3 4" xfId="5690" xr:uid="{7C6032C5-65DB-4E4E-A87D-6A9E76FBE026}"/>
    <cellStyle name="Input 4 4" xfId="3614" xr:uid="{24169DD6-5894-4CC1-BE69-B61D52C83021}"/>
    <cellStyle name="Input 4 4 2" xfId="5886" xr:uid="{2F8241AB-9A62-4614-A7A6-F92E121055FC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40" xfId="5671" xr:uid="{9C79F3F4-15CB-4BE9-BE6D-575F965C8F3C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2 4" xfId="5691" xr:uid="{2FAAF3BD-A3B7-47FE-9197-D047ABBEC785}"/>
    <cellStyle name="Input 5 3" xfId="3612" xr:uid="{C0ECC8AF-F35F-4F2D-B8A4-7691F494F593}"/>
    <cellStyle name="Input 5 3 2" xfId="5884" xr:uid="{110980C6-67BF-4259-9E24-51F488D5C7C5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2 4" xfId="5692" xr:uid="{F3B0B81F-3C18-4A9D-ADB2-AA0D9D3A050B}"/>
    <cellStyle name="Input 6 3" xfId="3611" xr:uid="{9B066DE3-4BA7-4F33-AC55-FB940D486AB3}"/>
    <cellStyle name="Input 6 3 2" xfId="5883" xr:uid="{CBA114AC-7EB5-4D02-A4FE-9945B00CCC92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2 4" xfId="5693" xr:uid="{5955A97D-89BF-43F8-AA51-B7A1C964D09B}"/>
    <cellStyle name="Input 7 3" xfId="3610" xr:uid="{84E4764C-9C48-47C0-9995-1FF14785D200}"/>
    <cellStyle name="Input 7 3 2" xfId="5882" xr:uid="{30598C5E-ED88-4DA3-AEFE-9B29B85B664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2 4" xfId="5694" xr:uid="{2BA53B81-20CC-4A8B-AFA9-7BAAEA3F4661}"/>
    <cellStyle name="Input 8 3" xfId="3609" xr:uid="{90AF3169-BA5D-4DA7-9BC5-F037E84A7E49}"/>
    <cellStyle name="Input 8 3 2" xfId="5881" xr:uid="{36334C46-38F4-49D7-AFEA-634B39BD5705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2 4" xfId="5695" xr:uid="{926B035A-563D-4265-8ADE-884275CDD16C}"/>
    <cellStyle name="Input 9 3" xfId="3608" xr:uid="{8CB7C364-2960-4899-848A-F0F15EF3B567}"/>
    <cellStyle name="Input 9 3 2" xfId="5880" xr:uid="{14C450DB-1318-4D53-8CB5-BC074DDABA2D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2 3" xfId="5696" xr:uid="{2AC13D9F-5E91-4112-9E84-8572FB946E81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 2 2 2" xfId="5699" xr:uid="{32DF14EC-5437-4053-931F-EBF14624D02E}"/>
    <cellStyle name="Normal 101 2 3" xfId="5698" xr:uid="{214E8BC3-8429-4FFD-BC81-A47CDF2291B4}"/>
    <cellStyle name="Normal 101 3" xfId="5697" xr:uid="{87CEAFBB-6435-4939-A107-7DCBFA19F73E}"/>
    <cellStyle name="Normal 101_FORMAT SKK luncuran" xfId="1475" xr:uid="{00000000-0005-0000-0000-0000C4050000}"/>
    <cellStyle name="Normal 102" xfId="1476" xr:uid="{00000000-0005-0000-0000-0000C5050000}"/>
    <cellStyle name="Normal 102 2" xfId="5700" xr:uid="{69E89C01-AC6E-491D-AC28-58CC0CDE8BC9}"/>
    <cellStyle name="Normal 103" xfId="1477" xr:uid="{00000000-0005-0000-0000-0000C6050000}"/>
    <cellStyle name="Normal 103 2" xfId="5701" xr:uid="{20CCE804-30C0-4830-989A-2679B476B71B}"/>
    <cellStyle name="Normal 104" xfId="1478" xr:uid="{00000000-0005-0000-0000-0000C7050000}"/>
    <cellStyle name="Normal 104 2" xfId="5702" xr:uid="{DDF501D3-D4AD-4616-A539-CC1FE94E31DD}"/>
    <cellStyle name="Normal 105" xfId="1479" xr:uid="{00000000-0005-0000-0000-0000C8050000}"/>
    <cellStyle name="Normal 105 2" xfId="5703" xr:uid="{668DEA69-E582-478A-84C0-D36E8FEF6D2A}"/>
    <cellStyle name="Normal 106" xfId="1480" xr:uid="{00000000-0005-0000-0000-0000C9050000}"/>
    <cellStyle name="Normal 107" xfId="1481" xr:uid="{00000000-0005-0000-0000-0000CA050000}"/>
    <cellStyle name="Normal 107 2" xfId="5704" xr:uid="{ABBD2BBD-0072-49FB-A62C-AD119C3BA02B}"/>
    <cellStyle name="Normal 108" xfId="1482" xr:uid="{00000000-0005-0000-0000-0000CB050000}"/>
    <cellStyle name="Normal 108 2" xfId="5705" xr:uid="{C956849E-8D36-409A-A9AE-A2A654BF5F7B}"/>
    <cellStyle name="Normal 109" xfId="1483" xr:uid="{00000000-0005-0000-0000-0000CC050000}"/>
    <cellStyle name="Normal 109 2" xfId="5706" xr:uid="{01CC4964-FB6F-48F7-BF7F-BF1BC3F28B98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 7" xfId="5707" xr:uid="{FDE10AC7-F67F-4564-B250-6036CC1F641A}"/>
    <cellStyle name="Normal 11_Book3" xfId="1495" xr:uid="{00000000-0005-0000-0000-0000D8050000}"/>
    <cellStyle name="Normal 110" xfId="1496" xr:uid="{00000000-0005-0000-0000-0000D9050000}"/>
    <cellStyle name="Normal 110 2" xfId="5708" xr:uid="{43CC75ED-75E5-4DBA-A536-63C4FDBE5460}"/>
    <cellStyle name="Normal 111" xfId="1497" xr:uid="{00000000-0005-0000-0000-0000DA050000}"/>
    <cellStyle name="Normal 111 2" xfId="5709" xr:uid="{DE599D1F-ACF5-4C21-AECB-9EA855644307}"/>
    <cellStyle name="Normal 112" xfId="1498" xr:uid="{00000000-0005-0000-0000-0000DB050000}"/>
    <cellStyle name="Normal 112 2" xfId="5710" xr:uid="{B0243203-FB7E-4CBB-B6D1-A5B398239209}"/>
    <cellStyle name="Normal 113" xfId="1499" xr:uid="{00000000-0005-0000-0000-0000DC050000}"/>
    <cellStyle name="Normal 113 2" xfId="5711" xr:uid="{C187FD5A-4824-4219-92D6-D5D41FEDEE54}"/>
    <cellStyle name="Normal 114" xfId="1500" xr:uid="{00000000-0005-0000-0000-0000DD050000}"/>
    <cellStyle name="Normal 114 2" xfId="5712" xr:uid="{AC1C6A27-74EB-42C4-BE94-9E78A26F5C85}"/>
    <cellStyle name="Normal 115" xfId="1501" xr:uid="{00000000-0005-0000-0000-0000DE050000}"/>
    <cellStyle name="Normal 115 2" xfId="5713" xr:uid="{FE346666-A756-4ECB-9354-BF9FE4CC2FDF}"/>
    <cellStyle name="Normal 116" xfId="1502" xr:uid="{00000000-0005-0000-0000-0000DF050000}"/>
    <cellStyle name="Normal 116 2" xfId="5714" xr:uid="{AD4EB450-C942-4699-9BBD-CFA152033293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7 2 2 2" xfId="5717" xr:uid="{57B1AE13-C4A0-4558-925E-3EED6AA0D900}"/>
    <cellStyle name="Normal 117 2 3" xfId="5716" xr:uid="{D8FC4451-136B-4D35-A80E-42B5F98DD6E9}"/>
    <cellStyle name="Normal 117 3" xfId="5715" xr:uid="{FCB86A51-F4C9-4678-98D9-BA8484C69C89}"/>
    <cellStyle name="Normal 118" xfId="1506" xr:uid="{00000000-0005-0000-0000-0000E3050000}"/>
    <cellStyle name="Normal 118 2" xfId="5718" xr:uid="{E8049CEB-9069-4989-9CDA-10552FEE1867}"/>
    <cellStyle name="Normal 119" xfId="1507" xr:uid="{00000000-0005-0000-0000-0000E4050000}"/>
    <cellStyle name="Normal 119 2" xfId="5719" xr:uid="{50025DFB-75F4-4AA6-9DE2-39EC510350E3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0 2" xfId="5720" xr:uid="{23DF6F49-897A-450F-908D-DE00017815E1}"/>
    <cellStyle name="Normal 121" xfId="1513" xr:uid="{00000000-0005-0000-0000-0000EA050000}"/>
    <cellStyle name="Normal 121 2" xfId="5721" xr:uid="{4CD2ECD4-4D05-4749-90C8-BC2574619542}"/>
    <cellStyle name="Normal 122" xfId="1514" xr:uid="{00000000-0005-0000-0000-0000EB050000}"/>
    <cellStyle name="Normal 122 2" xfId="5722" xr:uid="{9BC4C947-4AEA-4C75-A1D4-9168102400D9}"/>
    <cellStyle name="Normal 123" xfId="1515" xr:uid="{00000000-0005-0000-0000-0000EC050000}"/>
    <cellStyle name="Normal 123 2" xfId="5723" xr:uid="{AAC38C2D-324A-4C6B-8A82-3CA16A03CBF6}"/>
    <cellStyle name="Normal 124" xfId="1516" xr:uid="{00000000-0005-0000-0000-0000ED050000}"/>
    <cellStyle name="Normal 124 2" xfId="5724" xr:uid="{198E5420-5E3A-44B5-ACE1-BEC685C149FF}"/>
    <cellStyle name="Normal 125" xfId="1517" xr:uid="{00000000-0005-0000-0000-0000EE050000}"/>
    <cellStyle name="Normal 125 2" xfId="5725" xr:uid="{0C94A294-414D-47E5-B8A4-A66096111F09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2 4" xfId="5727" xr:uid="{4B3AFA85-09CD-42D0-B87A-0B492FDAC370}"/>
    <cellStyle name="Normal 126 3" xfId="4182" xr:uid="{3CC2BC0D-C486-42BA-B7F5-354B5936946A}"/>
    <cellStyle name="Normal 126 4" xfId="4661" xr:uid="{66134001-54C8-4935-9770-4C7DD01D6DD9}"/>
    <cellStyle name="Normal 126 5" xfId="5726" xr:uid="{6F9F2474-0A54-42F2-A3DE-E2DF3598F3E0}"/>
    <cellStyle name="Normal 127" xfId="1520" xr:uid="{00000000-0005-0000-0000-0000F1050000}"/>
    <cellStyle name="Normal 127 2" xfId="5728" xr:uid="{8B73D4B8-9AB1-456D-A4CB-C799539900B5}"/>
    <cellStyle name="Normal 128" xfId="1521" xr:uid="{00000000-0005-0000-0000-0000F2050000}"/>
    <cellStyle name="Normal 128 2" xfId="5729" xr:uid="{A7234529-327E-47BF-9E4D-3E9626836B8D}"/>
    <cellStyle name="Normal 129" xfId="1522" xr:uid="{00000000-0005-0000-0000-0000F3050000}"/>
    <cellStyle name="Normal 129 2" xfId="5730" xr:uid="{DDE48663-2073-46DE-893E-93BF1EF1E873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0 2" xfId="5731" xr:uid="{4FAE0D45-9EA8-4292-956F-E5DE714F4B9A}"/>
    <cellStyle name="Normal 131" xfId="1531" xr:uid="{00000000-0005-0000-0000-0000FC050000}"/>
    <cellStyle name="Normal 131 2" xfId="5732" xr:uid="{2590792F-098D-496C-B76A-B5BD4ED27693}"/>
    <cellStyle name="Normal 132" xfId="1532" xr:uid="{00000000-0005-0000-0000-0000FD050000}"/>
    <cellStyle name="Normal 132 2" xfId="5733" xr:uid="{CB746F84-DECD-4BEA-89CD-02C08F0C21E1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2 4" xfId="5735" xr:uid="{4704CA68-AEFF-436F-AF47-3CD1D418D2A6}"/>
    <cellStyle name="Normal 134 3" xfId="4184" xr:uid="{EB668996-7777-4974-83AE-00F74C641A87}"/>
    <cellStyle name="Normal 134 4" xfId="4663" xr:uid="{335DA73D-9843-463A-BE25-054E5F652E16}"/>
    <cellStyle name="Normal 134 5" xfId="5734" xr:uid="{0C2D990C-8D7D-4FBA-9C12-380817394950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5 4" xfId="5736" xr:uid="{1F5D9523-EBED-4C12-B48F-438E44C507F2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6 4" xfId="5737" xr:uid="{B1B9675F-8CF6-433F-9F9F-7A1972F95ADE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2 3" xfId="5864" xr:uid="{54BD5856-B960-4DE1-A02A-3B2B684EDE1C}"/>
    <cellStyle name="Normal 137 2 3" xfId="4189" xr:uid="{0557A355-FE71-48BE-8A52-773C0EE05A5E}"/>
    <cellStyle name="Normal 137 2 4" xfId="4668" xr:uid="{B0858C94-91B6-4207-9B56-2D1FA6AC73AF}"/>
    <cellStyle name="Normal 137 2 5" xfId="5739" xr:uid="{F3F97A0B-0150-4639-86C6-346869A59D14}"/>
    <cellStyle name="Normal 137 3" xfId="2670" xr:uid="{DE2FAB10-EC26-4C42-9A25-5D9F87A07F8A}"/>
    <cellStyle name="Normal 137 3 2" xfId="5316" xr:uid="{95437AFC-EC03-4BC4-8D90-4A39A91FE734}"/>
    <cellStyle name="Normal 137 3 3" xfId="5863" xr:uid="{0199F9E2-26AB-4EC9-AC5C-63548E588CB3}"/>
    <cellStyle name="Normal 137 4" xfId="4188" xr:uid="{80344B34-BD7F-4A40-B8F0-FB7C336A988D}"/>
    <cellStyle name="Normal 137 5" xfId="4667" xr:uid="{00900A6C-62EE-4618-8981-B1A26C0A4556}"/>
    <cellStyle name="Normal 137 6" xfId="5738" xr:uid="{2F5428D7-E18E-4769-A5D2-2D3E103251F9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 3" xfId="5741" xr:uid="{16371EB3-1DE9-467F-A81D-C28FF47FD36B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 4" xfId="5740" xr:uid="{5797CAD2-EF1C-4677-8E90-7CE2C2FFFC6F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 3" xfId="5742" xr:uid="{1277C66B-0DF1-4EBB-BDAF-0D93C106BEBB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 3" xfId="5743" xr:uid="{857331D7-CF93-4CB9-B498-334EED8A6A19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3 2" xfId="5744" xr:uid="{AF1197FC-5CF3-4DDB-8903-6AA8D7716CF5}"/>
    <cellStyle name="Normal 14 4" xfId="1567" xr:uid="{00000000-0005-0000-0000-000020060000}"/>
    <cellStyle name="Normal 14 4 2" xfId="5745" xr:uid="{D7A12A3C-F5BF-4BA0-AC9C-BF9AE13F60A3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6 2" xfId="5746" xr:uid="{06773BE2-AEDA-4AE7-9AC2-BE267BF52F3A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 4" xfId="5747" xr:uid="{11DD0C7B-C9FF-43CC-93EF-2D8AB08724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5749" xr:uid="{F2219027-B1B0-4582-983B-A7FF510FACE0}"/>
    <cellStyle name="Normal 2 108 3" xfId="5748" xr:uid="{DFA63495-6712-4885-836D-0E3E29C763CF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4 2" xfId="5750" xr:uid="{CDCD755B-7EBB-4297-AE65-3C0F4A795948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2 2" xfId="5752" xr:uid="{55ACC64E-FD9F-4D86-B44B-9A6FC1773E5D}"/>
    <cellStyle name="Normal 2 2 2 2 3 3" xfId="1652" xr:uid="{00000000-0005-0000-0000-000075060000}"/>
    <cellStyle name="Normal 2 2 2 2 3 3 2" xfId="1653" xr:uid="{00000000-0005-0000-0000-000076060000}"/>
    <cellStyle name="Normal 2 2 2 2 3 3 2 2" xfId="5754" xr:uid="{19111D9E-32A4-4DBC-8E47-A25CF728BEC5}"/>
    <cellStyle name="Normal 2 2 2 2 3 3 3" xfId="5753" xr:uid="{4D3E7BF7-7CFE-4C6A-B772-1AF6EA3526B8}"/>
    <cellStyle name="Normal 2 2 2 2 3 4" xfId="5751" xr:uid="{408BBD8C-EA0E-41C7-BF26-4B8B7378C6E4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3 4" xfId="5755" xr:uid="{DDE26B50-E371-432F-A65E-528B8ABE93E4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4 2" xfId="5756" xr:uid="{404D2D2C-B8EE-4C81-A880-8AF6C7E197B1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2 2" xfId="5757" xr:uid="{780294E7-B76C-4A7E-AAD0-210EC12A8D75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4 2" xfId="5758" xr:uid="{24AC58CE-7D10-4F67-BB7A-ADA8DEC5206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8 2" xfId="5759" xr:uid="{B88FD1BE-8A8E-4EB5-B106-075F952A4E53}"/>
    <cellStyle name="Normal 2 39" xfId="1725" xr:uid="{00000000-0005-0000-0000-0000BE060000}"/>
    <cellStyle name="Normal 2 39 2" xfId="5760" xr:uid="{C20FC740-20C9-4153-8222-624BC7276E75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0 2" xfId="5761" xr:uid="{A6AAF515-988E-4995-BDC1-2276FA1399F5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2 4" xfId="5764" xr:uid="{714BD0F2-A10C-4901-8575-91446AFE0C3D}"/>
    <cellStyle name="Normal 2 5 2 3" xfId="4191" xr:uid="{7483AA81-4B29-4340-A0A1-E2651EF652A4}"/>
    <cellStyle name="Normal 2 5 2 4" xfId="4673" xr:uid="{A3E4B1A7-4A5F-496E-A9CD-2D1DE9DA2FBB}"/>
    <cellStyle name="Normal 2 5 2 5" xfId="5763" xr:uid="{B0D657A4-4A30-40FD-B872-C8CB6501C5D5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3 4" xfId="5765" xr:uid="{FD966CAB-34D4-46C2-8DAA-21DCC0801208}"/>
    <cellStyle name="Normal 2 5 4" xfId="2694" xr:uid="{B37BEAAF-FB27-40B1-9038-FD4B8C20F131}"/>
    <cellStyle name="Normal 2 5 4 2" xfId="5877" xr:uid="{D15213F4-091E-4C26-BEAC-BF6612AF356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 8" xfId="5762" xr:uid="{48B46AD5-4985-4BDF-9CC3-7E6BF4E0AA2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6 2" xfId="5766" xr:uid="{F662ACF7-6A3C-477C-AA53-6BD9F75CC3BD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 3" xfId="5767" xr:uid="{69687462-889F-4088-BCDB-6711E431C4D2}"/>
    <cellStyle name="Normal 28_Book2" xfId="1900" xr:uid="{00000000-0005-0000-0000-00006D070000}"/>
    <cellStyle name="Normal 29" xfId="1901" xr:uid="{00000000-0005-0000-0000-00006E070000}"/>
    <cellStyle name="Normal 29 2" xfId="5768" xr:uid="{8A0E937B-A38F-4F9E-B316-465EFC1A8377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5 2 2" xfId="5770" xr:uid="{C8145DF4-8051-48A5-89BD-FE4E4C620D8B}"/>
    <cellStyle name="Normal 3 5 3" xfId="5769" xr:uid="{AF9249DF-D0B1-4E55-A15B-4E83EB7F3C1A}"/>
    <cellStyle name="Normal 3 6" xfId="1915" xr:uid="{00000000-0005-0000-0000-00007C070000}"/>
    <cellStyle name="Normal 3 6 2" xfId="5771" xr:uid="{B1663A33-C532-45A2-861B-DBB5C4C69655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3 2" xfId="5772" xr:uid="{9908A89D-29E8-4F6E-A43B-EDE2C74F620F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3 2" xfId="5774" xr:uid="{CEDB4AE4-2D54-4960-AEA6-63D916B15C16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4 4" xfId="5775" xr:uid="{197A63F1-8404-42BB-A571-152A8AFF3CB0}"/>
    <cellStyle name="Normal 4 5" xfId="2692" xr:uid="{44F62430-6188-47B9-AE7F-EB79CCC4D478}"/>
    <cellStyle name="Normal 4 5 2" xfId="5875" xr:uid="{8300A451-19A6-4895-B216-3F6C5687B575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 9" xfId="5773" xr:uid="{D82123B4-65A4-4546-99BF-82BB0CC087ED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3 2" xfId="5776" xr:uid="{2E3A289D-264E-4E56-B1E3-F07EBA6A1DD1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3 2" xfId="5777" xr:uid="{A14292FB-B76C-4482-A75F-48EF4F0000E7}"/>
    <cellStyle name="Normal 5 4" xfId="1966" xr:uid="{00000000-0005-0000-0000-0000AF070000}"/>
    <cellStyle name="Normal 5 4 2" xfId="5778" xr:uid="{6981FB1D-7F2A-4CEB-976B-0F47B1815072}"/>
    <cellStyle name="Normal 5 5" xfId="1967" xr:uid="{00000000-0005-0000-0000-0000B0070000}"/>
    <cellStyle name="Normal 5 5 2" xfId="5779" xr:uid="{918C79D4-C29D-46FB-AF9C-26F83E8478DC}"/>
    <cellStyle name="Normal 5 6" xfId="1968" xr:uid="{00000000-0005-0000-0000-0000B1070000}"/>
    <cellStyle name="Normal 5 6 2" xfId="5780" xr:uid="{A4F07E73-2206-45BD-9F4C-69E2BB8E6415}"/>
    <cellStyle name="Normal 5 7" xfId="1969" xr:uid="{00000000-0005-0000-0000-0000B2070000}"/>
    <cellStyle name="Normal 5 7 2" xfId="5781" xr:uid="{FE542E9B-EF89-4BE5-A6AD-78EFC2D8D799}"/>
    <cellStyle name="Normal 5 8" xfId="1970" xr:uid="{00000000-0005-0000-0000-0000B3070000}"/>
    <cellStyle name="Normal 5 8 2" xfId="5782" xr:uid="{7F627F89-4EE5-4C44-8F35-01517F0EFEE8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1 2" xfId="5783" xr:uid="{66373DAE-78D6-4E5E-A08D-1FD006920F23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5 2" xfId="5784" xr:uid="{C9A9027F-F8C8-4EAE-8D9A-87D8A36D88B2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7 2" xfId="5785" xr:uid="{AE8824F8-1EAE-4321-BA60-9D50AE99189A}"/>
    <cellStyle name="Normal 58" xfId="1986" xr:uid="{00000000-0005-0000-0000-0000C3070000}"/>
    <cellStyle name="Normal 58 2" xfId="5786" xr:uid="{21AB48D4-812C-4E75-AAC8-2BE8D7158F9D}"/>
    <cellStyle name="Normal 59" xfId="1987" xr:uid="{00000000-0005-0000-0000-0000C4070000}"/>
    <cellStyle name="Normal 59 2" xfId="5787" xr:uid="{9DE4226C-B509-436E-B93A-7D7FAF9117A6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0 2" xfId="5788" xr:uid="{33AC0161-C73A-4862-8117-3ACEB4119FD4}"/>
    <cellStyle name="Normal 61" xfId="1996" xr:uid="{00000000-0005-0000-0000-0000CD070000}"/>
    <cellStyle name="Normal 61 2" xfId="5789" xr:uid="{C164545E-423E-4BB5-AB16-36057B6E4D42}"/>
    <cellStyle name="Normal 62" xfId="1997" xr:uid="{00000000-0005-0000-0000-0000CE070000}"/>
    <cellStyle name="Normal 62 2" xfId="5790" xr:uid="{AF8C5F50-1E36-43FD-9AB5-208FA5E7166D}"/>
    <cellStyle name="Normal 63" xfId="1998" xr:uid="{00000000-0005-0000-0000-0000CF070000}"/>
    <cellStyle name="Normal 63 2" xfId="5791" xr:uid="{D0629919-4E47-41DD-9A09-BBBB6724316B}"/>
    <cellStyle name="Normal 64" xfId="1999" xr:uid="{00000000-0005-0000-0000-0000D0070000}"/>
    <cellStyle name="Normal 64 2" xfId="5792" xr:uid="{5D5C6055-B83A-40FB-BCC3-0AFB961DDB6E}"/>
    <cellStyle name="Normal 65" xfId="2000" xr:uid="{00000000-0005-0000-0000-0000D1070000}"/>
    <cellStyle name="Normal 65 2" xfId="5793" xr:uid="{F99C1612-0C6F-4745-8ED9-C4E1FFBAA7D3}"/>
    <cellStyle name="Normal 66" xfId="2001" xr:uid="{00000000-0005-0000-0000-0000D2070000}"/>
    <cellStyle name="Normal 66 2" xfId="5794" xr:uid="{28261282-2B2E-49A1-BF0D-81642F8646A3}"/>
    <cellStyle name="Normal 67" xfId="2002" xr:uid="{00000000-0005-0000-0000-0000D3070000}"/>
    <cellStyle name="Normal 67 2" xfId="5795" xr:uid="{B4418741-D62B-485F-B7EB-3D8B826D34FB}"/>
    <cellStyle name="Normal 68" xfId="2003" xr:uid="{00000000-0005-0000-0000-0000D4070000}"/>
    <cellStyle name="Normal 68 2" xfId="5796" xr:uid="{34947EF4-4365-4D7C-8EE6-B7E2A24F498A}"/>
    <cellStyle name="Normal 69" xfId="2004" xr:uid="{00000000-0005-0000-0000-0000D5070000}"/>
    <cellStyle name="Normal 69 2" xfId="5797" xr:uid="{EC8A92C5-47C3-437A-BA49-7DA6151211F8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0 2" xfId="5798" xr:uid="{3191B225-43F5-445B-9FD0-27A6B8C5EFF5}"/>
    <cellStyle name="Normal 71" xfId="2013" xr:uid="{00000000-0005-0000-0000-0000DE070000}"/>
    <cellStyle name="Normal 71 2" xfId="5799" xr:uid="{672CBE35-06F1-42D3-AD3C-57732AA2869E}"/>
    <cellStyle name="Normal 72" xfId="2014" xr:uid="{00000000-0005-0000-0000-0000DF070000}"/>
    <cellStyle name="Normal 72 2" xfId="5800" xr:uid="{D0E91AF6-19BF-4911-A321-A02ADA2ADE26}"/>
    <cellStyle name="Normal 73" xfId="2015" xr:uid="{00000000-0005-0000-0000-0000E0070000}"/>
    <cellStyle name="Normal 73 2" xfId="5801" xr:uid="{5A08F3AA-AA18-4B60-807A-7B3509822F6B}"/>
    <cellStyle name="Normal 74" xfId="2016" xr:uid="{00000000-0005-0000-0000-0000E1070000}"/>
    <cellStyle name="Normal 74 2" xfId="5802" xr:uid="{73FEFFD4-6E9C-4159-B003-9946DB3CB049}"/>
    <cellStyle name="Normal 75" xfId="2017" xr:uid="{00000000-0005-0000-0000-0000E2070000}"/>
    <cellStyle name="Normal 75 2" xfId="5803" xr:uid="{5F028B7A-2A96-4871-AB3F-BF7E0BB2AF2F}"/>
    <cellStyle name="Normal 76" xfId="2018" xr:uid="{00000000-0005-0000-0000-0000E3070000}"/>
    <cellStyle name="Normal 76 2" xfId="5804" xr:uid="{28AAB6BB-61F2-45B5-8D73-3B5FABDF0B21}"/>
    <cellStyle name="Normal 77" xfId="2019" xr:uid="{00000000-0005-0000-0000-0000E4070000}"/>
    <cellStyle name="Normal 77 2" xfId="5805" xr:uid="{C9193331-05CE-4D5D-BDA2-94BC047E4DEC}"/>
    <cellStyle name="Normal 78" xfId="2020" xr:uid="{00000000-0005-0000-0000-0000E5070000}"/>
    <cellStyle name="Normal 78 2" xfId="5806" xr:uid="{51775E78-62C7-4C79-9BD1-777C17ADD4F7}"/>
    <cellStyle name="Normal 79" xfId="2021" xr:uid="{00000000-0005-0000-0000-0000E6070000}"/>
    <cellStyle name="Normal 79 2" xfId="5807" xr:uid="{394354FB-4543-42AD-989F-3E3F88BC1812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3 4" xfId="5809" xr:uid="{CDCB4642-D72A-432B-97C7-CE3161EDC3F5}"/>
    <cellStyle name="Normal 8 4" xfId="3260" xr:uid="{E2C51F0A-73AE-43E6-AC62-98B10C0EB78F}"/>
    <cellStyle name="Normal 8 4 2" xfId="6244" xr:uid="{6EE64A1A-7EB9-4666-8DA6-FE24AF70B016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 8" xfId="5808" xr:uid="{0A209468-EBF5-4AB0-B034-0DE97A5E28EB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0 2" xfId="5810" xr:uid="{8DEA3091-C8A6-44A0-B7B4-0F5528786D8E}"/>
    <cellStyle name="Normal 81" xfId="2027" xr:uid="{00000000-0005-0000-0000-0000EC070000}"/>
    <cellStyle name="Normal 81 2" xfId="5811" xr:uid="{E09A6653-B0BC-4B99-B3C8-119C43B3399D}"/>
    <cellStyle name="Normal 82" xfId="2028" xr:uid="{00000000-0005-0000-0000-0000ED070000}"/>
    <cellStyle name="Normal 82 2" xfId="5812" xr:uid="{3D94ECE2-5AD0-4E5F-BC14-F54604DA90DE}"/>
    <cellStyle name="Normal 83" xfId="2029" xr:uid="{00000000-0005-0000-0000-0000EE070000}"/>
    <cellStyle name="Normal 83 2" xfId="5813" xr:uid="{1F99B36D-9308-40C9-9983-A53D3F56F173}"/>
    <cellStyle name="Normal 84" xfId="2030" xr:uid="{00000000-0005-0000-0000-0000EF070000}"/>
    <cellStyle name="Normal 84 2" xfId="5814" xr:uid="{6152974F-C799-4012-A084-B198385A3596}"/>
    <cellStyle name="Normal 85" xfId="2031" xr:uid="{00000000-0005-0000-0000-0000F0070000}"/>
    <cellStyle name="Normal 85 2" xfId="5815" xr:uid="{7DC11F7B-6883-416E-A845-EDC8EC9B59AB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13" xfId="5816" xr:uid="{1666F898-E8C2-4B86-A007-AE6929C6D16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7 4" xfId="5817" xr:uid="{04C84030-147D-465D-A510-6F7D5865D8C7}"/>
    <cellStyle name="Normal 9 8" xfId="3262" xr:uid="{7D930580-CBA0-45C0-962B-5257BAEA215B}"/>
    <cellStyle name="Normal 9 8 2" xfId="6245" xr:uid="{B7F26131-3ADE-4A50-9A90-E92E5BFC27FC}"/>
    <cellStyle name="Normal 9 9" xfId="3684" xr:uid="{A55BE523-9AA7-44FE-B4C7-FE464EF8BAFF}"/>
    <cellStyle name="Normal 9 9 2" xfId="6317" xr:uid="{3CE689E5-87DA-4F33-BF6D-1F2A59A70705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2 2" xfId="5818" xr:uid="{BF03C03D-32E7-459C-8DF2-294BA8638FC2}"/>
    <cellStyle name="Normal 93" xfId="2083" xr:uid="{00000000-0005-0000-0000-000024080000}"/>
    <cellStyle name="Normal 93 2" xfId="5819" xr:uid="{E481360B-6CF2-4487-A88A-FBE44D801FB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5 2" xfId="5820" xr:uid="{7E513495-0E8C-49D2-B30D-D8D9659259D9}"/>
    <cellStyle name="Normal 96" xfId="2087" xr:uid="{00000000-0005-0000-0000-000028080000}"/>
    <cellStyle name="Normal 96 2" xfId="5821" xr:uid="{ACA97E9C-47D7-4F6D-813D-9614AD737A2F}"/>
    <cellStyle name="Normal 97" xfId="2088" xr:uid="{00000000-0005-0000-0000-000029080000}"/>
    <cellStyle name="Normal 97 2" xfId="5822" xr:uid="{A5DC6A29-4257-4D98-AFE8-1A68D073F46E}"/>
    <cellStyle name="Normal 98" xfId="2089" xr:uid="{00000000-0005-0000-0000-00002A080000}"/>
    <cellStyle name="Normal 98 2" xfId="5823" xr:uid="{9FDCF7EE-8F0E-4A33-8B3C-456E73E15C27}"/>
    <cellStyle name="Normal 99" xfId="2090" xr:uid="{00000000-0005-0000-0000-00002B080000}"/>
    <cellStyle name="Normal 99 2" xfId="5824" xr:uid="{A4B075BD-9CB3-4374-801A-851A435D9AFF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3 2" xfId="6319" xr:uid="{AF8E1CE6-7E7D-4B3A-9242-7AE5D9A966BC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4 2" xfId="6318" xr:uid="{9C9D1465-9662-4759-8DBD-FC5B2DA0C95B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3 2" xfId="6321" xr:uid="{DD4CF9BF-7677-4062-9F09-B2C987AC1D14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4 2" xfId="6320" xr:uid="{28837C6D-4BCE-49B9-8CAF-09E3094484B5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3 2" xfId="6323" xr:uid="{635B6EED-F37B-4D6D-A3B3-D6B7E3A6E662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4 2" xfId="6322" xr:uid="{BCD3CA40-F12C-4086-A56C-20E22EE762CD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3 2" xfId="6325" xr:uid="{47003D9D-1695-44E2-882D-C0012CCD6B7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4 2" xfId="6324" xr:uid="{DD4EF260-F9DA-429B-BE2D-ACF047ADDAB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3 2" xfId="6327" xr:uid="{765F99BF-1177-4468-9EB3-F0F977534984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4 2" xfId="6326" xr:uid="{279DF7E9-0F05-46CA-B152-937FCF06676A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3 2" xfId="6329" xr:uid="{9248273E-EDC1-4110-BD5B-C628337FDBA2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4 2" xfId="6328" xr:uid="{55B5468C-B872-4994-912C-DFF4BDDF5034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3 2" xfId="6331" xr:uid="{7C10DF1E-5053-4DDC-8F02-F951636FE47E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4 2" xfId="6246" xr:uid="{4AA40387-73E4-4269-9133-E29B8E6644D6}"/>
    <cellStyle name="Note 16 5" xfId="3558" xr:uid="{C5834A73-E95D-4D86-A1C1-C6ADB68018D3}"/>
    <cellStyle name="Note 16 5 2" xfId="6330" xr:uid="{48D7BC66-DAD3-46E6-B153-EAD4FEEA99FD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3 2" xfId="6333" xr:uid="{F9DEDB85-AD70-4081-AFBD-C02BA7EDC4F2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4 2" xfId="6247" xr:uid="{63C6C6E7-A500-4BA7-887C-10C515213B4C}"/>
    <cellStyle name="Note 17 5" xfId="3556" xr:uid="{BEAD261E-C2B7-4164-BCD9-98FE5A0C8B22}"/>
    <cellStyle name="Note 17 5 2" xfId="6332" xr:uid="{12506306-BC36-4352-9D38-CC0A4710E020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3 2" xfId="6335" xr:uid="{56D99B61-90AD-43E6-9CDA-8474DFF39F68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4 2" xfId="6248" xr:uid="{341E8E18-5D6C-425A-BEA8-F1733B59F0E9}"/>
    <cellStyle name="Note 18 5" xfId="3554" xr:uid="{D9534C0E-227A-4657-B1E1-8081BC9433AF}"/>
    <cellStyle name="Note 18 5 2" xfId="6334" xr:uid="{C7EF7BEB-2F50-4EF4-A925-C8014515B817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3 2" xfId="6337" xr:uid="{9046447A-7A86-4FCB-9D8E-7D59318619FD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4 2" xfId="6249" xr:uid="{E9CCCFF3-2F69-4C86-934C-027DECC13199}"/>
    <cellStyle name="Note 19 5" xfId="3552" xr:uid="{7599710E-99C9-4DFB-AF61-153A8930D4A0}"/>
    <cellStyle name="Note 19 5 2" xfId="6336" xr:uid="{AD14A512-1BA9-497B-9316-16565AA28FBD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3 2" xfId="6339" xr:uid="{CEEC32E7-52D9-48E9-85AF-9DFBAA143825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3 2" xfId="6340" xr:uid="{61CBD7E6-CE1A-48AB-8C2E-35472DD455D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5 2" xfId="6338" xr:uid="{61EE441B-EE99-45EC-A59F-D9D1284AFEBB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3 2" xfId="6342" xr:uid="{A8853B04-8D6A-4F76-801E-345497A135F5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4 2" xfId="6250" xr:uid="{77921527-DF00-48BC-82B7-FBE85CB2D31C}"/>
    <cellStyle name="Note 20 5" xfId="3400" xr:uid="{A7F42A36-404A-455C-85DC-750F9CE5B55A}"/>
    <cellStyle name="Note 20 5 2" xfId="6341" xr:uid="{B5DA2DD3-7281-4A1A-8D31-DF5D84B7BE31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3 2" xfId="6344" xr:uid="{F18A4238-762C-48B3-AE51-CB1997704026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4 2" xfId="6251" xr:uid="{6F6B5BD2-E210-4744-BE17-47FAC4429063}"/>
    <cellStyle name="Note 21 5" xfId="3546" xr:uid="{34C64376-2CBF-42FD-8887-D3BA6FA22AA9}"/>
    <cellStyle name="Note 21 5 2" xfId="6343" xr:uid="{2E93F211-B361-42A2-A056-719BA4B353CD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3 2" xfId="6346" xr:uid="{FB833C3B-0E94-4E0F-8EC1-7977BB78C357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4 2" xfId="6252" xr:uid="{45E48C84-A06E-476E-A5C0-5D0A7DDF82D4}"/>
    <cellStyle name="Note 22 5" xfId="3544" xr:uid="{4B76D9B0-3DC5-4992-83C3-677033929DA2}"/>
    <cellStyle name="Note 22 5 2" xfId="6345" xr:uid="{7F57C260-9D1C-43EF-878E-F8A52A1F8F61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3 2" xfId="6348" xr:uid="{3ACDF2E6-C948-4D7A-8995-402CDC84852E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4 2" xfId="6253" xr:uid="{0E3C88ED-B32B-4281-BD20-99234B816F93}"/>
    <cellStyle name="Note 23 5" xfId="3542" xr:uid="{7B6864DC-671E-4FAF-8E9E-48C89B33F29A}"/>
    <cellStyle name="Note 23 5 2" xfId="6347" xr:uid="{50473525-AA1A-4EA1-9B28-27D8BCA5603B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3 2" xfId="6350" xr:uid="{F5D6443B-87ED-4DA7-92E1-581497DAA931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4 2" xfId="6254" xr:uid="{AD7751D3-4A18-4CE3-AA0F-60855D594E10}"/>
    <cellStyle name="Note 24 5" xfId="3540" xr:uid="{E7299643-5DFC-4113-9546-DE8BD05775A3}"/>
    <cellStyle name="Note 24 5 2" xfId="6349" xr:uid="{F3FF0ED1-30B6-4F7C-8DE3-AAA07FEEB17D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3 2" xfId="6352" xr:uid="{A7121723-3F33-4F03-918F-F0E92994CD69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4 2" xfId="6255" xr:uid="{E9A3C95D-B0C8-4630-92F9-98792DD989F3}"/>
    <cellStyle name="Note 25 5" xfId="3538" xr:uid="{43ACAC25-B730-4778-822A-276C61917C33}"/>
    <cellStyle name="Note 25 5 2" xfId="6351" xr:uid="{C46C8778-4C2A-4E45-A748-1D7118861BCE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3 2" xfId="6354" xr:uid="{925C0233-9A6A-4A65-B317-C5A2300B6382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4 2" xfId="6256" xr:uid="{D8D1F697-2BB8-4146-BDA9-D619246F8582}"/>
    <cellStyle name="Note 26 5" xfId="3399" xr:uid="{100A1DB2-73A1-4091-891B-9A32788EAA99}"/>
    <cellStyle name="Note 26 5 2" xfId="6353" xr:uid="{16F05DFE-DD1C-4C80-B1B5-1ECCCEDC3D73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3 2" xfId="6356" xr:uid="{EFC38526-434F-46C6-AFCB-116034D8A3E7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4 2" xfId="6257" xr:uid="{804769F3-93FB-4AF4-BF00-3BCA5AA0A3FC}"/>
    <cellStyle name="Note 27 5" xfId="3535" xr:uid="{1A2B4CB8-9D4B-48EE-AB93-18E9490C37DC}"/>
    <cellStyle name="Note 27 5 2" xfId="6355" xr:uid="{73684E0B-A305-49A7-B0D6-E6EFF3958310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3 2" xfId="6358" xr:uid="{68145CF2-B47D-4C52-B812-F03128BCD8C3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4 2" xfId="6258" xr:uid="{BDBE58A7-A9EB-489F-897C-6BB600010B63}"/>
    <cellStyle name="Note 28 5" xfId="3533" xr:uid="{58B48796-E648-4C1B-A505-088B84024711}"/>
    <cellStyle name="Note 28 5 2" xfId="6357" xr:uid="{8D25D3BB-93F3-43B4-BCF0-B1B984D809D4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3 2" xfId="6360" xr:uid="{D456653F-2B00-4601-8012-CB383A9757B0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4 2" xfId="6259" xr:uid="{5A81FFFC-F15A-47B8-BBAA-B3C37367C1EF}"/>
    <cellStyle name="Note 29 5" xfId="3531" xr:uid="{30FC268C-4A8A-416A-92A3-CB11767465A8}"/>
    <cellStyle name="Note 29 5 2" xfId="6359" xr:uid="{0037E21D-1A40-4D2E-9155-8738D3CEAB39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3 2" xfId="6362" xr:uid="{C7432728-5880-4F3C-BC5B-77500D057771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4 2" xfId="6361" xr:uid="{136A9DE3-E4E8-4F67-9AF2-75FFC3AF3EB2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3 2" xfId="6364" xr:uid="{632FA884-628A-4A5A-9BEF-2EBFB699F899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4 2" xfId="6260" xr:uid="{9BE3CF00-223C-45A8-AB7A-7827C871DD16}"/>
    <cellStyle name="Note 30 5" xfId="3527" xr:uid="{E1B0FA2C-1362-4FD1-922E-80BB53EDA35C}"/>
    <cellStyle name="Note 30 5 2" xfId="6363" xr:uid="{9336868F-B548-4E40-8C3F-77E24B17CE03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3 2" xfId="6366" xr:uid="{15E46BEF-5D4E-4197-B14C-07D6D0A4C2C4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4 2" xfId="6261" xr:uid="{51F3A260-521C-4F3F-9759-A96239CEB157}"/>
    <cellStyle name="Note 31 5" xfId="3398" xr:uid="{6FA7B44C-F183-4592-9B65-87E53A95AF2A}"/>
    <cellStyle name="Note 31 5 2" xfId="6365" xr:uid="{B866C753-1354-4D22-BDE9-6C0BE1F065B9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3 2" xfId="6368" xr:uid="{E12C357F-6079-4787-964E-5FA6A66E26B6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4 2" xfId="6262" xr:uid="{232FFEA0-FA55-4171-AEF7-559B99B358F5}"/>
    <cellStyle name="Note 32 5" xfId="3524" xr:uid="{BEA39A75-6B7F-41D5-8BBF-29D1A72ED910}"/>
    <cellStyle name="Note 32 5 2" xfId="6367" xr:uid="{00147265-71D5-4CDF-9321-0CEDD0CF39C5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3 2" xfId="6370" xr:uid="{C3E6D86C-73FF-43D3-BAB1-751E8ADC3029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4 2" xfId="6263" xr:uid="{2E23602D-E6BD-4B3A-ABA1-B5D17F6941FC}"/>
    <cellStyle name="Note 33 5" xfId="3522" xr:uid="{EB5A71AC-C820-4E54-8438-A5968E78A3FD}"/>
    <cellStyle name="Note 33 5 2" xfId="6369" xr:uid="{FEC208B9-2B49-445F-814A-461C3C968A9A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3 2" xfId="6372" xr:uid="{94414F9C-52DA-427D-94ED-6CFA61E7E91F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4 2" xfId="6264" xr:uid="{EBDB8E8C-425D-4A44-A93F-7F60F80222EB}"/>
    <cellStyle name="Note 34 5" xfId="3520" xr:uid="{98BFBBFD-C8A6-4290-AD91-3E0A70888634}"/>
    <cellStyle name="Note 34 5 2" xfId="6371" xr:uid="{27F4AF46-7963-4641-AF38-FDED0798E43F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3 2" xfId="6374" xr:uid="{85848590-0C00-4242-A16F-FCE8D4A77A38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4 2" xfId="6265" xr:uid="{D6133CB2-0CE7-4924-BA0C-E66192DBA309}"/>
    <cellStyle name="Note 35 5" xfId="3518" xr:uid="{7B4A5492-0ACF-4791-A243-A123C7B2EA00}"/>
    <cellStyle name="Note 35 5 2" xfId="6373" xr:uid="{5B4E382D-426F-4822-B789-B32912BA5CDC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3 2" xfId="6376" xr:uid="{BC725275-72CB-435F-8211-C744A688BEBA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4 2" xfId="6266" xr:uid="{809193A6-9590-493C-8A2B-F4A5C99090E5}"/>
    <cellStyle name="Note 36 5" xfId="3516" xr:uid="{996DE23E-5365-42BA-BF11-4BB634946E1F}"/>
    <cellStyle name="Note 36 5 2" xfId="6375" xr:uid="{9701757B-5C66-41DF-9BB6-BC9A8718E6A7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3 2" xfId="6378" xr:uid="{853B2EC3-1482-4E16-A0C7-D3EF21DC50A7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4 2" xfId="6267" xr:uid="{71F48734-3E32-48D6-9AD0-C053EEEC2AC2}"/>
    <cellStyle name="Note 37 5" xfId="3397" xr:uid="{4C97BBA9-E644-429A-8019-75C0C5050068}"/>
    <cellStyle name="Note 37 5 2" xfId="6377" xr:uid="{097EDCA1-15B0-4BCF-8429-098DE497A752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3 2" xfId="6380" xr:uid="{EC900235-8CED-4932-8606-88E1126AEA90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4 2" xfId="6268" xr:uid="{0A52A950-AB26-47DD-AA04-946D4297BE22}"/>
    <cellStyle name="Note 38 5" xfId="3513" xr:uid="{B6F225A3-D649-4258-8224-CBA676B65B9F}"/>
    <cellStyle name="Note 38 5 2" xfId="6379" xr:uid="{7447231D-8F84-4B9F-83C1-8B7CCB8BE254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3 2" xfId="6382" xr:uid="{083D3C0F-1BF2-4B61-8BA5-269860229E33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4 2" xfId="6269" xr:uid="{2920F715-A2B6-4AEA-A2D8-D7ECC7365EE7}"/>
    <cellStyle name="Note 39 5" xfId="3511" xr:uid="{21FF78AD-2D7A-4FEB-AA1B-2997C236803A}"/>
    <cellStyle name="Note 39 5 2" xfId="6381" xr:uid="{96CF7A0C-2DB4-47D6-B75D-6CE6F3C27C8C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3 2" xfId="6384" xr:uid="{C479C8BB-DD5E-4433-B722-567FC94A9151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4 2" xfId="6383" xr:uid="{86E92429-3E92-4723-87F6-CA5B21DC5302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3 2" xfId="6386" xr:uid="{1EE12A43-5756-4575-B718-7B310F1287F1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4 2" xfId="6270" xr:uid="{4E209CA6-9A7A-44AC-85CB-63650CA2FE64}"/>
    <cellStyle name="Note 40 5" xfId="3507" xr:uid="{4DA4C67D-2CFD-41B5-9509-CB2584491573}"/>
    <cellStyle name="Note 40 5 2" xfId="6385" xr:uid="{A41AD192-448E-4376-90B5-3661D75B15D8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3 2" xfId="6388" xr:uid="{FAB96DA3-D474-4046-B2F8-C8791862C77D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4 2" xfId="6271" xr:uid="{C0867BC5-0931-4D15-BEBA-BE3428899EB9}"/>
    <cellStyle name="Note 41 5" xfId="3505" xr:uid="{24BCA7C7-F20D-4FB3-A0C5-D124FC0CAFD0}"/>
    <cellStyle name="Note 41 5 2" xfId="6387" xr:uid="{9CF9867E-CD07-4BFE-BB97-B35C6FC262BC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3 2" xfId="6390" xr:uid="{F9F6D5E7-DFA0-468D-B9C1-7F520AA49539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4 2" xfId="6272" xr:uid="{CF4684EA-3005-42EC-B925-A0617EAD9190}"/>
    <cellStyle name="Note 42 5" xfId="3396" xr:uid="{27068AC5-AF62-4B34-8391-DED538C4AF59}"/>
    <cellStyle name="Note 42 5 2" xfId="6389" xr:uid="{D7535AB4-4A46-4267-AF9B-D6D6ACEBCEA4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3 2" xfId="6392" xr:uid="{45C5DB02-4F94-4989-B4FD-01C7528BE8C2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4 2" xfId="6273" xr:uid="{5FA8E8D3-277E-42B6-B4EB-2C366E436081}"/>
    <cellStyle name="Note 43 5" xfId="3502" xr:uid="{A895C57D-6510-4575-982A-F95E073B5AE8}"/>
    <cellStyle name="Note 43 5 2" xfId="6391" xr:uid="{BE521FB4-27D2-4997-811B-D2FA9D3E6366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3 2" xfId="6394" xr:uid="{AB37AB62-DD5D-48D9-A0B7-58D69165D2FC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4 2" xfId="6274" xr:uid="{F401917A-6249-411B-8797-8962D24E5CBD}"/>
    <cellStyle name="Note 44 5" xfId="3500" xr:uid="{025A9ABF-5C6A-48B0-B60F-1DD2B41D59B7}"/>
    <cellStyle name="Note 44 5 2" xfId="6393" xr:uid="{50841DED-6D4C-49C4-A899-C9D7B7BFAA53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3 2" xfId="6396" xr:uid="{3537BF93-1BD1-498D-9FB0-EB2D6EB0C1C6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4 2" xfId="6275" xr:uid="{0AD4E772-7075-45EC-87CF-1AED1AAA3A88}"/>
    <cellStyle name="Note 45 5" xfId="3498" xr:uid="{5AD429A2-408E-4219-9A03-8632BE456BBC}"/>
    <cellStyle name="Note 45 5 2" xfId="6395" xr:uid="{9AF1B2DF-756C-43DA-84F7-AAEE86C985A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3 2" xfId="6398" xr:uid="{D0A41319-5322-4D13-A602-E7B8D83EB42B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4 2" xfId="6276" xr:uid="{FCC5537F-6354-4BEF-A42F-FCD02D24CAA2}"/>
    <cellStyle name="Note 46 5" xfId="3496" xr:uid="{A6C1E8C8-E9DF-4CB2-A804-D7CCAF0213BF}"/>
    <cellStyle name="Note 46 5 2" xfId="6397" xr:uid="{2D9A7B61-E328-4410-8FDE-A6F854AAAB83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3 2" xfId="6400" xr:uid="{5DDBC8EF-F2B5-4D5D-8207-828EF98F6BA0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4 2" xfId="6277" xr:uid="{B1967395-E332-4BDE-9D62-467D8FB1DF22}"/>
    <cellStyle name="Note 47 5" xfId="3494" xr:uid="{2C88FBA2-C23F-4D9B-A8FD-C3064C9EC764}"/>
    <cellStyle name="Note 47 5 2" xfId="6399" xr:uid="{6B052254-DEA4-49A5-9FE0-50D08938969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3 2" xfId="6402" xr:uid="{9C9DC959-ACD0-4801-AB6B-10C2B2067668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4 2" xfId="6278" xr:uid="{437DE304-AD22-4685-96FB-4A1F4784A973}"/>
    <cellStyle name="Note 48 5" xfId="3395" xr:uid="{02335D83-FC15-4E0D-B148-00FDDCA55E2F}"/>
    <cellStyle name="Note 48 5 2" xfId="6401" xr:uid="{3C9D17F3-165A-4ACE-9837-2475B1999DFC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3 2" xfId="6404" xr:uid="{7EA51AAA-9FC8-45EF-BAA0-1F7737BC40C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4 2" xfId="6279" xr:uid="{60058E00-5DBC-46BD-8110-2528D9D11E45}"/>
    <cellStyle name="Note 49 5" xfId="3491" xr:uid="{D43BEC63-2FDD-463E-BD95-AA2295D27108}"/>
    <cellStyle name="Note 49 5 2" xfId="6403" xr:uid="{ED07A8D3-68D2-4E02-BE74-81EFD31476E4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3 2" xfId="6406" xr:uid="{A2C601B7-F08A-4901-847F-F0F515FFA674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4 2" xfId="6405" xr:uid="{54E9B897-5242-48E6-AC6D-11E4532A7442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3 2" xfId="6408" xr:uid="{CE3DC4B5-6F9A-46A0-9E92-A5F76B3FE0EA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4 2" xfId="6280" xr:uid="{54D2B7B6-47AD-44FB-B204-01E7F9CB7F0E}"/>
    <cellStyle name="Note 50 5" xfId="3487" xr:uid="{3EDD41F9-73D1-4F77-A52B-B2EF59ECCE06}"/>
    <cellStyle name="Note 50 5 2" xfId="6407" xr:uid="{3DFFA8A2-FA04-4959-97D8-370553BB73E9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3 2" xfId="6410" xr:uid="{45997BDD-460C-45EF-8210-4AC328582E4D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4 2" xfId="6281" xr:uid="{11116671-0DBE-456F-AA37-1874CF2B8471}"/>
    <cellStyle name="Note 51 5" xfId="3485" xr:uid="{E9C49DFE-F272-4EDC-BDB1-BE71750FE775}"/>
    <cellStyle name="Note 51 5 2" xfId="6409" xr:uid="{899559E6-96EE-4987-AA93-571D146298E2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3 2" xfId="6412" xr:uid="{D659B353-8875-41BA-93C0-6833B21EC2AA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4 2" xfId="6282" xr:uid="{EC9D5470-CC90-421D-A577-022CC589B7A8}"/>
    <cellStyle name="Note 52 5" xfId="3483" xr:uid="{60C2D556-2F8C-41F3-8C56-44C6A3F8EA16}"/>
    <cellStyle name="Note 52 5 2" xfId="6411" xr:uid="{676E4A0B-5637-45D4-B125-7ABDD8C333B1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3 2" xfId="6414" xr:uid="{4B00CC31-F792-41D7-9808-3500870565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4 2" xfId="6283" xr:uid="{3D1F22C4-D9E0-4125-A6CA-61DE3CAE5AB6}"/>
    <cellStyle name="Note 53 5" xfId="3394" xr:uid="{9FBC9FAA-E0ED-4865-A20D-54682241B6C3}"/>
    <cellStyle name="Note 53 5 2" xfId="6413" xr:uid="{5EFF42D8-B3BF-436C-A01B-C4DE188052D5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3 2" xfId="6416" xr:uid="{DF230875-097E-4E97-95AC-C51F6CE9E491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4 2" xfId="6284" xr:uid="{F289AF9A-80BA-4039-8651-9D65A06D69DE}"/>
    <cellStyle name="Note 54 5" xfId="3480" xr:uid="{8F5C4671-A803-4A60-BFC3-522EE258B1A0}"/>
    <cellStyle name="Note 54 5 2" xfId="6415" xr:uid="{BD299482-C480-44E8-8FCC-58D36CBBBF34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3 2" xfId="6418" xr:uid="{89FD8207-8158-477A-8AF9-F28B1176BDF8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4 2" xfId="6285" xr:uid="{5CD225E1-3D75-45B9-9A49-F021FA23F043}"/>
    <cellStyle name="Note 55 5" xfId="3478" xr:uid="{11D559F9-B4A9-4F37-9FC6-8D8C510E390C}"/>
    <cellStyle name="Note 55 5 2" xfId="6417" xr:uid="{67E13284-2DC9-4E2C-B0E5-A8C4A8232C33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3 2" xfId="6420" xr:uid="{6D994968-AD7D-4DBF-80AE-A94AD2D658D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4 2" xfId="6286" xr:uid="{5DDFCA3F-0AD4-4A08-8E37-68C6AF83458B}"/>
    <cellStyle name="Note 56 5" xfId="3476" xr:uid="{1D07EA67-EA6A-408D-8BAF-46D092EDA221}"/>
    <cellStyle name="Note 56 5 2" xfId="6419" xr:uid="{FE095C1C-DDCC-4824-BF3E-E5E1D5C1CDB5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3 2" xfId="6422" xr:uid="{CFDE3ADF-DE95-486D-87B9-10CE5D605C8F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4 2" xfId="6287" xr:uid="{173763B9-1F97-43CB-A484-6AC627A11C87}"/>
    <cellStyle name="Note 57 5" xfId="3474" xr:uid="{82306FC1-0703-4ADF-B83C-7DAE4EE56BB4}"/>
    <cellStyle name="Note 57 5 2" xfId="6421" xr:uid="{76767C14-B71D-4A15-82EE-2E3CE0DE5627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3 2" xfId="6424" xr:uid="{E4015D7E-7F83-49E5-9D51-90074C954058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4 2" xfId="6288" xr:uid="{AFD27AEE-6615-4DB7-982B-1EB6E857504A}"/>
    <cellStyle name="Note 58 5" xfId="3472" xr:uid="{2A2A9490-1F54-4575-90DF-188408E8AEEB}"/>
    <cellStyle name="Note 58 5 2" xfId="6423" xr:uid="{21895F8A-8C7B-457C-8528-36276CBA2A3E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3 2" xfId="6426" xr:uid="{11F9480B-C26B-48D2-95C1-680A8C8C70E9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4 2" xfId="6289" xr:uid="{C304EFF6-CF67-4FA5-9AA4-5CD24B3E1D88}"/>
    <cellStyle name="Note 59 5" xfId="3393" xr:uid="{64D82AD9-A675-4B38-9E4B-CD2C5134517B}"/>
    <cellStyle name="Note 59 5 2" xfId="6425" xr:uid="{5B1AA45C-60A1-487A-A07D-BEE944C2BBD2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3 2" xfId="6428" xr:uid="{E8782363-BF00-45DE-87A9-A665A42DA48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4 2" xfId="6427" xr:uid="{7A96C698-3DC6-40E9-8162-8A27354E6BFF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3 2" xfId="6430" xr:uid="{D90797CE-7E5A-4215-B128-DA191275F83E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4 2" xfId="6290" xr:uid="{BDC003AD-7FE0-4316-87CA-4336FBE468BB}"/>
    <cellStyle name="Note 60 5" xfId="3467" xr:uid="{F535990F-0574-4B63-AB98-F1D88A64D7DD}"/>
    <cellStyle name="Note 60 5 2" xfId="6429" xr:uid="{B0DA4563-EC8B-4047-B5AA-40C9829D45AE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3 2" xfId="6432" xr:uid="{C9E4EE92-4F42-4FBC-8491-41E6C23CB35B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4 2" xfId="6291" xr:uid="{983123D5-1B8F-495A-904F-FE797D404E7D}"/>
    <cellStyle name="Note 61 5" xfId="3465" xr:uid="{690A406E-BFBB-4745-9DD1-4C56ED1DD053}"/>
    <cellStyle name="Note 61 5 2" xfId="6431" xr:uid="{9F12CCE2-318B-4C90-90BB-FEA1E2DE9799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3 2" xfId="6434" xr:uid="{1BA95FD7-9261-4292-BADB-4F6CB760146A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4 2" xfId="6292" xr:uid="{F6508BF3-E03D-402F-BAF9-C8830E4A1046}"/>
    <cellStyle name="Note 62 5" xfId="3463" xr:uid="{2F11BF05-595C-4706-BB1D-3893FB93A963}"/>
    <cellStyle name="Note 62 5 2" xfId="6433" xr:uid="{67DB9E7C-BCEA-45E3-B3CA-EAC32C8B51EF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3 2" xfId="6436" xr:uid="{D28D2293-76A0-4944-B604-5573C8B67C92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4 2" xfId="6293" xr:uid="{CB5E2644-A285-4D8D-867D-24802787E0D9}"/>
    <cellStyle name="Note 63 5" xfId="3461" xr:uid="{1B84C320-DF0A-40EE-982D-AE54E741206B}"/>
    <cellStyle name="Note 63 5 2" xfId="6435" xr:uid="{41959648-EEE2-4509-87A7-F916BCBA042F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3 2" xfId="6438" xr:uid="{2545BD79-0516-4A0E-BFE4-9EC9C6961241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4 2" xfId="6294" xr:uid="{DDA3D322-8C67-4EFA-9AE5-EA84A1263575}"/>
    <cellStyle name="Note 64 5" xfId="3392" xr:uid="{A7E9546A-6862-4523-8EA2-72FE9A2B781E}"/>
    <cellStyle name="Note 64 5 2" xfId="6437" xr:uid="{11543463-1D67-4AE8-9165-9AAA811C3C66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3 2" xfId="6440" xr:uid="{CB3792FB-07E1-4AF0-8542-4B37858296F6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4 2" xfId="6295" xr:uid="{82116D0D-434E-4516-BF9E-44EDF86C9B8C}"/>
    <cellStyle name="Note 65 5" xfId="3458" xr:uid="{DDDCB3BA-1FDF-4CB5-A10A-8D5AB44E68B9}"/>
    <cellStyle name="Note 65 5 2" xfId="6439" xr:uid="{517286EC-D6E0-4F22-B1A6-3B47DAE26B75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3 2" xfId="6442" xr:uid="{D444333A-D256-4B82-A5B8-F0611C0834A1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4 2" xfId="6296" xr:uid="{15102ACD-3950-415F-94C3-4C8E5B5A70E1}"/>
    <cellStyle name="Note 66 5" xfId="3456" xr:uid="{F1989541-4178-4677-BEFA-564EEF1BD133}"/>
    <cellStyle name="Note 66 5 2" xfId="6441" xr:uid="{01217844-1562-44C2-9AAF-7B5551260C22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3 2" xfId="6444" xr:uid="{2874FFF9-D9A2-49E1-817D-1DE1AE418830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4 2" xfId="6297" xr:uid="{7F721B00-A555-4CAA-9414-DCED1ADF336E}"/>
    <cellStyle name="Note 67 5" xfId="3454" xr:uid="{696851F2-4068-4699-AD0A-31CFA49A6016}"/>
    <cellStyle name="Note 67 5 2" xfId="6443" xr:uid="{9CDAA25C-F030-4850-A9FA-5A082B1A29B3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3 2" xfId="6446" xr:uid="{B8956806-32E9-4FC6-98E7-50DDD8809527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4 2" xfId="6298" xr:uid="{71A571D1-F04D-495F-B97D-266D61522DFC}"/>
    <cellStyle name="Note 68 5" xfId="3452" xr:uid="{16FAA67A-F6A7-40A3-9ED8-E7AB801D4CC5}"/>
    <cellStyle name="Note 68 5 2" xfId="6445" xr:uid="{67B27698-D001-4BC5-866C-2CE538FF5E98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3 2" xfId="6448" xr:uid="{6B3AE253-03C7-470D-9442-0536E5823FC5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4 2" xfId="6299" xr:uid="{B02301C6-5A79-473E-A932-581CC69E9229}"/>
    <cellStyle name="Note 69 5" xfId="3450" xr:uid="{DC7103C6-F5AF-4441-BD29-2865952DEFFA}"/>
    <cellStyle name="Note 69 5 2" xfId="6447" xr:uid="{31A6245B-7C73-47D8-8836-3774CEC39D93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3 2" xfId="6450" xr:uid="{BF1A77CF-FB98-45DA-8E86-DBC1927A29A7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4 2" xfId="6449" xr:uid="{79CD54F7-CEF6-4534-820E-CADC213B3AAA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3 2" xfId="6452" xr:uid="{4A23CF68-685D-4017-913D-2D909E6EEC9C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4 2" xfId="6300" xr:uid="{4CE716A5-F5F3-49C1-9F4C-2F9BE4CB67F5}"/>
    <cellStyle name="Note 70 5" xfId="3447" xr:uid="{D25D08D6-B570-4CE4-BD29-C84278E16BF4}"/>
    <cellStyle name="Note 70 5 2" xfId="6451" xr:uid="{6BB3112C-177E-4365-A5DC-BC321360EF4A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3 2" xfId="6454" xr:uid="{6B312334-3ABB-45B4-8632-6C934F603911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4 2" xfId="6301" xr:uid="{67DB45E4-8B42-4A3E-98FB-E106BA1AE8D4}"/>
    <cellStyle name="Note 71 5" xfId="3445" xr:uid="{8BB86E47-BD84-451B-B990-8EFDC5F03045}"/>
    <cellStyle name="Note 71 5 2" xfId="6453" xr:uid="{53357A05-472C-42AF-A9A7-FB5D50DDE2B1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3 2" xfId="6456" xr:uid="{3CA09262-0B13-4CCE-B332-5940585859AF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4 2" xfId="6302" xr:uid="{839E30D7-D70E-440D-BE41-5EB4946E12F4}"/>
    <cellStyle name="Note 72 5" xfId="3443" xr:uid="{7C6FB10D-A3C4-40A8-98EF-029EB96A7CFE}"/>
    <cellStyle name="Note 72 5 2" xfId="6455" xr:uid="{359DFF5A-4B09-444F-866F-86685BC58970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3 2" xfId="6458" xr:uid="{3BC9EB10-D1FD-4E88-BA7F-C413D77F126B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4 2" xfId="6303" xr:uid="{D823D299-8B1B-4C29-A8FF-6A8190649BFF}"/>
    <cellStyle name="Note 73 5" xfId="3441" xr:uid="{6BC9D87B-B63C-40B3-9BB3-5F30D06EE3D3}"/>
    <cellStyle name="Note 73 5 2" xfId="6457" xr:uid="{0DAD7EAA-1CB2-4145-82F3-8796B9F84FF0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3 2" xfId="6460" xr:uid="{B1EFC244-61C6-476D-8A52-AC8CE8779A78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4 2" xfId="6304" xr:uid="{3970A3CA-FB84-413E-9362-5BDCB5B04F2F}"/>
    <cellStyle name="Note 74 5" xfId="3439" xr:uid="{3D2857EE-4014-495D-8C83-304F275D079E}"/>
    <cellStyle name="Note 74 5 2" xfId="6459" xr:uid="{2732E691-ED12-418D-AA9F-72FFEEAFF06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3 2" xfId="6462" xr:uid="{F7820292-BBD5-4C48-B0DA-DA77D3C30BD7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4 2" xfId="6305" xr:uid="{2946AADA-311C-4B33-897C-C7458CD28D1F}"/>
    <cellStyle name="Note 75 5" xfId="3390" xr:uid="{840329A8-833D-43E3-9617-09EB61AB8D8C}"/>
    <cellStyle name="Note 75 5 2" xfId="6461" xr:uid="{2242F8F9-AAEA-4D9D-AB1E-2BD4EEF797AF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3 2" xfId="6464" xr:uid="{5BA9C54F-AAB9-4F52-8722-D3480258961A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4 2" xfId="6306" xr:uid="{FEADFA7C-B809-4357-8163-069B958BCC94}"/>
    <cellStyle name="Note 76 5" xfId="3436" xr:uid="{592B2660-0C3C-46D0-A493-D10C05FE6637}"/>
    <cellStyle name="Note 76 5 2" xfId="6463" xr:uid="{324DC755-8687-465B-9C68-633B7292DD02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3 2" xfId="6466" xr:uid="{0F1C2619-1477-4B8B-B777-DB95B2D34ADE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4 2" xfId="6307" xr:uid="{BBE84321-75E5-4995-B419-4BC7171AE2EA}"/>
    <cellStyle name="Note 77 5" xfId="3434" xr:uid="{54602F2D-F6B2-4587-BFF2-4382E3D661A0}"/>
    <cellStyle name="Note 77 5 2" xfId="6465" xr:uid="{D107CF40-A4D2-46C8-A0B5-7801EC9E7EB4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3 2" xfId="6468" xr:uid="{44CE4C16-DD36-489D-B92B-5B9C3A927DEB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4 2" xfId="6308" xr:uid="{6BDEF5C7-A23C-4090-ACFC-4627D9775CDA}"/>
    <cellStyle name="Note 78 5" xfId="3432" xr:uid="{3601523A-0A6A-428B-9742-0206B9331CF0}"/>
    <cellStyle name="Note 78 5 2" xfId="6467" xr:uid="{80B830CD-ABA1-4626-A60B-24A8B4F68C2D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79 2" xfId="6313" xr:uid="{D904A40D-D70C-41BA-85CF-DD79DFD6C7CE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3 2" xfId="6470" xr:uid="{43E98AA0-FD9F-437F-ACAA-68B166214803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4 2" xfId="6469" xr:uid="{11E37482-E85D-444F-AB77-49605F427CED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3 2" xfId="6472" xr:uid="{C7F4051D-860B-4223-9E63-629F03864DF3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4 2" xfId="6471" xr:uid="{64190457-513D-44FE-AE30-BB8E8B714295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2 4" xfId="5825" xr:uid="{7F9CA096-1716-42BC-8A49-2CFFCC50856F}"/>
    <cellStyle name="Output 10 3" xfId="3389" xr:uid="{23C879BC-38B1-427B-8072-6D980818F706}"/>
    <cellStyle name="Output 10 3 2" xfId="6473" xr:uid="{2E976EB9-2BF2-4CD7-BED6-BEC1869190F2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2 4" xfId="5826" xr:uid="{7C50832F-3905-4E3E-862F-E39D51ED9145}"/>
    <cellStyle name="Output 11 3" xfId="3426" xr:uid="{A020EEDD-4438-433A-8CB1-9F0735CDBA2A}"/>
    <cellStyle name="Output 11 3 2" xfId="6474" xr:uid="{83653B70-BEBE-45A8-9A71-1AC16D22E47B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2 4" xfId="5827" xr:uid="{0DF8AD89-2CD0-4406-A6B8-2AD150FC3662}"/>
    <cellStyle name="Output 12 3" xfId="3425" xr:uid="{FA4F44FE-79C9-4B05-9A78-EB3E9019C4E3}"/>
    <cellStyle name="Output 12 3 2" xfId="6475" xr:uid="{593E4CEE-A245-467B-B7C1-136A9C3548B8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2 4" xfId="5828" xr:uid="{38E7D6E3-F050-4FA2-86BE-21D07D4692CF}"/>
    <cellStyle name="Output 13 3" xfId="3424" xr:uid="{B868EE45-DE53-40D3-81B5-A7DADA0F053C}"/>
    <cellStyle name="Output 13 3 2" xfId="6476" xr:uid="{0FE2DE8B-82A7-4CAF-8120-E133B731F5F1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2 4" xfId="5829" xr:uid="{4DB6B952-5B3F-4106-AD9F-234A0FDD4392}"/>
    <cellStyle name="Output 14 3" xfId="3423" xr:uid="{AE375810-D614-4DBD-9518-D9FC1010BE67}"/>
    <cellStyle name="Output 14 3 2" xfId="6477" xr:uid="{F18AA091-5B9A-4D02-A3FC-EC5A34971A3B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2 4" xfId="5830" xr:uid="{625DBAB7-B775-4BFE-830D-F808452964A6}"/>
    <cellStyle name="Output 15 3" xfId="3422" xr:uid="{84F4FEC9-15A0-4724-8695-723B8FB7C74C}"/>
    <cellStyle name="Output 15 3 2" xfId="6478" xr:uid="{EA690F52-0D17-4223-B437-9D60D99E48D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2 4" xfId="5831" xr:uid="{8FB23787-AE1B-4EED-B63D-A472465D6477}"/>
    <cellStyle name="Output 16 3" xfId="3421" xr:uid="{A7D3010F-7882-40AE-A427-EB800A28CF7F}"/>
    <cellStyle name="Output 16 3 2" xfId="6479" xr:uid="{18CBBF28-E032-4156-9109-E5B612D38A9A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7 2" xfId="6312" xr:uid="{7B04F8E1-A631-4718-9055-37BC1004378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2 4" xfId="5832" xr:uid="{635BD2B5-776B-416E-A4D8-4E394070CC9D}"/>
    <cellStyle name="Output 2 2 3" xfId="3419" xr:uid="{33193668-AFFE-4918-AA05-18B28EF238A9}"/>
    <cellStyle name="Output 2 2 3 2" xfId="6481" xr:uid="{189AD798-8254-4D3D-B0BC-1A7FB44A7A4A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2 4" xfId="5833" xr:uid="{D35AF379-5B98-4BF6-B92F-85C0579B6F9E}"/>
    <cellStyle name="Output 2 3 3" xfId="3418" xr:uid="{8858D5E1-9166-4003-B730-34FAEF09A2E2}"/>
    <cellStyle name="Output 2 3 3 2" xfId="6482" xr:uid="{B436E9AF-52A1-4D35-AA07-7EE6B5B4CBF1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4 4" xfId="5834" xr:uid="{A3D085A5-7012-4BFD-8C96-83CAC8E219EC}"/>
    <cellStyle name="Output 2 5" xfId="3420" xr:uid="{2F42F3E0-371E-4E70-886A-882B28D3BE76}"/>
    <cellStyle name="Output 2 5 2" xfId="6480" xr:uid="{0EC3AFD0-B5E8-46F8-9F4A-DA405CBDD53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2 4" xfId="5835" xr:uid="{44B5BAAA-4328-4A16-97A4-CBE4AA09C9F1}"/>
    <cellStyle name="Output 3 3" xfId="3417" xr:uid="{1A6B0C71-374D-4F4D-B326-2162AC375306}"/>
    <cellStyle name="Output 3 3 2" xfId="6483" xr:uid="{51280052-9062-429A-BDB3-6DD8DE3717C1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2 4" xfId="5836" xr:uid="{4150BAC4-3C38-4A9B-A483-1CBC201A3EAC}"/>
    <cellStyle name="Output 4 3" xfId="3416" xr:uid="{CE34D8EC-40C0-432D-8B08-AB0B13CE84A2}"/>
    <cellStyle name="Output 4 3 2" xfId="6484" xr:uid="{943CC81C-4384-4D71-BFA4-C105DA549F7C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2 4" xfId="5837" xr:uid="{9E87BB62-8E76-44C0-BDDC-D271A9D645D6}"/>
    <cellStyle name="Output 5 3" xfId="3415" xr:uid="{367A79ED-81E1-4820-AFE9-BD9D2F9779FA}"/>
    <cellStyle name="Output 5 3 2" xfId="6485" xr:uid="{B8D35B94-A5ED-49AC-BA3E-18EC21F98574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2 4" xfId="5838" xr:uid="{5CDB5990-05B7-4799-A6CD-4D65215731EA}"/>
    <cellStyle name="Output 6 3" xfId="3414" xr:uid="{5592B122-96F2-41B4-9F83-873BEAD05476}"/>
    <cellStyle name="Output 6 3 2" xfId="6486" xr:uid="{4ACD3BC3-0734-4A87-AA31-482C64A4D62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2 4" xfId="5839" xr:uid="{224AE66C-939E-4E63-82FB-F4ABAED9AA88}"/>
    <cellStyle name="Output 7 3" xfId="3413" xr:uid="{AE3389DF-2464-4099-8BB8-158966213727}"/>
    <cellStyle name="Output 7 3 2" xfId="6487" xr:uid="{AEEC4341-0CF3-4795-920F-C35B20D2F1D9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2 4" xfId="5840" xr:uid="{32AAF096-0D03-4F64-A1AC-BE15E05FD64A}"/>
    <cellStyle name="Output 8 3" xfId="3412" xr:uid="{F99A4484-96DF-4229-9991-F87C65C67450}"/>
    <cellStyle name="Output 8 3 2" xfId="6488" xr:uid="{24B1F610-F8E4-4C67-9DF5-2C951E43CBE6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2 4" xfId="5841" xr:uid="{5A826B96-8A9B-4CB8-940A-BC43BEBB76B4}"/>
    <cellStyle name="Output 9 3" xfId="3411" xr:uid="{23C653BE-F4A1-4F1B-9333-25D34FA1192E}"/>
    <cellStyle name="Output 9 3 2" xfId="6489" xr:uid="{82D01084-132D-4AA0-8045-0CCDC513A0AA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20" xfId="5866" xr:uid="{EE6AB700-28FA-45FB-8219-BB7B78CE7C53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2 2" xfId="6309" xr:uid="{92D04345-A95B-4D1B-BF17-10793A8C889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13" xfId="5842" xr:uid="{AE7F032E-7831-4ACF-9106-6E380C8548CA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2 5" xfId="5843" xr:uid="{6CB711B1-DEE8-41E5-A24C-FAEF7D09C35B}"/>
    <cellStyle name="sbt2 3" xfId="3386" xr:uid="{C388C377-9D31-4001-8867-7FA674D891F0}"/>
    <cellStyle name="sbt2 3 2" xfId="6310" xr:uid="{B8BEB6FC-55FD-48FD-977A-9FF81A6A6250}"/>
    <cellStyle name="sbt2 4" xfId="3407" xr:uid="{1BC5D7CB-E782-4D96-87B6-08CB7451E43B}"/>
    <cellStyle name="sbt2 4 2" xfId="6490" xr:uid="{53D7EB44-4F9F-43CC-95CB-D3680B27D748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2 3" xfId="5845" xr:uid="{4CED4F49-E7FF-4DD8-863A-319C14C86DDC}"/>
    <cellStyle name="subt1 3" xfId="3387" xr:uid="{465694C6-D059-4306-8695-F4759D8BF803}"/>
    <cellStyle name="subt1 3 2" xfId="6311" xr:uid="{22C1606C-E30B-49D0-AD9C-F71B8F0BBFCF}"/>
    <cellStyle name="subt1 4" xfId="4378" xr:uid="{15D5D86A-483C-4B72-91A2-5CF6B23B59E5}"/>
    <cellStyle name="subt1 5" xfId="4759" xr:uid="{5E6A2CE7-9895-4289-8482-296E0EDF709F}"/>
    <cellStyle name="subt1 6" xfId="5844" xr:uid="{E99A7C2D-6BE0-4A5A-8562-0967894A8568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2 4" xfId="5846" xr:uid="{DDF7E7CE-6592-448A-A053-A094360C61F4}"/>
    <cellStyle name="Total 10 3" xfId="3724" xr:uid="{86E145AE-4552-483F-9E81-C255B03648C9}"/>
    <cellStyle name="Total 10 3 2" xfId="6491" xr:uid="{758B194D-7329-4764-A361-668ED129D951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2 4" xfId="5847" xr:uid="{340997B2-BE32-41CD-826D-4B87F6B78F5D}"/>
    <cellStyle name="Total 11 3" xfId="3725" xr:uid="{13848CE4-A845-48E4-9104-64104333B927}"/>
    <cellStyle name="Total 11 3 2" xfId="6492" xr:uid="{0480423A-C050-4CD1-98FA-15F5B4C8B440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2 4" xfId="5848" xr:uid="{44672DA4-5AB6-455C-A683-49E56EC06CBA}"/>
    <cellStyle name="Total 12 3" xfId="3726" xr:uid="{CBD45986-39E9-44A1-B75F-FB781600BF4D}"/>
    <cellStyle name="Total 12 3 2" xfId="6493" xr:uid="{39D311AD-DE3C-4DFF-8B7F-90300EAD67DB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2 4" xfId="5849" xr:uid="{9578AE17-71A5-486E-B0C2-8A9EB1291837}"/>
    <cellStyle name="Total 13 3" xfId="3727" xr:uid="{D4A0B537-429B-4AA2-AAB4-9096E2FBFE18}"/>
    <cellStyle name="Total 13 3 2" xfId="6494" xr:uid="{3E5C07DF-7421-43A9-B1D8-4731FE79EF43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2 4" xfId="5850" xr:uid="{E83E0698-A13C-4940-9581-7A4AE4151162}"/>
    <cellStyle name="Total 14 3" xfId="3728" xr:uid="{F172138A-309D-45C5-8619-65549C71FD94}"/>
    <cellStyle name="Total 14 3 2" xfId="6495" xr:uid="{28CC259F-F795-4E9B-B09A-5E6BBD63FDCB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2 4" xfId="5851" xr:uid="{06CC6299-EFB1-4BFF-925A-033DB107E2FD}"/>
    <cellStyle name="Total 15 3" xfId="3729" xr:uid="{8F513A61-49F1-42B1-9005-E596941EBDCD}"/>
    <cellStyle name="Total 15 3 2" xfId="6496" xr:uid="{55FA4CD9-F701-44CA-9AD2-E2DBD25CD763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2 4" xfId="5852" xr:uid="{8B64F7CE-0B7E-4741-80A5-A3A9A781A58A}"/>
    <cellStyle name="Total 16 3" xfId="3730" xr:uid="{BAD29367-B061-41D9-B868-4B176FD2C766}"/>
    <cellStyle name="Total 16 3 2" xfId="6497" xr:uid="{9FE926F2-07E3-4889-8052-AC607340EC3D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7 2" xfId="5874" xr:uid="{A26BD020-9F72-4A03-8E90-FBF255AAABC8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2 4" xfId="5853" xr:uid="{C08B58AC-5691-4FEF-86B0-1D8ACB451384}"/>
    <cellStyle name="Total 2 2 3" xfId="3732" xr:uid="{87B8E481-9F0D-49CC-9011-3BA0104C3285}"/>
    <cellStyle name="Total 2 2 3 2" xfId="6499" xr:uid="{FF5B12C8-8D26-4BB9-965C-7F00133C04C7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2 4" xfId="5854" xr:uid="{508BA7E5-B0E9-4FCB-B23A-95137DA3E94F}"/>
    <cellStyle name="Total 2 3 3" xfId="3733" xr:uid="{8D5F63D0-937F-4AF0-921D-855A2464779B}"/>
    <cellStyle name="Total 2 3 3 2" xfId="6500" xr:uid="{77B3F910-A462-4B53-B73E-89E7784D816E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4 4" xfId="5855" xr:uid="{3407B83C-6EE3-4D4D-9C08-8FDDA2CB2C99}"/>
    <cellStyle name="Total 2 5" xfId="3731" xr:uid="{1C2B8D53-325D-4991-9936-4BCEF4AD4213}"/>
    <cellStyle name="Total 2 5 2" xfId="6498" xr:uid="{B9BFBC79-5C1A-46DF-BCED-85D0645EF6E2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2 4" xfId="5856" xr:uid="{2BB98187-7ED7-4165-955F-023274B6CD74}"/>
    <cellStyle name="Total 3 3" xfId="3734" xr:uid="{8CA0F4EE-DB20-45AA-84B7-DBBB1EA56B3C}"/>
    <cellStyle name="Total 3 3 2" xfId="6501" xr:uid="{73CC35F7-BB1D-4E99-9915-0308E94DB698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2 4" xfId="5857" xr:uid="{4E8AA5CF-374D-4846-8063-61D39AAC1043}"/>
    <cellStyle name="Total 4 3" xfId="3735" xr:uid="{50748572-3DE8-41E8-8F72-7DA26F91126C}"/>
    <cellStyle name="Total 4 3 2" xfId="6502" xr:uid="{879FB9F8-93FD-477D-A31E-87C0C6BE8B09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2 4" xfId="5858" xr:uid="{66046A26-4082-43F0-A763-EB2FD3066EA9}"/>
    <cellStyle name="Total 5 3" xfId="3736" xr:uid="{E925D102-EA0B-4B4E-A617-4B1090109F0F}"/>
    <cellStyle name="Total 5 3 2" xfId="6503" xr:uid="{B8CF13A3-DC24-45A1-B6C7-28DCAF0FF247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2 4" xfId="5859" xr:uid="{55277ECA-80DA-42AF-BD49-A5E91EC0B5FC}"/>
    <cellStyle name="Total 6 3" xfId="3737" xr:uid="{796C814F-B916-4EB5-8115-19365CAB7E9C}"/>
    <cellStyle name="Total 6 3 2" xfId="6504" xr:uid="{343F3ACD-6893-46A4-A818-C6382F280106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2 4" xfId="5860" xr:uid="{7E7AA550-9809-4D61-8558-65FD04DA0B1D}"/>
    <cellStyle name="Total 7 3" xfId="3738" xr:uid="{B62579A2-E5C3-4BB9-A18E-94E3ABBB0EA8}"/>
    <cellStyle name="Total 7 3 2" xfId="6505" xr:uid="{916219DA-041A-4C37-AE27-A7A764BA99B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2 4" xfId="5861" xr:uid="{4E683429-F6C7-436C-82BF-90C3B8C77109}"/>
    <cellStyle name="Total 8 3" xfId="3739" xr:uid="{ED68500C-8A82-4E70-AE8E-686FB3784AFE}"/>
    <cellStyle name="Total 8 3 2" xfId="6506" xr:uid="{5A834839-9D23-47A7-8173-0AF7D455F826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2 4" xfId="5862" xr:uid="{F49E5764-C49D-40A1-9CC9-36BA36140806}"/>
    <cellStyle name="Total 9 3" xfId="3740" xr:uid="{01213A58-782F-4F90-8277-00B067E72030}"/>
    <cellStyle name="Total 9 3 2" xfId="6507" xr:uid="{B83DDC97-49A2-43B8-8AC1-6A5FA559CF4C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7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5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5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BC0B77DF-08BD-4504-83B6-7369803AA758}"/>
            </a:ext>
          </a:extLst>
        </xdr:cNvPr>
        <xdr:cNvGrpSpPr/>
      </xdr:nvGrpSpPr>
      <xdr:grpSpPr>
        <a:xfrm>
          <a:off x="9578406" y="825536"/>
          <a:ext cx="1371699" cy="1821114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D3D65FAF-3B52-6801-6EDE-8C9B3A1BABA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10" name="Oval 1">
              <a:extLst>
                <a:ext uri="{FF2B5EF4-FFF2-40B4-BE49-F238E27FC236}">
                  <a16:creationId xmlns:a16="http://schemas.microsoft.com/office/drawing/2014/main" id="{B0749F99-ABE3-D372-0BFE-818376A87BA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211" name="Straight Connector 3">
              <a:extLst>
                <a:ext uri="{FF2B5EF4-FFF2-40B4-BE49-F238E27FC236}">
                  <a16:creationId xmlns:a16="http://schemas.microsoft.com/office/drawing/2014/main" id="{0EC05A8E-581B-9A9D-0C56-36D0101DBD0B}"/>
                </a:ext>
              </a:extLst>
            </xdr:cNvPr>
            <xdr:cNvCxnSpPr>
              <a:stCxn id="38" idx="1"/>
              <a:endCxn id="3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2" name="Straight Connector 211">
              <a:extLst>
                <a:ext uri="{FF2B5EF4-FFF2-40B4-BE49-F238E27FC236}">
                  <a16:creationId xmlns:a16="http://schemas.microsoft.com/office/drawing/2014/main" id="{E12058A5-6328-C418-1372-BCAED6855FA7}"/>
                </a:ext>
              </a:extLst>
            </xdr:cNvPr>
            <xdr:cNvCxnSpPr>
              <a:stCxn id="38" idx="3"/>
              <a:endCxn id="3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60747C5A-A804-C4A1-7810-128C217588B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0" name="Group 14">
            <a:extLst>
              <a:ext uri="{FF2B5EF4-FFF2-40B4-BE49-F238E27FC236}">
                <a16:creationId xmlns:a16="http://schemas.microsoft.com/office/drawing/2014/main" id="{A7A399F7-03EB-CAF4-4F56-D4F2367401D4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07" name="Oval 206">
              <a:extLst>
                <a:ext uri="{FF2B5EF4-FFF2-40B4-BE49-F238E27FC236}">
                  <a16:creationId xmlns:a16="http://schemas.microsoft.com/office/drawing/2014/main" id="{CB33AFA9-C14E-2B52-8E47-752852479F89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52623E69-4682-5E45-5A44-D9572BFA6C3D}"/>
                </a:ext>
              </a:extLst>
            </xdr:cNvPr>
            <xdr:cNvCxnSpPr>
              <a:stCxn id="207" idx="1"/>
              <a:endCxn id="20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9" name="Straight Connector 208">
              <a:extLst>
                <a:ext uri="{FF2B5EF4-FFF2-40B4-BE49-F238E27FC236}">
                  <a16:creationId xmlns:a16="http://schemas.microsoft.com/office/drawing/2014/main" id="{FE554A4B-8533-C813-77BB-5B6FF7BC42D2}"/>
                </a:ext>
              </a:extLst>
            </xdr:cNvPr>
            <xdr:cNvCxnSpPr>
              <a:stCxn id="207" idx="3"/>
              <a:endCxn id="20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C3B77A88-5DC8-0127-3312-0CD444A9643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9A6145E-C6EC-3999-E7C0-925A01B5E12F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6B1EE156-38B0-9F4E-F5DD-3A20357237D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8FFA20A2-5446-90F1-0F97-218B9C5AB9F9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DF5F353A-C9CE-235C-1103-668FDF205F6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6E5008A2-3077-CAC6-DDC7-8EAE2ADFED4D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38A44FBE-F8F5-50E6-3AC3-9A1EC5FFBDC1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3AB64ED2-619C-9EC2-F680-E6FCEE4DB941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2417AC57-CBA7-3444-E30B-EA2F34B8815B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D3F236A2-EE28-6AC0-85AA-9AB823B4E36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3872B3D5-C7C2-87DA-FF1C-2369CD23E9A8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1FEEC57D-DD18-E1F6-5BF6-D1462309DFE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432EF56E-C6C7-7868-3430-F98D2E506CF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50">
            <a:extLst>
              <a:ext uri="{FF2B5EF4-FFF2-40B4-BE49-F238E27FC236}">
                <a16:creationId xmlns:a16="http://schemas.microsoft.com/office/drawing/2014/main" id="{C2A88B39-28D5-9571-32B7-0873249E1E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53BF4EA9-6FCE-3169-8339-D7B8200C277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52">
            <a:extLst>
              <a:ext uri="{FF2B5EF4-FFF2-40B4-BE49-F238E27FC236}">
                <a16:creationId xmlns:a16="http://schemas.microsoft.com/office/drawing/2014/main" id="{D1586DBA-05D7-F30F-44E4-E03FFA2F99F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C02BC140-0693-30B1-9ECE-26933A8C46A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172DE88F-D9F5-4493-AA13-55EE6503E4D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28151216-6176-97F9-ACB0-B2A882BA6C32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7FC66A12-E23B-143B-4B18-D88F14D89A9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E43F3811-B8D7-1EB6-2143-4631313DE0D1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63B83F4E-C6E7-0B01-CFC7-9066CD5DD1B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FB8DC63-3FC0-3730-3056-D5E926D62A3A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Isosceles Triangle 47">
            <a:extLst>
              <a:ext uri="{FF2B5EF4-FFF2-40B4-BE49-F238E27FC236}">
                <a16:creationId xmlns:a16="http://schemas.microsoft.com/office/drawing/2014/main" id="{D33B3B38-3808-0107-3836-2D7CB8B3C074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49" name="Isosceles Triangle 48">
            <a:extLst>
              <a:ext uri="{FF2B5EF4-FFF2-40B4-BE49-F238E27FC236}">
                <a16:creationId xmlns:a16="http://schemas.microsoft.com/office/drawing/2014/main" id="{8C0B98C8-97AC-8E71-50AB-49DBE0E7408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50" name="Group 73">
            <a:extLst>
              <a:ext uri="{FF2B5EF4-FFF2-40B4-BE49-F238E27FC236}">
                <a16:creationId xmlns:a16="http://schemas.microsoft.com/office/drawing/2014/main" id="{AEA3166A-7CBD-E802-0517-CE5A7CA73377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05" name="TextBox 57">
              <a:extLst>
                <a:ext uri="{FF2B5EF4-FFF2-40B4-BE49-F238E27FC236}">
                  <a16:creationId xmlns:a16="http://schemas.microsoft.com/office/drawing/2014/main" id="{4EB457A5-16A4-B2B9-07D0-7CFC144DDE6C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06" name="Straight Connector 205">
              <a:extLst>
                <a:ext uri="{FF2B5EF4-FFF2-40B4-BE49-F238E27FC236}">
                  <a16:creationId xmlns:a16="http://schemas.microsoft.com/office/drawing/2014/main" id="{609DE50A-5301-DAD9-66B6-108A3BB758A8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1" name="Group 74">
            <a:extLst>
              <a:ext uri="{FF2B5EF4-FFF2-40B4-BE49-F238E27FC236}">
                <a16:creationId xmlns:a16="http://schemas.microsoft.com/office/drawing/2014/main" id="{13CB6079-D937-267A-5510-DF8FCD6E088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03" name="TextBox 55">
              <a:extLst>
                <a:ext uri="{FF2B5EF4-FFF2-40B4-BE49-F238E27FC236}">
                  <a16:creationId xmlns:a16="http://schemas.microsoft.com/office/drawing/2014/main" id="{BE89B705-E36C-794A-90E7-FC7EF6DB8FE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04" name="Straight Connector 203">
              <a:extLst>
                <a:ext uri="{FF2B5EF4-FFF2-40B4-BE49-F238E27FC236}">
                  <a16:creationId xmlns:a16="http://schemas.microsoft.com/office/drawing/2014/main" id="{00948141-36FF-7871-36EC-CC616066F99F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2" name="Group 89">
            <a:extLst>
              <a:ext uri="{FF2B5EF4-FFF2-40B4-BE49-F238E27FC236}">
                <a16:creationId xmlns:a16="http://schemas.microsoft.com/office/drawing/2014/main" id="{1322A43A-CEEA-38F0-C9B4-9E09A4675215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99" name="Straight Connector 198">
              <a:extLst>
                <a:ext uri="{FF2B5EF4-FFF2-40B4-BE49-F238E27FC236}">
                  <a16:creationId xmlns:a16="http://schemas.microsoft.com/office/drawing/2014/main" id="{905E1E60-A97D-D26E-83CB-4F6B15840C0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0" name="Straight Connector 79">
              <a:extLst>
                <a:ext uri="{FF2B5EF4-FFF2-40B4-BE49-F238E27FC236}">
                  <a16:creationId xmlns:a16="http://schemas.microsoft.com/office/drawing/2014/main" id="{19EADCB5-67CC-F033-483B-A0950218249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Straight Connector 80">
              <a:extLst>
                <a:ext uri="{FF2B5EF4-FFF2-40B4-BE49-F238E27FC236}">
                  <a16:creationId xmlns:a16="http://schemas.microsoft.com/office/drawing/2014/main" id="{D7D1CCFB-DDF1-21BE-AA1C-9B71FAD70F2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2" name="Straight Connector 88">
              <a:extLst>
                <a:ext uri="{FF2B5EF4-FFF2-40B4-BE49-F238E27FC236}">
                  <a16:creationId xmlns:a16="http://schemas.microsoft.com/office/drawing/2014/main" id="{0B5B2AF2-99EF-41E5-7A56-E9CD9691C56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3" name="Group 90">
            <a:extLst>
              <a:ext uri="{FF2B5EF4-FFF2-40B4-BE49-F238E27FC236}">
                <a16:creationId xmlns:a16="http://schemas.microsoft.com/office/drawing/2014/main" id="{044998DE-2A12-74BB-F42A-116F63C245F2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94" name="Straight Connector 193">
              <a:extLst>
                <a:ext uri="{FF2B5EF4-FFF2-40B4-BE49-F238E27FC236}">
                  <a16:creationId xmlns:a16="http://schemas.microsoft.com/office/drawing/2014/main" id="{A344045D-66F2-C280-C616-C8FB7893B12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Straight Connector 194">
              <a:extLst>
                <a:ext uri="{FF2B5EF4-FFF2-40B4-BE49-F238E27FC236}">
                  <a16:creationId xmlns:a16="http://schemas.microsoft.com/office/drawing/2014/main" id="{F2311F7D-0684-4C30-16CC-2D0A1819ACD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Straight Connector 195">
              <a:extLst>
                <a:ext uri="{FF2B5EF4-FFF2-40B4-BE49-F238E27FC236}">
                  <a16:creationId xmlns:a16="http://schemas.microsoft.com/office/drawing/2014/main" id="{C5349B2E-E79E-A8D5-D633-6E7A28F733D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Straight Connector 196">
              <a:extLst>
                <a:ext uri="{FF2B5EF4-FFF2-40B4-BE49-F238E27FC236}">
                  <a16:creationId xmlns:a16="http://schemas.microsoft.com/office/drawing/2014/main" id="{B60F17B7-79BF-124C-98B1-7D0FFFC065A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E009028D-6AA1-823B-6984-25AD710B595D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D20B8D1F-E2FE-60F4-149A-E91407C1C675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Arrow Connector 55">
            <a:extLst>
              <a:ext uri="{FF2B5EF4-FFF2-40B4-BE49-F238E27FC236}">
                <a16:creationId xmlns:a16="http://schemas.microsoft.com/office/drawing/2014/main" id="{70BBF86B-CC78-F534-A2A6-AB75FB8B7A51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Arrow Connector 56">
            <a:extLst>
              <a:ext uri="{FF2B5EF4-FFF2-40B4-BE49-F238E27FC236}">
                <a16:creationId xmlns:a16="http://schemas.microsoft.com/office/drawing/2014/main" id="{CD738E1E-7213-49C6-A471-F901C9EA7A44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8" name="Group 155">
            <a:extLst>
              <a:ext uri="{FF2B5EF4-FFF2-40B4-BE49-F238E27FC236}">
                <a16:creationId xmlns:a16="http://schemas.microsoft.com/office/drawing/2014/main" id="{BB7FBA0F-98A0-1945-7863-240898C124EC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63" name="Isosceles Triangle 62">
              <a:extLst>
                <a:ext uri="{FF2B5EF4-FFF2-40B4-BE49-F238E27FC236}">
                  <a16:creationId xmlns:a16="http://schemas.microsoft.com/office/drawing/2014/main" id="{DE1C5F6B-2099-6425-E7F4-F48B3007AF52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28" name="Isosceles Triangle 127">
              <a:extLst>
                <a:ext uri="{FF2B5EF4-FFF2-40B4-BE49-F238E27FC236}">
                  <a16:creationId xmlns:a16="http://schemas.microsoft.com/office/drawing/2014/main" id="{DE872E6A-B930-504A-2899-1CD9D798BB49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93" name="Isosceles Triangle 192">
              <a:extLst>
                <a:ext uri="{FF2B5EF4-FFF2-40B4-BE49-F238E27FC236}">
                  <a16:creationId xmlns:a16="http://schemas.microsoft.com/office/drawing/2014/main" id="{722EAFB2-6E76-10FC-DFB7-622C51A950AB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59" name="Group 134">
            <a:extLst>
              <a:ext uri="{FF2B5EF4-FFF2-40B4-BE49-F238E27FC236}">
                <a16:creationId xmlns:a16="http://schemas.microsoft.com/office/drawing/2014/main" id="{BF2AF9DD-FB1A-3027-40C0-0B0DDA0F23F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60" name="Isosceles Triangle 59">
              <a:extLst>
                <a:ext uri="{FF2B5EF4-FFF2-40B4-BE49-F238E27FC236}">
                  <a16:creationId xmlns:a16="http://schemas.microsoft.com/office/drawing/2014/main" id="{23E9151D-6079-3755-8435-58A72D8D54AC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61" name="Isosceles Triangle 60">
              <a:extLst>
                <a:ext uri="{FF2B5EF4-FFF2-40B4-BE49-F238E27FC236}">
                  <a16:creationId xmlns:a16="http://schemas.microsoft.com/office/drawing/2014/main" id="{44952A0B-E7BA-BE83-EDF2-ED7F69CAAF6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62" name="Isosceles Triangle 61">
              <a:extLst>
                <a:ext uri="{FF2B5EF4-FFF2-40B4-BE49-F238E27FC236}">
                  <a16:creationId xmlns:a16="http://schemas.microsoft.com/office/drawing/2014/main" id="{EA47BA17-D37D-B989-3940-ADD7872A96DE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207336</xdr:colOff>
      <xdr:row>6</xdr:row>
      <xdr:rowOff>124239</xdr:rowOff>
    </xdr:from>
    <xdr:to>
      <xdr:col>13</xdr:col>
      <xdr:colOff>150393</xdr:colOff>
      <xdr:row>50</xdr:row>
      <xdr:rowOff>81928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id="{5798AA12-5367-99FF-EE2A-1AF666C0FD7B}"/>
            </a:ext>
          </a:extLst>
        </xdr:cNvPr>
        <xdr:cNvGrpSpPr/>
      </xdr:nvGrpSpPr>
      <xdr:grpSpPr>
        <a:xfrm>
          <a:off x="2426101" y="1065533"/>
          <a:ext cx="2229057" cy="6849307"/>
          <a:chOff x="2438193" y="10491107"/>
          <a:chExt cx="2229057" cy="5688584"/>
        </a:xfrm>
      </xdr:grpSpPr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D20999EC-4F93-5FBD-DA71-DA1C9898C5C1}"/>
              </a:ext>
            </a:extLst>
          </xdr:cNvPr>
          <xdr:cNvCxnSpPr/>
        </xdr:nvCxnSpPr>
        <xdr:spPr>
          <a:xfrm flipV="1">
            <a:off x="3095221" y="10544733"/>
            <a:ext cx="11206" cy="5634958"/>
          </a:xfrm>
          <a:prstGeom prst="line">
            <a:avLst/>
          </a:prstGeom>
          <a:ln w="127000">
            <a:solidFill>
              <a:schemeClr val="bg1">
                <a:lumMod val="6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280">
            <a:extLst>
              <a:ext uri="{FF2B5EF4-FFF2-40B4-BE49-F238E27FC236}">
                <a16:creationId xmlns:a16="http://schemas.microsoft.com/office/drawing/2014/main" id="{2D6C475B-A473-A626-156D-1A7B3F815F7F}"/>
              </a:ext>
            </a:extLst>
          </xdr:cNvPr>
          <xdr:cNvCxnSpPr/>
        </xdr:nvCxnSpPr>
        <xdr:spPr>
          <a:xfrm flipV="1">
            <a:off x="2438193" y="10491107"/>
            <a:ext cx="2229057" cy="6396"/>
          </a:xfrm>
          <a:prstGeom prst="line">
            <a:avLst/>
          </a:prstGeom>
          <a:ln w="190500">
            <a:solidFill>
              <a:schemeClr val="bg1">
                <a:lumMod val="6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122173</xdr:colOff>
      <xdr:row>47</xdr:row>
      <xdr:rowOff>99237</xdr:rowOff>
    </xdr:from>
    <xdr:to>
      <xdr:col>11</xdr:col>
      <xdr:colOff>75112</xdr:colOff>
      <xdr:row>47</xdr:row>
      <xdr:rowOff>102768</xdr:rowOff>
    </xdr:to>
    <xdr:cxnSp macro="">
      <xdr:nvCxnSpPr>
        <xdr:cNvPr id="279" name="Straight Connector 278">
          <a:extLst>
            <a:ext uri="{FF2B5EF4-FFF2-40B4-BE49-F238E27FC236}">
              <a16:creationId xmlns:a16="http://schemas.microsoft.com/office/drawing/2014/main" id="{98A7EE22-1678-5147-CF23-30AA35554E38}"/>
            </a:ext>
          </a:extLst>
        </xdr:cNvPr>
        <xdr:cNvCxnSpPr/>
      </xdr:nvCxnSpPr>
      <xdr:spPr>
        <a:xfrm flipH="1">
          <a:off x="2722912" y="15604280"/>
          <a:ext cx="1095939" cy="3531"/>
        </a:xfrm>
        <a:prstGeom prst="line">
          <a:avLst/>
        </a:prstGeom>
        <a:ln w="127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147212</xdr:colOff>
      <xdr:row>45</xdr:row>
      <xdr:rowOff>127700</xdr:rowOff>
    </xdr:from>
    <xdr:to>
      <xdr:col>9</xdr:col>
      <xdr:colOff>367757</xdr:colOff>
      <xdr:row>47</xdr:row>
      <xdr:rowOff>132882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90B911B3-8389-420D-B92F-87E7317628C8}"/>
            </a:ext>
          </a:extLst>
        </xdr:cNvPr>
        <xdr:cNvSpPr/>
      </xdr:nvSpPr>
      <xdr:spPr>
        <a:xfrm rot="16200000">
          <a:off x="3074294" y="15641018"/>
          <a:ext cx="309982" cy="220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252209</xdr:colOff>
      <xdr:row>5</xdr:row>
      <xdr:rowOff>99089</xdr:rowOff>
    </xdr:from>
    <xdr:to>
      <xdr:col>9</xdr:col>
      <xdr:colOff>253005</xdr:colOff>
      <xdr:row>53</xdr:row>
      <xdr:rowOff>52566</xdr:rowOff>
    </xdr:to>
    <xdr:cxnSp macro="">
      <xdr:nvCxnSpPr>
        <xdr:cNvPr id="300" name="Straight Connector 299">
          <a:extLst>
            <a:ext uri="{FF2B5EF4-FFF2-40B4-BE49-F238E27FC236}">
              <a16:creationId xmlns:a16="http://schemas.microsoft.com/office/drawing/2014/main" id="{813CC8B9-D243-46C8-A6E8-88464B1C8961}"/>
            </a:ext>
          </a:extLst>
        </xdr:cNvPr>
        <xdr:cNvCxnSpPr>
          <a:stCxn id="468" idx="1"/>
          <a:endCxn id="303" idx="2"/>
        </xdr:cNvCxnSpPr>
      </xdr:nvCxnSpPr>
      <xdr:spPr>
        <a:xfrm flipH="1" flipV="1">
          <a:off x="3224009" y="9445019"/>
          <a:ext cx="796" cy="740202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141151</xdr:colOff>
      <xdr:row>51</xdr:row>
      <xdr:rowOff>99390</xdr:rowOff>
    </xdr:from>
    <xdr:to>
      <xdr:col>8</xdr:col>
      <xdr:colOff>243728</xdr:colOff>
      <xdr:row>54</xdr:row>
      <xdr:rowOff>76756</xdr:rowOff>
    </xdr:to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76B2EF0E-11A9-49DD-B5B8-C9CB13381A88}"/>
            </a:ext>
          </a:extLst>
        </xdr:cNvPr>
        <xdr:cNvSpPr txBox="1"/>
      </xdr:nvSpPr>
      <xdr:spPr>
        <a:xfrm>
          <a:off x="1979890" y="7893325"/>
          <a:ext cx="864577" cy="44119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TNK AKHADINA</a:t>
          </a:r>
        </a:p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1 PH 11 KVA</a:t>
          </a:r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150079</xdr:colOff>
      <xdr:row>41</xdr:row>
      <xdr:rowOff>36989</xdr:rowOff>
    </xdr:from>
    <xdr:to>
      <xdr:col>9</xdr:col>
      <xdr:colOff>375539</xdr:colOff>
      <xdr:row>43</xdr:row>
      <xdr:rowOff>34720</xdr:rowOff>
    </xdr:to>
    <xdr:sp macro="" textlink="">
      <xdr:nvSpPr>
        <xdr:cNvPr id="312" name="Rectangle 311">
          <a:extLst>
            <a:ext uri="{FF2B5EF4-FFF2-40B4-BE49-F238E27FC236}">
              <a16:creationId xmlns:a16="http://schemas.microsoft.com/office/drawing/2014/main" id="{044192C7-45AB-4235-8C7A-554B964B9EAA}"/>
            </a:ext>
          </a:extLst>
        </xdr:cNvPr>
        <xdr:cNvSpPr/>
      </xdr:nvSpPr>
      <xdr:spPr>
        <a:xfrm rot="16200000">
          <a:off x="3083343" y="14934525"/>
          <a:ext cx="302531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247236</xdr:colOff>
      <xdr:row>39</xdr:row>
      <xdr:rowOff>85248</xdr:rowOff>
    </xdr:from>
    <xdr:to>
      <xdr:col>10</xdr:col>
      <xdr:colOff>73424</xdr:colOff>
      <xdr:row>42</xdr:row>
      <xdr:rowOff>2767</xdr:rowOff>
    </xdr:to>
    <xdr:sp macro="" textlink="">
      <xdr:nvSpPr>
        <xdr:cNvPr id="313" name="Rectangle 312">
          <a:extLst>
            <a:ext uri="{FF2B5EF4-FFF2-40B4-BE49-F238E27FC236}">
              <a16:creationId xmlns:a16="http://schemas.microsoft.com/office/drawing/2014/main" id="{3615A8A8-2A27-4922-9272-9AAF05A49448}"/>
            </a:ext>
          </a:extLst>
        </xdr:cNvPr>
        <xdr:cNvSpPr/>
      </xdr:nvSpPr>
      <xdr:spPr>
        <a:xfrm rot="16200000">
          <a:off x="3135270" y="14723214"/>
          <a:ext cx="374719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 editAs="oneCell">
    <xdr:from>
      <xdr:col>13</xdr:col>
      <xdr:colOff>247023</xdr:colOff>
      <xdr:row>42</xdr:row>
      <xdr:rowOff>147029</xdr:rowOff>
    </xdr:from>
    <xdr:to>
      <xdr:col>21</xdr:col>
      <xdr:colOff>235610</xdr:colOff>
      <xdr:row>54</xdr:row>
      <xdr:rowOff>81162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B556BB7C-90D1-4B01-B811-9FD7A032A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51788" y="15431853"/>
          <a:ext cx="3036587" cy="1906368"/>
        </a:xfrm>
        <a:prstGeom prst="rect">
          <a:avLst/>
        </a:prstGeom>
      </xdr:spPr>
    </xdr:pic>
    <xdr:clientData/>
  </xdr:twoCellAnchor>
  <xdr:twoCellAnchor>
    <xdr:from>
      <xdr:col>9</xdr:col>
      <xdr:colOff>230319</xdr:colOff>
      <xdr:row>48</xdr:row>
      <xdr:rowOff>106345</xdr:rowOff>
    </xdr:from>
    <xdr:to>
      <xdr:col>9</xdr:col>
      <xdr:colOff>356936</xdr:colOff>
      <xdr:row>49</xdr:row>
      <xdr:rowOff>70634</xdr:rowOff>
    </xdr:to>
    <xdr:grpSp>
      <xdr:nvGrpSpPr>
        <xdr:cNvPr id="362" name="Group 361">
          <a:extLst>
            <a:ext uri="{FF2B5EF4-FFF2-40B4-BE49-F238E27FC236}">
              <a16:creationId xmlns:a16="http://schemas.microsoft.com/office/drawing/2014/main" id="{90233694-E9CE-4322-8043-2782BE18E9AA}"/>
            </a:ext>
          </a:extLst>
        </xdr:cNvPr>
        <xdr:cNvGrpSpPr/>
      </xdr:nvGrpSpPr>
      <xdr:grpSpPr>
        <a:xfrm>
          <a:off x="3211084" y="7625492"/>
          <a:ext cx="126617" cy="1211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3" name="Oval 362">
            <a:extLst>
              <a:ext uri="{FF2B5EF4-FFF2-40B4-BE49-F238E27FC236}">
                <a16:creationId xmlns:a16="http://schemas.microsoft.com/office/drawing/2014/main" id="{B41670A8-838A-E0AF-86C7-DD194AA8EB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6AD8CE6F-0CCC-2F9A-4D47-BFAA4588EF49}"/>
              </a:ext>
            </a:extLst>
          </xdr:cNvPr>
          <xdr:cNvCxnSpPr>
            <a:stCxn id="363" idx="1"/>
            <a:endCxn id="3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6F1ACD5F-74E6-81AB-65C6-EFAA3FDEC1A6}"/>
              </a:ext>
            </a:extLst>
          </xdr:cNvPr>
          <xdr:cNvCxnSpPr>
            <a:stCxn id="363" idx="3"/>
            <a:endCxn id="3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342536</xdr:colOff>
      <xdr:row>5</xdr:row>
      <xdr:rowOff>99089</xdr:rowOff>
    </xdr:from>
    <xdr:to>
      <xdr:col>9</xdr:col>
      <xdr:colOff>378826</xdr:colOff>
      <xdr:row>53</xdr:row>
      <xdr:rowOff>52566</xdr:rowOff>
    </xdr:to>
    <xdr:cxnSp macro="">
      <xdr:nvCxnSpPr>
        <xdr:cNvPr id="366" name="Straight Connector 365">
          <a:extLst>
            <a:ext uri="{FF2B5EF4-FFF2-40B4-BE49-F238E27FC236}">
              <a16:creationId xmlns:a16="http://schemas.microsoft.com/office/drawing/2014/main" id="{3FA2BF16-D76A-44BE-A70B-FCC2B9F6E8E4}"/>
            </a:ext>
          </a:extLst>
        </xdr:cNvPr>
        <xdr:cNvCxnSpPr>
          <a:stCxn id="468" idx="7"/>
          <a:endCxn id="303" idx="6"/>
        </xdr:cNvCxnSpPr>
      </xdr:nvCxnSpPr>
      <xdr:spPr>
        <a:xfrm flipV="1">
          <a:off x="3314336" y="9445019"/>
          <a:ext cx="36290" cy="740202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252208</xdr:colOff>
      <xdr:row>18</xdr:row>
      <xdr:rowOff>12000</xdr:rowOff>
    </xdr:from>
    <xdr:to>
      <xdr:col>9</xdr:col>
      <xdr:colOff>378825</xdr:colOff>
      <xdr:row>18</xdr:row>
      <xdr:rowOff>133171</xdr:rowOff>
    </xdr:to>
    <xdr:grpSp>
      <xdr:nvGrpSpPr>
        <xdr:cNvPr id="367" name="Group 366">
          <a:extLst>
            <a:ext uri="{FF2B5EF4-FFF2-40B4-BE49-F238E27FC236}">
              <a16:creationId xmlns:a16="http://schemas.microsoft.com/office/drawing/2014/main" id="{A086646E-3050-487E-90C8-E96A627E203C}"/>
            </a:ext>
          </a:extLst>
        </xdr:cNvPr>
        <xdr:cNvGrpSpPr/>
      </xdr:nvGrpSpPr>
      <xdr:grpSpPr>
        <a:xfrm>
          <a:off x="3232973" y="2835882"/>
          <a:ext cx="126617" cy="1211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8" name="Oval 367">
            <a:extLst>
              <a:ext uri="{FF2B5EF4-FFF2-40B4-BE49-F238E27FC236}">
                <a16:creationId xmlns:a16="http://schemas.microsoft.com/office/drawing/2014/main" id="{1F41E224-F7FE-058A-BA9B-C938E57B109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9" name="Straight Connector 368">
            <a:extLst>
              <a:ext uri="{FF2B5EF4-FFF2-40B4-BE49-F238E27FC236}">
                <a16:creationId xmlns:a16="http://schemas.microsoft.com/office/drawing/2014/main" id="{EF41014C-C929-C0F3-5DD9-F8831A8EAA05}"/>
              </a:ext>
            </a:extLst>
          </xdr:cNvPr>
          <xdr:cNvCxnSpPr>
            <a:stCxn id="368" idx="1"/>
            <a:endCxn id="3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Straight Connector 369">
            <a:extLst>
              <a:ext uri="{FF2B5EF4-FFF2-40B4-BE49-F238E27FC236}">
                <a16:creationId xmlns:a16="http://schemas.microsoft.com/office/drawing/2014/main" id="{2C69974F-D6E2-8EFB-D29F-9C763838A610}"/>
              </a:ext>
            </a:extLst>
          </xdr:cNvPr>
          <xdr:cNvCxnSpPr>
            <a:stCxn id="368" idx="3"/>
            <a:endCxn id="3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242188</xdr:colOff>
      <xdr:row>22</xdr:row>
      <xdr:rowOff>146471</xdr:rowOff>
    </xdr:from>
    <xdr:to>
      <xdr:col>9</xdr:col>
      <xdr:colOff>368805</xdr:colOff>
      <xdr:row>23</xdr:row>
      <xdr:rowOff>110759</xdr:rowOff>
    </xdr:to>
    <xdr:grpSp>
      <xdr:nvGrpSpPr>
        <xdr:cNvPr id="371" name="Group 370">
          <a:extLst>
            <a:ext uri="{FF2B5EF4-FFF2-40B4-BE49-F238E27FC236}">
              <a16:creationId xmlns:a16="http://schemas.microsoft.com/office/drawing/2014/main" id="{45EBECA4-7A64-4CDE-9DC3-997A4091E2D7}"/>
            </a:ext>
          </a:extLst>
        </xdr:cNvPr>
        <xdr:cNvGrpSpPr/>
      </xdr:nvGrpSpPr>
      <xdr:grpSpPr>
        <a:xfrm>
          <a:off x="3222953" y="3597883"/>
          <a:ext cx="126617" cy="1211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2" name="Oval 371">
            <a:extLst>
              <a:ext uri="{FF2B5EF4-FFF2-40B4-BE49-F238E27FC236}">
                <a16:creationId xmlns:a16="http://schemas.microsoft.com/office/drawing/2014/main" id="{D0A66299-5933-0354-8A75-02FB816EE75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3" name="Straight Connector 372">
            <a:extLst>
              <a:ext uri="{FF2B5EF4-FFF2-40B4-BE49-F238E27FC236}">
                <a16:creationId xmlns:a16="http://schemas.microsoft.com/office/drawing/2014/main" id="{88329A01-5249-7EE1-6D18-7C5AE631DBA7}"/>
              </a:ext>
            </a:extLst>
          </xdr:cNvPr>
          <xdr:cNvCxnSpPr>
            <a:stCxn id="372" idx="1"/>
            <a:endCxn id="3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Connector 373">
            <a:extLst>
              <a:ext uri="{FF2B5EF4-FFF2-40B4-BE49-F238E27FC236}">
                <a16:creationId xmlns:a16="http://schemas.microsoft.com/office/drawing/2014/main" id="{80D2370C-917F-657C-CD06-4FF3E07C2960}"/>
              </a:ext>
            </a:extLst>
          </xdr:cNvPr>
          <xdr:cNvCxnSpPr>
            <a:stCxn id="372" idx="3"/>
            <a:endCxn id="3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238378</xdr:colOff>
      <xdr:row>28</xdr:row>
      <xdr:rowOff>47187</xdr:rowOff>
    </xdr:from>
    <xdr:to>
      <xdr:col>9</xdr:col>
      <xdr:colOff>364995</xdr:colOff>
      <xdr:row>29</xdr:row>
      <xdr:rowOff>11475</xdr:rowOff>
    </xdr:to>
    <xdr:grpSp>
      <xdr:nvGrpSpPr>
        <xdr:cNvPr id="375" name="Group 374">
          <a:extLst>
            <a:ext uri="{FF2B5EF4-FFF2-40B4-BE49-F238E27FC236}">
              <a16:creationId xmlns:a16="http://schemas.microsoft.com/office/drawing/2014/main" id="{BCC5D9D0-A523-4F3D-9D10-B2813FC3F238}"/>
            </a:ext>
          </a:extLst>
        </xdr:cNvPr>
        <xdr:cNvGrpSpPr/>
      </xdr:nvGrpSpPr>
      <xdr:grpSpPr>
        <a:xfrm>
          <a:off x="3219143" y="4439893"/>
          <a:ext cx="126617" cy="1211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6" name="Oval 375">
            <a:extLst>
              <a:ext uri="{FF2B5EF4-FFF2-40B4-BE49-F238E27FC236}">
                <a16:creationId xmlns:a16="http://schemas.microsoft.com/office/drawing/2014/main" id="{D170CEC4-771E-C562-3A41-30482DDF25F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7" name="Straight Connector 376">
            <a:extLst>
              <a:ext uri="{FF2B5EF4-FFF2-40B4-BE49-F238E27FC236}">
                <a16:creationId xmlns:a16="http://schemas.microsoft.com/office/drawing/2014/main" id="{BC20CD22-416F-9523-662D-6F1094018589}"/>
              </a:ext>
            </a:extLst>
          </xdr:cNvPr>
          <xdr:cNvCxnSpPr>
            <a:stCxn id="376" idx="1"/>
            <a:endCxn id="3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8" name="Straight Connector 377">
            <a:extLst>
              <a:ext uri="{FF2B5EF4-FFF2-40B4-BE49-F238E27FC236}">
                <a16:creationId xmlns:a16="http://schemas.microsoft.com/office/drawing/2014/main" id="{DB93A2E7-6805-208A-BCED-A482822C6E2A}"/>
              </a:ext>
            </a:extLst>
          </xdr:cNvPr>
          <xdr:cNvCxnSpPr>
            <a:stCxn id="376" idx="3"/>
            <a:endCxn id="3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234568</xdr:colOff>
      <xdr:row>33</xdr:row>
      <xdr:rowOff>39791</xdr:rowOff>
    </xdr:from>
    <xdr:to>
      <xdr:col>9</xdr:col>
      <xdr:colOff>361185</xdr:colOff>
      <xdr:row>34</xdr:row>
      <xdr:rowOff>8562</xdr:rowOff>
    </xdr:to>
    <xdr:grpSp>
      <xdr:nvGrpSpPr>
        <xdr:cNvPr id="379" name="Group 378">
          <a:extLst>
            <a:ext uri="{FF2B5EF4-FFF2-40B4-BE49-F238E27FC236}">
              <a16:creationId xmlns:a16="http://schemas.microsoft.com/office/drawing/2014/main" id="{574F951D-FAD4-45E3-92D1-C863C2F1FCA7}"/>
            </a:ext>
          </a:extLst>
        </xdr:cNvPr>
        <xdr:cNvGrpSpPr/>
      </xdr:nvGrpSpPr>
      <xdr:grpSpPr>
        <a:xfrm>
          <a:off x="3215333" y="5205703"/>
          <a:ext cx="126617" cy="1256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0" name="Oval 379">
            <a:extLst>
              <a:ext uri="{FF2B5EF4-FFF2-40B4-BE49-F238E27FC236}">
                <a16:creationId xmlns:a16="http://schemas.microsoft.com/office/drawing/2014/main" id="{7E5D75E9-D8A2-A436-4137-19A432D5854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1" name="Straight Connector 380">
            <a:extLst>
              <a:ext uri="{FF2B5EF4-FFF2-40B4-BE49-F238E27FC236}">
                <a16:creationId xmlns:a16="http://schemas.microsoft.com/office/drawing/2014/main" id="{33C1D3CB-E44C-57FF-64EF-4E275CDE0E3E}"/>
              </a:ext>
            </a:extLst>
          </xdr:cNvPr>
          <xdr:cNvCxnSpPr>
            <a:stCxn id="380" idx="1"/>
            <a:endCxn id="38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2" name="Straight Connector 381">
            <a:extLst>
              <a:ext uri="{FF2B5EF4-FFF2-40B4-BE49-F238E27FC236}">
                <a16:creationId xmlns:a16="http://schemas.microsoft.com/office/drawing/2014/main" id="{96B4E834-AB2E-B1B9-6ACA-6654272A451E}"/>
              </a:ext>
            </a:extLst>
          </xdr:cNvPr>
          <xdr:cNvCxnSpPr>
            <a:stCxn id="380" idx="3"/>
            <a:endCxn id="38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238378</xdr:colOff>
      <xdr:row>38</xdr:row>
      <xdr:rowOff>14241</xdr:rowOff>
    </xdr:from>
    <xdr:to>
      <xdr:col>9</xdr:col>
      <xdr:colOff>364995</xdr:colOff>
      <xdr:row>38</xdr:row>
      <xdr:rowOff>142360</xdr:rowOff>
    </xdr:to>
    <xdr:grpSp>
      <xdr:nvGrpSpPr>
        <xdr:cNvPr id="383" name="Group 382">
          <a:extLst>
            <a:ext uri="{FF2B5EF4-FFF2-40B4-BE49-F238E27FC236}">
              <a16:creationId xmlns:a16="http://schemas.microsoft.com/office/drawing/2014/main" id="{E13238AD-5419-4775-908B-10E4AAD287B5}"/>
            </a:ext>
          </a:extLst>
        </xdr:cNvPr>
        <xdr:cNvGrpSpPr/>
      </xdr:nvGrpSpPr>
      <xdr:grpSpPr>
        <a:xfrm>
          <a:off x="3219143" y="5964565"/>
          <a:ext cx="126617" cy="12811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4" name="Oval 383">
            <a:extLst>
              <a:ext uri="{FF2B5EF4-FFF2-40B4-BE49-F238E27FC236}">
                <a16:creationId xmlns:a16="http://schemas.microsoft.com/office/drawing/2014/main" id="{816FB175-6F0A-D3AA-28AE-2A22879F88F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C940A344-0013-5C04-8EDA-8CBFF7B9EE7C}"/>
              </a:ext>
            </a:extLst>
          </xdr:cNvPr>
          <xdr:cNvCxnSpPr>
            <a:stCxn id="384" idx="1"/>
            <a:endCxn id="3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385">
            <a:extLst>
              <a:ext uri="{FF2B5EF4-FFF2-40B4-BE49-F238E27FC236}">
                <a16:creationId xmlns:a16="http://schemas.microsoft.com/office/drawing/2014/main" id="{085EAEDA-435E-53C0-FF41-4F9328E7F078}"/>
              </a:ext>
            </a:extLst>
          </xdr:cNvPr>
          <xdr:cNvCxnSpPr>
            <a:stCxn id="384" idx="3"/>
            <a:endCxn id="3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250993</xdr:colOff>
      <xdr:row>34</xdr:row>
      <xdr:rowOff>56066</xdr:rowOff>
    </xdr:from>
    <xdr:to>
      <xdr:col>10</xdr:col>
      <xdr:colOff>77181</xdr:colOff>
      <xdr:row>36</xdr:row>
      <xdr:rowOff>137416</xdr:rowOff>
    </xdr:to>
    <xdr:sp macro="" textlink="">
      <xdr:nvSpPr>
        <xdr:cNvPr id="387" name="Rectangle 386">
          <a:extLst>
            <a:ext uri="{FF2B5EF4-FFF2-40B4-BE49-F238E27FC236}">
              <a16:creationId xmlns:a16="http://schemas.microsoft.com/office/drawing/2014/main" id="{142B8B23-EA5D-4B86-AD95-16505EDFEC64}"/>
            </a:ext>
          </a:extLst>
        </xdr:cNvPr>
        <xdr:cNvSpPr/>
      </xdr:nvSpPr>
      <xdr:spPr>
        <a:xfrm rot="16200000">
          <a:off x="3133312" y="13914887"/>
          <a:ext cx="386150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259664</xdr:colOff>
      <xdr:row>29</xdr:row>
      <xdr:rowOff>75942</xdr:rowOff>
    </xdr:from>
    <xdr:to>
      <xdr:col>10</xdr:col>
      <xdr:colOff>85852</xdr:colOff>
      <xdr:row>32</xdr:row>
      <xdr:rowOff>4668</xdr:rowOff>
    </xdr:to>
    <xdr:sp macro="" textlink="">
      <xdr:nvSpPr>
        <xdr:cNvPr id="388" name="Rectangle 387">
          <a:extLst>
            <a:ext uri="{FF2B5EF4-FFF2-40B4-BE49-F238E27FC236}">
              <a16:creationId xmlns:a16="http://schemas.microsoft.com/office/drawing/2014/main" id="{1CFD5A0F-C0FE-484E-A5F1-A677B7C00D07}"/>
            </a:ext>
          </a:extLst>
        </xdr:cNvPr>
        <xdr:cNvSpPr/>
      </xdr:nvSpPr>
      <xdr:spPr>
        <a:xfrm rot="16200000">
          <a:off x="3145905" y="13176461"/>
          <a:ext cx="378306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253095</xdr:colOff>
      <xdr:row>24</xdr:row>
      <xdr:rowOff>36870</xdr:rowOff>
    </xdr:from>
    <xdr:to>
      <xdr:col>10</xdr:col>
      <xdr:colOff>79283</xdr:colOff>
      <xdr:row>26</xdr:row>
      <xdr:rowOff>112586</xdr:rowOff>
    </xdr:to>
    <xdr:sp macro="" textlink="">
      <xdr:nvSpPr>
        <xdr:cNvPr id="389" name="Rectangle 388">
          <a:extLst>
            <a:ext uri="{FF2B5EF4-FFF2-40B4-BE49-F238E27FC236}">
              <a16:creationId xmlns:a16="http://schemas.microsoft.com/office/drawing/2014/main" id="{A2205E16-D104-4FAB-9A8E-7D7E71617C49}"/>
            </a:ext>
          </a:extLst>
        </xdr:cNvPr>
        <xdr:cNvSpPr/>
      </xdr:nvSpPr>
      <xdr:spPr>
        <a:xfrm rot="16200000">
          <a:off x="3138231" y="12376494"/>
          <a:ext cx="380516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242435</xdr:colOff>
      <xdr:row>19</xdr:row>
      <xdr:rowOff>26437</xdr:rowOff>
    </xdr:from>
    <xdr:to>
      <xdr:col>10</xdr:col>
      <xdr:colOff>68623</xdr:colOff>
      <xdr:row>21</xdr:row>
      <xdr:rowOff>102153</xdr:rowOff>
    </xdr:to>
    <xdr:sp macro="" textlink="">
      <xdr:nvSpPr>
        <xdr:cNvPr id="390" name="Rectangle 389">
          <a:extLst>
            <a:ext uri="{FF2B5EF4-FFF2-40B4-BE49-F238E27FC236}">
              <a16:creationId xmlns:a16="http://schemas.microsoft.com/office/drawing/2014/main" id="{B6670D51-24C4-4320-8AB9-4BF06E36B1C4}"/>
            </a:ext>
          </a:extLst>
        </xdr:cNvPr>
        <xdr:cNvSpPr/>
      </xdr:nvSpPr>
      <xdr:spPr>
        <a:xfrm rot="16200000">
          <a:off x="3140823" y="2992136"/>
          <a:ext cx="373890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141224</xdr:colOff>
      <xdr:row>36</xdr:row>
      <xdr:rowOff>32059</xdr:rowOff>
    </xdr:from>
    <xdr:to>
      <xdr:col>9</xdr:col>
      <xdr:colOff>366684</xdr:colOff>
      <xdr:row>38</xdr:row>
      <xdr:rowOff>29790</xdr:rowOff>
    </xdr:to>
    <xdr:sp macro="" textlink="">
      <xdr:nvSpPr>
        <xdr:cNvPr id="392" name="Rectangle 391">
          <a:extLst>
            <a:ext uri="{FF2B5EF4-FFF2-40B4-BE49-F238E27FC236}">
              <a16:creationId xmlns:a16="http://schemas.microsoft.com/office/drawing/2014/main" id="{11FBC6F4-FF36-44B2-BAFE-050124A8C732}"/>
            </a:ext>
          </a:extLst>
        </xdr:cNvPr>
        <xdr:cNvSpPr/>
      </xdr:nvSpPr>
      <xdr:spPr>
        <a:xfrm rot="16200000">
          <a:off x="3063058" y="14156165"/>
          <a:ext cx="325391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150749</xdr:colOff>
      <xdr:row>30</xdr:row>
      <xdr:rowOff>131343</xdr:rowOff>
    </xdr:from>
    <xdr:to>
      <xdr:col>9</xdr:col>
      <xdr:colOff>376209</xdr:colOff>
      <xdr:row>32</xdr:row>
      <xdr:rowOff>129074</xdr:rowOff>
    </xdr:to>
    <xdr:sp macro="" textlink="">
      <xdr:nvSpPr>
        <xdr:cNvPr id="393" name="Rectangle 392">
          <a:extLst>
            <a:ext uri="{FF2B5EF4-FFF2-40B4-BE49-F238E27FC236}">
              <a16:creationId xmlns:a16="http://schemas.microsoft.com/office/drawing/2014/main" id="{C2F483EE-6779-46C3-BAC4-842B05EFB5BA}"/>
            </a:ext>
          </a:extLst>
        </xdr:cNvPr>
        <xdr:cNvSpPr/>
      </xdr:nvSpPr>
      <xdr:spPr>
        <a:xfrm rot="16200000">
          <a:off x="3084013" y="13329619"/>
          <a:ext cx="302531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143129</xdr:colOff>
      <xdr:row>25</xdr:row>
      <xdr:rowOff>140644</xdr:rowOff>
    </xdr:from>
    <xdr:to>
      <xdr:col>9</xdr:col>
      <xdr:colOff>368589</xdr:colOff>
      <xdr:row>27</xdr:row>
      <xdr:rowOff>138375</xdr:rowOff>
    </xdr:to>
    <xdr:sp macro="" textlink="">
      <xdr:nvSpPr>
        <xdr:cNvPr id="394" name="Rectangle 393">
          <a:extLst>
            <a:ext uri="{FF2B5EF4-FFF2-40B4-BE49-F238E27FC236}">
              <a16:creationId xmlns:a16="http://schemas.microsoft.com/office/drawing/2014/main" id="{1A7E6842-0B78-4BC7-A86F-B7D27848E849}"/>
            </a:ext>
          </a:extLst>
        </xdr:cNvPr>
        <xdr:cNvSpPr/>
      </xdr:nvSpPr>
      <xdr:spPr>
        <a:xfrm rot="16200000">
          <a:off x="3076393" y="12584540"/>
          <a:ext cx="302531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145033</xdr:colOff>
      <xdr:row>20</xdr:row>
      <xdr:rowOff>102095</xdr:rowOff>
    </xdr:from>
    <xdr:to>
      <xdr:col>9</xdr:col>
      <xdr:colOff>370493</xdr:colOff>
      <xdr:row>22</xdr:row>
      <xdr:rowOff>99827</xdr:rowOff>
    </xdr:to>
    <xdr:sp macro="" textlink="">
      <xdr:nvSpPr>
        <xdr:cNvPr id="395" name="Rectangle 394">
          <a:extLst>
            <a:ext uri="{FF2B5EF4-FFF2-40B4-BE49-F238E27FC236}">
              <a16:creationId xmlns:a16="http://schemas.microsoft.com/office/drawing/2014/main" id="{CA5D2AE1-D1C8-4D52-BF92-5111AA54161B}"/>
            </a:ext>
          </a:extLst>
        </xdr:cNvPr>
        <xdr:cNvSpPr/>
      </xdr:nvSpPr>
      <xdr:spPr>
        <a:xfrm rot="16200000">
          <a:off x="3078297" y="11783991"/>
          <a:ext cx="302532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139319</xdr:colOff>
      <xdr:row>15</xdr:row>
      <xdr:rowOff>19732</xdr:rowOff>
    </xdr:from>
    <xdr:to>
      <xdr:col>9</xdr:col>
      <xdr:colOff>364779</xdr:colOff>
      <xdr:row>17</xdr:row>
      <xdr:rowOff>17463</xdr:rowOff>
    </xdr:to>
    <xdr:sp macro="" textlink="">
      <xdr:nvSpPr>
        <xdr:cNvPr id="396" name="Rectangle 395">
          <a:extLst>
            <a:ext uri="{FF2B5EF4-FFF2-40B4-BE49-F238E27FC236}">
              <a16:creationId xmlns:a16="http://schemas.microsoft.com/office/drawing/2014/main" id="{858107F7-80C0-4FA7-A0E0-3A0119CB2A66}"/>
            </a:ext>
          </a:extLst>
        </xdr:cNvPr>
        <xdr:cNvSpPr/>
      </xdr:nvSpPr>
      <xdr:spPr>
        <a:xfrm rot="16200000">
          <a:off x="3072583" y="10939628"/>
          <a:ext cx="302531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234028</xdr:colOff>
      <xdr:row>44</xdr:row>
      <xdr:rowOff>100649</xdr:rowOff>
    </xdr:from>
    <xdr:to>
      <xdr:col>10</xdr:col>
      <xdr:colOff>60216</xdr:colOff>
      <xdr:row>47</xdr:row>
      <xdr:rowOff>14699</xdr:rowOff>
    </xdr:to>
    <xdr:sp macro="" textlink="">
      <xdr:nvSpPr>
        <xdr:cNvPr id="400" name="Rectangle 399">
          <a:extLst>
            <a:ext uri="{FF2B5EF4-FFF2-40B4-BE49-F238E27FC236}">
              <a16:creationId xmlns:a16="http://schemas.microsoft.com/office/drawing/2014/main" id="{EC9D48F0-CECD-4F61-9948-66BE28D116B8}"/>
            </a:ext>
          </a:extLst>
        </xdr:cNvPr>
        <xdr:cNvSpPr/>
      </xdr:nvSpPr>
      <xdr:spPr>
        <a:xfrm rot="16200000">
          <a:off x="3123797" y="15498880"/>
          <a:ext cx="371250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289560</xdr:colOff>
      <xdr:row>49</xdr:row>
      <xdr:rowOff>70634</xdr:rowOff>
    </xdr:from>
    <xdr:to>
      <xdr:col>9</xdr:col>
      <xdr:colOff>293628</xdr:colOff>
      <xdr:row>50</xdr:row>
      <xdr:rowOff>72390</xdr:rowOff>
    </xdr:to>
    <xdr:cxnSp macro="">
      <xdr:nvCxnSpPr>
        <xdr:cNvPr id="401" name="Straight Arrow Connector 400">
          <a:extLst>
            <a:ext uri="{FF2B5EF4-FFF2-40B4-BE49-F238E27FC236}">
              <a16:creationId xmlns:a16="http://schemas.microsoft.com/office/drawing/2014/main" id="{88F56E36-C347-4443-BE7E-4BFEB3EC43A5}"/>
            </a:ext>
          </a:extLst>
        </xdr:cNvPr>
        <xdr:cNvCxnSpPr>
          <a:stCxn id="363" idx="4"/>
        </xdr:cNvCxnSpPr>
      </xdr:nvCxnSpPr>
      <xdr:spPr>
        <a:xfrm flipH="1">
          <a:off x="3261360" y="16160264"/>
          <a:ext cx="4068" cy="15415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152213</xdr:colOff>
      <xdr:row>16</xdr:row>
      <xdr:rowOff>56046</xdr:rowOff>
    </xdr:from>
    <xdr:to>
      <xdr:col>12</xdr:col>
      <xdr:colOff>41412</xdr:colOff>
      <xdr:row>20</xdr:row>
      <xdr:rowOff>24848</xdr:rowOff>
    </xdr:to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A56AA56C-2EAF-43CC-9366-12ADB4377F07}"/>
            </a:ext>
          </a:extLst>
        </xdr:cNvPr>
        <xdr:cNvSpPr txBox="1"/>
      </xdr:nvSpPr>
      <xdr:spPr>
        <a:xfrm>
          <a:off x="3514952" y="2491133"/>
          <a:ext cx="651199" cy="5651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/47/2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77032</xdr:colOff>
      <xdr:row>50</xdr:row>
      <xdr:rowOff>31538</xdr:rowOff>
    </xdr:from>
    <xdr:to>
      <xdr:col>12</xdr:col>
      <xdr:colOff>66260</xdr:colOff>
      <xdr:row>54</xdr:row>
      <xdr:rowOff>8282</xdr:rowOff>
    </xdr:to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673A776D-4FAF-423E-80BD-04C8DF274A26}"/>
            </a:ext>
          </a:extLst>
        </xdr:cNvPr>
        <xdr:cNvSpPr txBox="1"/>
      </xdr:nvSpPr>
      <xdr:spPr>
        <a:xfrm>
          <a:off x="3439771" y="7576995"/>
          <a:ext cx="751228" cy="6890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/47/9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</xdr:txBody>
    </xdr:sp>
    <xdr:clientData/>
  </xdr:twoCellAnchor>
  <xdr:twoCellAnchor>
    <xdr:from>
      <xdr:col>10</xdr:col>
      <xdr:colOff>175846</xdr:colOff>
      <xdr:row>21</xdr:row>
      <xdr:rowOff>124558</xdr:rowOff>
    </xdr:from>
    <xdr:to>
      <xdr:col>12</xdr:col>
      <xdr:colOff>57978</xdr:colOff>
      <xdr:row>26</xdr:row>
      <xdr:rowOff>2568</xdr:rowOff>
    </xdr:to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3D342F55-AF7F-47DB-8F01-3F11D44F6F00}"/>
            </a:ext>
          </a:extLst>
        </xdr:cNvPr>
        <xdr:cNvSpPr txBox="1"/>
      </xdr:nvSpPr>
      <xdr:spPr>
        <a:xfrm>
          <a:off x="3538585" y="3305080"/>
          <a:ext cx="644132" cy="62344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/47/3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161193</xdr:colOff>
      <xdr:row>27</xdr:row>
      <xdr:rowOff>21981</xdr:rowOff>
    </xdr:from>
    <xdr:to>
      <xdr:col>12</xdr:col>
      <xdr:colOff>91109</xdr:colOff>
      <xdr:row>31</xdr:row>
      <xdr:rowOff>61184</xdr:rowOff>
    </xdr:to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B7790B56-2F66-4DCA-AE96-9AB7C91ADC77}"/>
            </a:ext>
          </a:extLst>
        </xdr:cNvPr>
        <xdr:cNvSpPr txBox="1"/>
      </xdr:nvSpPr>
      <xdr:spPr>
        <a:xfrm>
          <a:off x="3523932" y="4097024"/>
          <a:ext cx="691916" cy="62726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/47/4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131885</xdr:colOff>
      <xdr:row>32</xdr:row>
      <xdr:rowOff>58615</xdr:rowOff>
    </xdr:from>
    <xdr:to>
      <xdr:col>12</xdr:col>
      <xdr:colOff>82826</xdr:colOff>
      <xdr:row>36</xdr:row>
      <xdr:rowOff>90491</xdr:rowOff>
    </xdr:to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944F7CF3-EFE0-4FA3-A744-CBBE66C0C02E}"/>
            </a:ext>
          </a:extLst>
        </xdr:cNvPr>
        <xdr:cNvSpPr txBox="1"/>
      </xdr:nvSpPr>
      <xdr:spPr>
        <a:xfrm>
          <a:off x="3494624" y="4870811"/>
          <a:ext cx="712941" cy="62822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/47/5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124557</xdr:colOff>
      <xdr:row>37</xdr:row>
      <xdr:rowOff>51288</xdr:rowOff>
    </xdr:from>
    <xdr:to>
      <xdr:col>12</xdr:col>
      <xdr:colOff>91108</xdr:colOff>
      <xdr:row>41</xdr:row>
      <xdr:rowOff>75837</xdr:rowOff>
    </xdr:to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482159CD-FAC7-4ADB-BB7F-8F5046456440}"/>
            </a:ext>
          </a:extLst>
        </xdr:cNvPr>
        <xdr:cNvSpPr txBox="1"/>
      </xdr:nvSpPr>
      <xdr:spPr>
        <a:xfrm>
          <a:off x="3487296" y="5625484"/>
          <a:ext cx="728551" cy="63746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/47/6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124557</xdr:colOff>
      <xdr:row>42</xdr:row>
      <xdr:rowOff>95250</xdr:rowOff>
    </xdr:from>
    <xdr:to>
      <xdr:col>12</xdr:col>
      <xdr:colOff>99391</xdr:colOff>
      <xdr:row>46</xdr:row>
      <xdr:rowOff>127125</xdr:rowOff>
    </xdr:to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0C03E65F-F8A7-40C7-ABCE-20042713F11A}"/>
            </a:ext>
          </a:extLst>
        </xdr:cNvPr>
        <xdr:cNvSpPr txBox="1"/>
      </xdr:nvSpPr>
      <xdr:spPr>
        <a:xfrm>
          <a:off x="3487296" y="6431446"/>
          <a:ext cx="736834" cy="62822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/47/7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7</xdr:col>
      <xdr:colOff>149087</xdr:colOff>
      <xdr:row>46</xdr:row>
      <xdr:rowOff>139211</xdr:rowOff>
    </xdr:from>
    <xdr:to>
      <xdr:col>9</xdr:col>
      <xdr:colOff>170172</xdr:colOff>
      <xdr:row>50</xdr:row>
      <xdr:rowOff>163760</xdr:rowOff>
    </xdr:to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C3BE916B-E68C-47C1-8516-E06BBE5E4B25}"/>
            </a:ext>
          </a:extLst>
        </xdr:cNvPr>
        <xdr:cNvSpPr txBox="1"/>
      </xdr:nvSpPr>
      <xdr:spPr>
        <a:xfrm>
          <a:off x="2368826" y="7071754"/>
          <a:ext cx="783085" cy="63746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/47/8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9</xdr:col>
      <xdr:colOff>234462</xdr:colOff>
      <xdr:row>53</xdr:row>
      <xdr:rowOff>34876</xdr:rowOff>
    </xdr:from>
    <xdr:to>
      <xdr:col>9</xdr:col>
      <xdr:colOff>361079</xdr:colOff>
      <xdr:row>53</xdr:row>
      <xdr:rowOff>155668</xdr:rowOff>
    </xdr:to>
    <xdr:grpSp>
      <xdr:nvGrpSpPr>
        <xdr:cNvPr id="467" name="Group 466">
          <a:extLst>
            <a:ext uri="{FF2B5EF4-FFF2-40B4-BE49-F238E27FC236}">
              <a16:creationId xmlns:a16="http://schemas.microsoft.com/office/drawing/2014/main" id="{7FD967E9-957D-4B69-A2E2-9CA124F8CBA6}"/>
            </a:ext>
          </a:extLst>
        </xdr:cNvPr>
        <xdr:cNvGrpSpPr/>
      </xdr:nvGrpSpPr>
      <xdr:grpSpPr>
        <a:xfrm>
          <a:off x="3215227" y="8428082"/>
          <a:ext cx="126617" cy="1207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68" name="Oval 467">
            <a:extLst>
              <a:ext uri="{FF2B5EF4-FFF2-40B4-BE49-F238E27FC236}">
                <a16:creationId xmlns:a16="http://schemas.microsoft.com/office/drawing/2014/main" id="{D02D81A4-9F2E-0D3F-5943-F4E1846C4FB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69" name="Straight Connector 468">
            <a:extLst>
              <a:ext uri="{FF2B5EF4-FFF2-40B4-BE49-F238E27FC236}">
                <a16:creationId xmlns:a16="http://schemas.microsoft.com/office/drawing/2014/main" id="{33B67039-4A40-1ADF-DFF0-B51F3402E5F2}"/>
              </a:ext>
            </a:extLst>
          </xdr:cNvPr>
          <xdr:cNvCxnSpPr>
            <a:stCxn id="468" idx="1"/>
            <a:endCxn id="4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0" name="Straight Connector 469">
            <a:extLst>
              <a:ext uri="{FF2B5EF4-FFF2-40B4-BE49-F238E27FC236}">
                <a16:creationId xmlns:a16="http://schemas.microsoft.com/office/drawing/2014/main" id="{71F7EA7B-7CD5-7351-7513-BDC25811ACD8}"/>
              </a:ext>
            </a:extLst>
          </xdr:cNvPr>
          <xdr:cNvCxnSpPr>
            <a:stCxn id="468" idx="3"/>
            <a:endCxn id="4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236222</xdr:colOff>
      <xdr:row>50</xdr:row>
      <xdr:rowOff>52461</xdr:rowOff>
    </xdr:from>
    <xdr:to>
      <xdr:col>10</xdr:col>
      <xdr:colOff>62410</xdr:colOff>
      <xdr:row>52</xdr:row>
      <xdr:rowOff>25126</xdr:rowOff>
    </xdr:to>
    <xdr:sp macro="" textlink="">
      <xdr:nvSpPr>
        <xdr:cNvPr id="473" name="Rectangle 472">
          <a:extLst>
            <a:ext uri="{FF2B5EF4-FFF2-40B4-BE49-F238E27FC236}">
              <a16:creationId xmlns:a16="http://schemas.microsoft.com/office/drawing/2014/main" id="{4CB7395D-6346-460C-9EF2-9A10BC22E2F9}"/>
            </a:ext>
          </a:extLst>
        </xdr:cNvPr>
        <xdr:cNvSpPr/>
      </xdr:nvSpPr>
      <xdr:spPr>
        <a:xfrm rot="16200000">
          <a:off x="3125258" y="16377255"/>
          <a:ext cx="372715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146539</xdr:colOff>
      <xdr:row>50</xdr:row>
      <xdr:rowOff>240324</xdr:rowOff>
    </xdr:from>
    <xdr:to>
      <xdr:col>9</xdr:col>
      <xdr:colOff>367084</xdr:colOff>
      <xdr:row>52</xdr:row>
      <xdr:rowOff>150256</xdr:rowOff>
    </xdr:to>
    <xdr:sp macro="" textlink="">
      <xdr:nvSpPr>
        <xdr:cNvPr id="474" name="Rectangle 473">
          <a:extLst>
            <a:ext uri="{FF2B5EF4-FFF2-40B4-BE49-F238E27FC236}">
              <a16:creationId xmlns:a16="http://schemas.microsoft.com/office/drawing/2014/main" id="{5F86AF20-BF71-44EA-8BE4-FF006E08F4C7}"/>
            </a:ext>
          </a:extLst>
        </xdr:cNvPr>
        <xdr:cNvSpPr/>
      </xdr:nvSpPr>
      <xdr:spPr>
        <a:xfrm rot="16200000">
          <a:off x="3073621" y="16527072"/>
          <a:ext cx="309982" cy="220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297180</xdr:colOff>
      <xdr:row>53</xdr:row>
      <xdr:rowOff>155668</xdr:rowOff>
    </xdr:from>
    <xdr:to>
      <xdr:col>9</xdr:col>
      <xdr:colOff>297771</xdr:colOff>
      <xdr:row>54</xdr:row>
      <xdr:rowOff>129540</xdr:rowOff>
    </xdr:to>
    <xdr:cxnSp macro="">
      <xdr:nvCxnSpPr>
        <xdr:cNvPr id="475" name="Straight Arrow Connector 474">
          <a:extLst>
            <a:ext uri="{FF2B5EF4-FFF2-40B4-BE49-F238E27FC236}">
              <a16:creationId xmlns:a16="http://schemas.microsoft.com/office/drawing/2014/main" id="{66CC36A6-FDF2-42CA-90CE-F5F0F508929D}"/>
            </a:ext>
          </a:extLst>
        </xdr:cNvPr>
        <xdr:cNvCxnSpPr>
          <a:stCxn id="468" idx="4"/>
        </xdr:cNvCxnSpPr>
      </xdr:nvCxnSpPr>
      <xdr:spPr>
        <a:xfrm flipH="1">
          <a:off x="3268980" y="16950148"/>
          <a:ext cx="591" cy="13770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152400</xdr:colOff>
      <xdr:row>51</xdr:row>
      <xdr:rowOff>9525</xdr:rowOff>
    </xdr:from>
    <xdr:to>
      <xdr:col>27</xdr:col>
      <xdr:colOff>228600</xdr:colOff>
      <xdr:row>52</xdr:row>
      <xdr:rowOff>12838</xdr:rowOff>
    </xdr:to>
    <xdr:sp macro="" textlink="">
      <xdr:nvSpPr>
        <xdr:cNvPr id="285" name="Freeform: Shape 284">
          <a:extLst>
            <a:ext uri="{FF2B5EF4-FFF2-40B4-BE49-F238E27FC236}">
              <a16:creationId xmlns:a16="http://schemas.microsoft.com/office/drawing/2014/main" id="{BC7A47C7-2582-439C-A76A-AD0E79E2D3CD}"/>
            </a:ext>
          </a:extLst>
        </xdr:cNvPr>
        <xdr:cNvSpPr/>
      </xdr:nvSpPr>
      <xdr:spPr>
        <a:xfrm>
          <a:off x="10077450" y="16468725"/>
          <a:ext cx="76200" cy="155713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0</xdr:colOff>
      <xdr:row>51</xdr:row>
      <xdr:rowOff>133350</xdr:rowOff>
    </xdr:from>
    <xdr:to>
      <xdr:col>28</xdr:col>
      <xdr:colOff>9525</xdr:colOff>
      <xdr:row>53</xdr:row>
      <xdr:rowOff>20499</xdr:rowOff>
    </xdr:to>
    <xdr:sp macro="" textlink="">
      <xdr:nvSpPr>
        <xdr:cNvPr id="286" name="Freeform: Shape 285">
          <a:extLst>
            <a:ext uri="{FF2B5EF4-FFF2-40B4-BE49-F238E27FC236}">
              <a16:creationId xmlns:a16="http://schemas.microsoft.com/office/drawing/2014/main" id="{0B01C03E-8F2C-4CFD-96EA-6582922052A4}"/>
            </a:ext>
          </a:extLst>
        </xdr:cNvPr>
        <xdr:cNvSpPr/>
      </xdr:nvSpPr>
      <xdr:spPr>
        <a:xfrm>
          <a:off x="10306050" y="16592550"/>
          <a:ext cx="9525" cy="191949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245915</xdr:colOff>
      <xdr:row>11</xdr:row>
      <xdr:rowOff>144521</xdr:rowOff>
    </xdr:from>
    <xdr:to>
      <xdr:col>9</xdr:col>
      <xdr:colOff>372532</xdr:colOff>
      <xdr:row>12</xdr:row>
      <xdr:rowOff>116605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D76122ED-632F-4133-A871-B3C3D1756EAE}"/>
            </a:ext>
          </a:extLst>
        </xdr:cNvPr>
        <xdr:cNvGrpSpPr/>
      </xdr:nvGrpSpPr>
      <xdr:grpSpPr>
        <a:xfrm>
          <a:off x="3226680" y="1870227"/>
          <a:ext cx="126617" cy="12896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8" name="Oval 287">
            <a:extLst>
              <a:ext uri="{FF2B5EF4-FFF2-40B4-BE49-F238E27FC236}">
                <a16:creationId xmlns:a16="http://schemas.microsoft.com/office/drawing/2014/main" id="{B2DF9B54-EC68-4E5E-8A6E-C4143C7D7EA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F9C1B503-AED2-4512-95B6-25015A324B80}"/>
              </a:ext>
            </a:extLst>
          </xdr:cNvPr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53E15290-59CB-4932-9C3F-6DE102FAF7A4}"/>
              </a:ext>
            </a:extLst>
          </xdr:cNvPr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252209</xdr:colOff>
      <xdr:row>5</xdr:row>
      <xdr:rowOff>36847</xdr:rowOff>
    </xdr:from>
    <xdr:to>
      <xdr:col>9</xdr:col>
      <xdr:colOff>378826</xdr:colOff>
      <xdr:row>6</xdr:row>
      <xdr:rowOff>8931</xdr:rowOff>
    </xdr:to>
    <xdr:grpSp>
      <xdr:nvGrpSpPr>
        <xdr:cNvPr id="302" name="Group 301">
          <a:extLst>
            <a:ext uri="{FF2B5EF4-FFF2-40B4-BE49-F238E27FC236}">
              <a16:creationId xmlns:a16="http://schemas.microsoft.com/office/drawing/2014/main" id="{59A7F42A-82D4-4256-B84D-97E1A60097B2}"/>
            </a:ext>
          </a:extLst>
        </xdr:cNvPr>
        <xdr:cNvGrpSpPr/>
      </xdr:nvGrpSpPr>
      <xdr:grpSpPr>
        <a:xfrm>
          <a:off x="3232974" y="821259"/>
          <a:ext cx="126617" cy="12896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3" name="Oval 302">
            <a:extLst>
              <a:ext uri="{FF2B5EF4-FFF2-40B4-BE49-F238E27FC236}">
                <a16:creationId xmlns:a16="http://schemas.microsoft.com/office/drawing/2014/main" id="{B77F31E8-337F-4972-97F4-60D0D5EE94A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4" name="Straight Connector 303">
            <a:extLst>
              <a:ext uri="{FF2B5EF4-FFF2-40B4-BE49-F238E27FC236}">
                <a16:creationId xmlns:a16="http://schemas.microsoft.com/office/drawing/2014/main" id="{47261AA2-6E18-480C-9D17-F6AFF09124AF}"/>
              </a:ext>
            </a:extLst>
          </xdr:cNvPr>
          <xdr:cNvCxnSpPr>
            <a:stCxn id="303" idx="1"/>
            <a:endCxn id="30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7BE62915-001E-4099-948D-CA3E76FC847C}"/>
              </a:ext>
            </a:extLst>
          </xdr:cNvPr>
          <xdr:cNvCxnSpPr>
            <a:stCxn id="303" idx="3"/>
            <a:endCxn id="30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278816</xdr:colOff>
      <xdr:row>7</xdr:row>
      <xdr:rowOff>45720</xdr:rowOff>
    </xdr:from>
    <xdr:to>
      <xdr:col>10</xdr:col>
      <xdr:colOff>106683</xdr:colOff>
      <xdr:row>9</xdr:row>
      <xdr:rowOff>132942</xdr:rowOff>
    </xdr:to>
    <xdr:sp macro="" textlink="">
      <xdr:nvSpPr>
        <xdr:cNvPr id="307" name="Rectangle 306">
          <a:extLst>
            <a:ext uri="{FF2B5EF4-FFF2-40B4-BE49-F238E27FC236}">
              <a16:creationId xmlns:a16="http://schemas.microsoft.com/office/drawing/2014/main" id="{DDA4A10F-8FC1-4CC6-B8E2-DB676397D303}"/>
            </a:ext>
          </a:extLst>
        </xdr:cNvPr>
        <xdr:cNvSpPr/>
      </xdr:nvSpPr>
      <xdr:spPr>
        <a:xfrm rot="16200000">
          <a:off x="3159039" y="9788027"/>
          <a:ext cx="392022" cy="20886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378826</xdr:colOff>
      <xdr:row>5</xdr:row>
      <xdr:rowOff>97433</xdr:rowOff>
    </xdr:from>
    <xdr:to>
      <xdr:col>13</xdr:col>
      <xdr:colOff>248478</xdr:colOff>
      <xdr:row>5</xdr:row>
      <xdr:rowOff>99392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DEF5C6CF-1BE3-4434-9070-8D08E938EEAC}"/>
            </a:ext>
          </a:extLst>
        </xdr:cNvPr>
        <xdr:cNvCxnSpPr>
          <a:endCxn id="303" idx="6"/>
        </xdr:cNvCxnSpPr>
      </xdr:nvCxnSpPr>
      <xdr:spPr>
        <a:xfrm flipH="1" flipV="1">
          <a:off x="3360565" y="9299411"/>
          <a:ext cx="1393652" cy="1959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86556</xdr:colOff>
      <xdr:row>5</xdr:row>
      <xdr:rowOff>53412</xdr:rowOff>
    </xdr:from>
    <xdr:to>
      <xdr:col>12</xdr:col>
      <xdr:colOff>213173</xdr:colOff>
      <xdr:row>6</xdr:row>
      <xdr:rowOff>25496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D7557D00-B9C6-4389-9E4E-632B708D0542}"/>
            </a:ext>
          </a:extLst>
        </xdr:cNvPr>
        <xdr:cNvGrpSpPr/>
      </xdr:nvGrpSpPr>
      <xdr:grpSpPr>
        <a:xfrm>
          <a:off x="4210321" y="837824"/>
          <a:ext cx="126617" cy="12896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293657DC-A2B7-4033-BA5F-4F6E85E67D2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672B1557-C158-4006-ABC3-95071287D2C5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323">
            <a:extLst>
              <a:ext uri="{FF2B5EF4-FFF2-40B4-BE49-F238E27FC236}">
                <a16:creationId xmlns:a16="http://schemas.microsoft.com/office/drawing/2014/main" id="{22A0ED24-B139-40CD-A2FE-E99FF64C885F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259767</xdr:colOff>
      <xdr:row>13</xdr:row>
      <xdr:rowOff>57150</xdr:rowOff>
    </xdr:from>
    <xdr:to>
      <xdr:col>10</xdr:col>
      <xdr:colOff>87634</xdr:colOff>
      <xdr:row>15</xdr:row>
      <xdr:rowOff>144372</xdr:rowOff>
    </xdr:to>
    <xdr:sp macro="" textlink="">
      <xdr:nvSpPr>
        <xdr:cNvPr id="330" name="Rectangle 329">
          <a:extLst>
            <a:ext uri="{FF2B5EF4-FFF2-40B4-BE49-F238E27FC236}">
              <a16:creationId xmlns:a16="http://schemas.microsoft.com/office/drawing/2014/main" id="{72B53E4D-1236-4BB1-9466-44219F1A2B27}"/>
            </a:ext>
          </a:extLst>
        </xdr:cNvPr>
        <xdr:cNvSpPr/>
      </xdr:nvSpPr>
      <xdr:spPr>
        <a:xfrm rot="16200000">
          <a:off x="3139990" y="10725287"/>
          <a:ext cx="392022" cy="20886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127366</xdr:colOff>
      <xdr:row>11</xdr:row>
      <xdr:rowOff>56046</xdr:rowOff>
    </xdr:from>
    <xdr:to>
      <xdr:col>12</xdr:col>
      <xdr:colOff>49696</xdr:colOff>
      <xdr:row>15</xdr:row>
      <xdr:rowOff>71357</xdr:rowOff>
    </xdr:to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5CC5E2AA-D6D2-4388-9CA0-6A82911319FB}"/>
            </a:ext>
          </a:extLst>
        </xdr:cNvPr>
        <xdr:cNvSpPr txBox="1"/>
      </xdr:nvSpPr>
      <xdr:spPr>
        <a:xfrm>
          <a:off x="3490105" y="1729133"/>
          <a:ext cx="684330" cy="62822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/47/1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8</xdr:col>
      <xdr:colOff>243728</xdr:colOff>
      <xdr:row>53</xdr:row>
      <xdr:rowOff>21812</xdr:rowOff>
    </xdr:from>
    <xdr:to>
      <xdr:col>9</xdr:col>
      <xdr:colOff>234462</xdr:colOff>
      <xdr:row>53</xdr:row>
      <xdr:rowOff>95272</xdr:rowOff>
    </xdr:to>
    <xdr:cxnSp macro="">
      <xdr:nvCxnSpPr>
        <xdr:cNvPr id="412" name="Straight Connector 411">
          <a:extLst>
            <a:ext uri="{FF2B5EF4-FFF2-40B4-BE49-F238E27FC236}">
              <a16:creationId xmlns:a16="http://schemas.microsoft.com/office/drawing/2014/main" id="{CA7EEEE6-90C2-40A7-A1A3-6602C51C602C}"/>
            </a:ext>
          </a:extLst>
        </xdr:cNvPr>
        <xdr:cNvCxnSpPr>
          <a:stCxn id="311" idx="3"/>
          <a:endCxn id="468" idx="2"/>
        </xdr:cNvCxnSpPr>
      </xdr:nvCxnSpPr>
      <xdr:spPr>
        <a:xfrm>
          <a:off x="2844467" y="8113921"/>
          <a:ext cx="371734" cy="734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320611</xdr:colOff>
      <xdr:row>52</xdr:row>
      <xdr:rowOff>96928</xdr:rowOff>
    </xdr:from>
    <xdr:to>
      <xdr:col>9</xdr:col>
      <xdr:colOff>250182</xdr:colOff>
      <xdr:row>53</xdr:row>
      <xdr:rowOff>155029</xdr:rowOff>
    </xdr:to>
    <xdr:sp macro="" textlink="">
      <xdr:nvSpPr>
        <xdr:cNvPr id="414" name="Rectangle 413">
          <a:extLst>
            <a:ext uri="{FF2B5EF4-FFF2-40B4-BE49-F238E27FC236}">
              <a16:creationId xmlns:a16="http://schemas.microsoft.com/office/drawing/2014/main" id="{88B07B00-5E7B-4F89-AE97-4EFF9A7420F1}"/>
            </a:ext>
          </a:extLst>
        </xdr:cNvPr>
        <xdr:cNvSpPr/>
      </xdr:nvSpPr>
      <xdr:spPr>
        <a:xfrm rot="453789">
          <a:off x="2921350" y="8039950"/>
          <a:ext cx="310571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</a:t>
          </a:r>
        </a:p>
      </xdr:txBody>
    </xdr:sp>
    <xdr:clientData/>
  </xdr:twoCellAnchor>
  <xdr:twoCellAnchor>
    <xdr:from>
      <xdr:col>9</xdr:col>
      <xdr:colOff>332387</xdr:colOff>
      <xdr:row>4</xdr:row>
      <xdr:rowOff>20655</xdr:rowOff>
    </xdr:from>
    <xdr:to>
      <xdr:col>10</xdr:col>
      <xdr:colOff>41885</xdr:colOff>
      <xdr:row>4</xdr:row>
      <xdr:rowOff>119561</xdr:rowOff>
    </xdr:to>
    <xdr:sp macro="" textlink="">
      <xdr:nvSpPr>
        <xdr:cNvPr id="416" name="Isosceles Triangle 415">
          <a:extLst>
            <a:ext uri="{FF2B5EF4-FFF2-40B4-BE49-F238E27FC236}">
              <a16:creationId xmlns:a16="http://schemas.microsoft.com/office/drawing/2014/main" id="{8FC6F11A-9DE9-43CD-95DA-9E4F37F136F3}"/>
            </a:ext>
          </a:extLst>
        </xdr:cNvPr>
        <xdr:cNvSpPr/>
      </xdr:nvSpPr>
      <xdr:spPr>
        <a:xfrm>
          <a:off x="3305548" y="653387"/>
          <a:ext cx="90498" cy="98906"/>
        </a:xfrm>
        <a:prstGeom prst="triangle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9</xdr:col>
      <xdr:colOff>183696</xdr:colOff>
      <xdr:row>4</xdr:row>
      <xdr:rowOff>11361</xdr:rowOff>
    </xdr:from>
    <xdr:to>
      <xdr:col>9</xdr:col>
      <xdr:colOff>290631</xdr:colOff>
      <xdr:row>4</xdr:row>
      <xdr:rowOff>129376</xdr:rowOff>
    </xdr:to>
    <xdr:sp macro="" textlink="">
      <xdr:nvSpPr>
        <xdr:cNvPr id="417" name="Isosceles Triangle 416">
          <a:extLst>
            <a:ext uri="{FF2B5EF4-FFF2-40B4-BE49-F238E27FC236}">
              <a16:creationId xmlns:a16="http://schemas.microsoft.com/office/drawing/2014/main" id="{1D8AC9C1-7CDF-419F-8AD6-2F0498F9BA99}"/>
            </a:ext>
          </a:extLst>
        </xdr:cNvPr>
        <xdr:cNvSpPr/>
      </xdr:nvSpPr>
      <xdr:spPr>
        <a:xfrm>
          <a:off x="3156857" y="644093"/>
          <a:ext cx="106935" cy="11801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7</xdr:col>
      <xdr:colOff>93348</xdr:colOff>
      <xdr:row>7</xdr:row>
      <xdr:rowOff>107073</xdr:rowOff>
    </xdr:from>
    <xdr:to>
      <xdr:col>9</xdr:col>
      <xdr:colOff>15678</xdr:colOff>
      <xdr:row>14</xdr:row>
      <xdr:rowOff>6804</xdr:rowOff>
    </xdr:to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0A5F239C-3DF3-4970-854F-626B24FC9E50}"/>
            </a:ext>
          </a:extLst>
        </xdr:cNvPr>
        <xdr:cNvSpPr txBox="1"/>
      </xdr:nvSpPr>
      <xdr:spPr>
        <a:xfrm>
          <a:off x="2304509" y="1199046"/>
          <a:ext cx="684330" cy="9814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CG-105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CG-105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9</xdr:col>
      <xdr:colOff>241644</xdr:colOff>
      <xdr:row>43</xdr:row>
      <xdr:rowOff>73072</xdr:rowOff>
    </xdr:from>
    <xdr:to>
      <xdr:col>9</xdr:col>
      <xdr:colOff>368261</xdr:colOff>
      <xdr:row>44</xdr:row>
      <xdr:rowOff>37361</xdr:rowOff>
    </xdr:to>
    <xdr:grpSp>
      <xdr:nvGrpSpPr>
        <xdr:cNvPr id="358" name="Group 357">
          <a:extLst>
            <a:ext uri="{FF2B5EF4-FFF2-40B4-BE49-F238E27FC236}">
              <a16:creationId xmlns:a16="http://schemas.microsoft.com/office/drawing/2014/main" id="{BE9C1B93-8C98-4841-BF63-7565F0E8B751}"/>
            </a:ext>
          </a:extLst>
        </xdr:cNvPr>
        <xdr:cNvGrpSpPr/>
      </xdr:nvGrpSpPr>
      <xdr:grpSpPr>
        <a:xfrm>
          <a:off x="3222409" y="6807807"/>
          <a:ext cx="126617" cy="12117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9" name="Oval 358">
            <a:extLst>
              <a:ext uri="{FF2B5EF4-FFF2-40B4-BE49-F238E27FC236}">
                <a16:creationId xmlns:a16="http://schemas.microsoft.com/office/drawing/2014/main" id="{511C2BFF-7F8F-2951-5648-79D3DC5139D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D2080ACB-4F04-40CB-E6EF-9B5E57B8A1DC}"/>
              </a:ext>
            </a:extLst>
          </xdr:cNvPr>
          <xdr:cNvCxnSpPr>
            <a:stCxn id="359" idx="1"/>
            <a:endCxn id="35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0AE21833-F43C-09FA-0CCC-DF4BE0121570}"/>
              </a:ext>
            </a:extLst>
          </xdr:cNvPr>
          <xdr:cNvCxnSpPr>
            <a:stCxn id="359" idx="3"/>
            <a:endCxn id="35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92528</xdr:colOff>
      <xdr:row>3</xdr:row>
      <xdr:rowOff>38100</xdr:rowOff>
    </xdr:from>
    <xdr:to>
      <xdr:col>10</xdr:col>
      <xdr:colOff>92528</xdr:colOff>
      <xdr:row>5</xdr:row>
      <xdr:rowOff>16329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2B03306-1544-42AE-89E7-9DA1A86460F1}"/>
            </a:ext>
          </a:extLst>
        </xdr:cNvPr>
        <xdr:cNvSpPr txBox="1"/>
      </xdr:nvSpPr>
      <xdr:spPr>
        <a:xfrm>
          <a:off x="2688771" y="517071"/>
          <a:ext cx="762000" cy="28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>
              <a:ln>
                <a:noFill/>
              </a:ln>
            </a:rPr>
            <a:t>50 Kva</a:t>
          </a:r>
        </a:p>
      </xdr:txBody>
    </xdr:sp>
    <xdr:clientData/>
  </xdr:twoCellAnchor>
  <xdr:twoCellAnchor>
    <xdr:from>
      <xdr:col>9</xdr:col>
      <xdr:colOff>332013</xdr:colOff>
      <xdr:row>3</xdr:row>
      <xdr:rowOff>32657</xdr:rowOff>
    </xdr:from>
    <xdr:to>
      <xdr:col>11</xdr:col>
      <xdr:colOff>332013</xdr:colOff>
      <xdr:row>5</xdr:row>
      <xdr:rowOff>10886</xdr:rowOff>
    </xdr:to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EB1B996A-8415-47D0-A744-ECCF16280702}"/>
            </a:ext>
          </a:extLst>
        </xdr:cNvPr>
        <xdr:cNvSpPr txBox="1"/>
      </xdr:nvSpPr>
      <xdr:spPr>
        <a:xfrm>
          <a:off x="3309256" y="511628"/>
          <a:ext cx="762000" cy="28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>
              <a:ln>
                <a:noFill/>
              </a:ln>
              <a:solidFill>
                <a:srgbClr val="FF0000"/>
              </a:solidFill>
            </a:rPr>
            <a:t>50 Kva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675410</xdr:colOff>
      <xdr:row>10</xdr:row>
      <xdr:rowOff>86590</xdr:rowOff>
    </xdr:from>
    <xdr:to>
      <xdr:col>22</xdr:col>
      <xdr:colOff>95395</xdr:colOff>
      <xdr:row>47</xdr:row>
      <xdr:rowOff>51954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C51A4F-951A-4671-90AE-5E0DCEF9A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637" y="1801090"/>
          <a:ext cx="11785167" cy="57323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air/Documents/SUCOFINDO/DISNAKER/K: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7" t="s">
        <v>1134</v>
      </c>
      <c r="C4" s="517"/>
      <c r="D4" s="517"/>
      <c r="E4" s="517"/>
      <c r="F4" s="517"/>
      <c r="G4" s="517"/>
      <c r="H4" s="51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8" t="s">
        <v>0</v>
      </c>
      <c r="C7" s="518" t="s">
        <v>1</v>
      </c>
      <c r="D7" s="519" t="s">
        <v>42</v>
      </c>
      <c r="E7" s="519" t="s">
        <v>43</v>
      </c>
      <c r="F7" s="519" t="s">
        <v>1135</v>
      </c>
      <c r="G7" s="520" t="s">
        <v>41</v>
      </c>
      <c r="H7" s="516" t="s">
        <v>1042</v>
      </c>
      <c r="I7" s="516" t="s">
        <v>1137</v>
      </c>
      <c r="J7" s="516" t="s">
        <v>1026</v>
      </c>
      <c r="K7" s="510" t="s">
        <v>1024</v>
      </c>
      <c r="L7" s="511"/>
    </row>
    <row r="8" spans="1:12" ht="15" customHeight="1">
      <c r="B8" s="518"/>
      <c r="C8" s="518"/>
      <c r="D8" s="519"/>
      <c r="E8" s="519"/>
      <c r="F8" s="519"/>
      <c r="G8" s="520"/>
      <c r="H8" s="516"/>
      <c r="I8" s="516"/>
      <c r="J8" s="516"/>
      <c r="K8" s="512"/>
      <c r="L8" s="513"/>
    </row>
    <row r="9" spans="1:12" ht="15" customHeight="1">
      <c r="B9" s="518"/>
      <c r="C9" s="518"/>
      <c r="D9" s="519"/>
      <c r="E9" s="519"/>
      <c r="F9" s="519"/>
      <c r="G9" s="520"/>
      <c r="H9" s="516"/>
      <c r="I9" s="516"/>
      <c r="J9" s="516"/>
      <c r="K9" s="514"/>
      <c r="L9" s="51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9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440</v>
      </c>
      <c r="G16" s="41">
        <f ca="1">IF(ISERROR(OFFSET('HARGA SATUAN'!$I$6,MATCH(C16,'HARGA SATUAN'!$C$7:$C$1492,0),0)),"",OFFSET('HARGA SATUAN'!$I$6,MATCH(C16,'HARGA SATUAN'!$C$7:$C$1492,0),0))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1</v>
      </c>
      <c r="G17" s="41">
        <f ca="1">IF(ISERROR(OFFSET('HARGA SATUAN'!$I$6,MATCH(C17,'HARGA SATUAN'!$C$7:$C$1492,0),0)),"",OFFSET('HARGA SATUAN'!$I$6,MATCH(C17,'HARGA SATUAN'!$C$7:$C$1492,0),0))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SUMIFS(RAB!$F$14:$F$85,RAB!$C$14:$C$85,C714)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SUMIFS(RAB!$F$14:$F$85,RAB!$C$14:$C$85,C715)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SUMIFS(RAB!$F$14:$F$85,RAB!$C$14:$C$85,C716)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SUMIFS(RAB!$F$14:$F$85,RAB!$C$14:$C$85,C717)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SUMIFS(RAB!$F$14:$F$85,RAB!$C$14:$C$85,C718)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SUMIFS(RAB!$F$14:$F$85,RAB!$C$14:$C$85,C719)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SUMIFS(RAB!$F$14:$F$85,RAB!$C$14:$C$85,C720)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SUMIFS(RAB!$F$14:$F$85,RAB!$C$14:$C$85,C721)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SUMIFS(RAB!$F$14:$F$85,RAB!$C$14:$C$85,C722)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SUMIFS(RAB!$F$14:$F$85,RAB!$C$14:$C$85,C723)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SUMIFS(RAB!$F$14:$F$85,RAB!$C$14:$C$85,C724)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SUMIFS(RAB!$F$14:$F$85,RAB!$C$14:$C$85,C725)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SUMIFS(RAB!$F$14:$F$85,RAB!$C$14:$C$85,C726)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SUMIFS(RAB!$F$14:$F$85,RAB!$C$14:$C$85,C727)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SUMIFS(RAB!$F$14:$F$85,RAB!$C$14:$C$85,C728)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SUMIFS(RAB!$F$14:$F$85,RAB!$C$14:$C$85,C729)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SUMIFS(RAB!$F$14:$F$85,RAB!$C$14:$C$85,C730)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SUMIFS(RAB!$F$14:$F$85,RAB!$C$14:$C$85,C731)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SUMIFS(RAB!$F$14:$F$85,RAB!$C$14:$C$85,C732)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SUMIFS(RAB!$F$14:$F$85,RAB!$C$14:$C$85,C733)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SUMIFS(RAB!$F$14:$F$85,RAB!$C$14:$C$85,C734)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SUMIFS(RAB!$F$14:$F$85,RAB!$C$14:$C$85,C735)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SUMIFS(RAB!$F$14:$F$85,RAB!$C$14:$C$85,C736)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SUMIFS(RAB!$F$14:$F$85,RAB!$C$14:$C$85,C737)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SUMIFS(RAB!$F$14:$F$85,RAB!$C$14:$C$85,C738)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SUMIFS(RAB!$F$14:$F$85,RAB!$C$14:$C$85,C739)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SUMIFS(RAB!$F$14:$F$85,RAB!$C$14:$C$85,C740)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SUMIFS(RAB!$F$14:$F$85,RAB!$C$14:$C$85,C741)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SUMIFS(RAB!$F$14:$F$85,RAB!$C$14:$C$85,C742)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SUMIFS(RAB!$F$14:$F$85,RAB!$C$14:$C$85,C743)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SUMIFS(RAB!$F$14:$F$85,RAB!$C$14:$C$85,C744)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SUMIFS(RAB!$F$14:$F$85,RAB!$C$14:$C$85,C745)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SUMIFS(RAB!$F$14:$F$85,RAB!$C$14:$C$85,C746)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SUMIFS(RAB!$F$14:$F$85,RAB!$C$14:$C$85,C747)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SUMIFS(RAB!$F$14:$F$85,RAB!$C$14:$C$85,C748)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SUMIFS(RAB!$F$14:$F$85,RAB!$C$14:$C$85,C749)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SUMIFS(RAB!$F$14:$F$85,RAB!$C$14:$C$85,C750)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SUMIFS(RAB!$F$14:$F$85,RAB!$C$14:$C$85,C751)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SUMIFS(RAB!$F$14:$F$85,RAB!$C$14:$C$85,C752)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SUMIFS(RAB!$F$14:$F$85,RAB!$C$14:$C$85,C753)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SUMIFS(RAB!$F$14:$F$85,RAB!$C$14:$C$85,C754)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SUMIFS(RAB!$F$14:$F$85,RAB!$C$14:$C$85,C755)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SUMIFS(RAB!$F$14:$F$85,RAB!$C$14:$C$85,C756)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SUMIFS(RAB!$F$14:$F$85,RAB!$C$14:$C$85,C757)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SUMIFS(RAB!$F$14:$F$85,RAB!$C$14:$C$85,C758)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SUMIFS(RAB!$F$14:$F$85,RAB!$C$14:$C$85,C759)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SUMIFS(RAB!$F$14:$F$85,RAB!$C$14:$C$85,C760)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SUMIFS(RAB!$F$14:$F$85,RAB!$C$14:$C$85,C761)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SUMIFS(RAB!$F$14:$F$85,RAB!$C$14:$C$85,C762)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SUMIFS(RAB!$F$14:$F$85,RAB!$C$14:$C$85,C763)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SUMIFS(RAB!$F$14:$F$85,RAB!$C$14:$C$85,C764)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SUMIFS(RAB!$F$14:$F$85,RAB!$C$14:$C$85,C765)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SUMIFS(RAB!$F$14:$F$85,RAB!$C$14:$C$85,C766)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SUMIFS(RAB!$F$14:$F$85,RAB!$C$14:$C$85,C767)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SUMIFS(RAB!$F$14:$F$85,RAB!$C$14:$C$85,C768)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SUMIFS(RAB!$F$14:$F$85,RAB!$C$14:$C$85,C769)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SUMIFS(RAB!$F$14:$F$85,RAB!$C$14:$C$85,C770)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SUMIFS(RAB!$F$14:$F$85,RAB!$C$14:$C$85,C771)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SUMIFS(RAB!$F$14:$F$85,RAB!$C$14:$C$85,C772)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SUMIFS(RAB!$F$14:$F$85,RAB!$C$14:$C$85,C773)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SUMIFS(RAB!$F$14:$F$85,RAB!$C$14:$C$85,C774)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SUMIFS(RAB!$F$14:$F$85,RAB!$C$14:$C$85,C775)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SUMIFS(RAB!$F$14:$F$85,RAB!$C$14:$C$85,C776)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SUMIFS(RAB!$F$14:$F$85,RAB!$C$14:$C$85,C777)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SUMIFS(RAB!$F$14:$F$85,RAB!$C$14:$C$85,C778)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SUMIFS(RAB!$F$14:$F$85,RAB!$C$14:$C$85,C779)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SUMIFS(RAB!$F$14:$F$85,RAB!$C$14:$C$85,C780)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SUMIFS(RAB!$F$14:$F$85,RAB!$C$14:$C$85,C781)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SUMIFS(RAB!$F$14:$F$85,RAB!$C$14:$C$85,C782)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SUMIFS(RAB!$F$14:$F$85,RAB!$C$14:$C$85,C783)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SUMIFS(RAB!$F$14:$F$85,RAB!$C$14:$C$85,C784)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SUMIFS(RAB!$F$14:$F$85,RAB!$C$14:$C$85,C785)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SUMIFS(RAB!$F$14:$F$85,RAB!$C$14:$C$85,C786)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SUMIFS(RAB!$F$14:$F$85,RAB!$C$14:$C$85,C787)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SUMIFS(RAB!$F$14:$F$85,RAB!$C$14:$C$85,C788)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SUMIFS(RAB!$F$14:$F$85,RAB!$C$14:$C$85,C789)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SUMIFS(RAB!$F$14:$F$85,RAB!$C$14:$C$85,C790)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SUMIFS(RAB!$F$14:$F$85,RAB!$C$14:$C$85,C791)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SUMIFS(RAB!$F$14:$F$85,RAB!$C$14:$C$85,C792)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SUMIFS(RAB!$F$14:$F$85,RAB!$C$14:$C$85,C793)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SUMIFS(RAB!$F$14:$F$85,RAB!$C$14:$C$85,C794)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SUMIFS(RAB!$F$14:$F$85,RAB!$C$14:$C$85,C795)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SUMIFS(RAB!$F$14:$F$85,RAB!$C$14:$C$85,C796)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SUMIFS(RAB!$F$14:$F$85,RAB!$C$14:$C$85,C797)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SUMIFS(RAB!$F$14:$F$85,RAB!$C$14:$C$85,C798)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SUMIFS(RAB!$F$14:$F$85,RAB!$C$14:$C$85,C799)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SUMIFS(RAB!$F$14:$F$85,RAB!$C$14:$C$85,C800)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SUMIFS(RAB!$F$14:$F$85,RAB!$C$14:$C$85,C801)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SUMIFS(RAB!$F$14:$F$85,RAB!$C$14:$C$85,C802)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SUMIFS(RAB!$F$14:$F$85,RAB!$C$14:$C$85,C803)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SUMIFS(RAB!$F$14:$F$85,RAB!$C$14:$C$85,C804)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SUMIFS(RAB!$F$14:$F$85,RAB!$C$14:$C$85,C805)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SUMIFS(RAB!$F$14:$F$85,RAB!$C$14:$C$85,C806)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SUMIFS(RAB!$F$14:$F$85,RAB!$C$14:$C$85,C807)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SUMIFS(RAB!$F$14:$F$85,RAB!$C$14:$C$85,C808)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SUMIFS(RAB!$F$14:$F$85,RAB!$C$14:$C$85,C809)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SUMIFS(RAB!$F$14:$F$85,RAB!$C$14:$C$85,C810)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SUMIFS(RAB!$F$14:$F$85,RAB!$C$14:$C$85,C811)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SUMIFS(RAB!$F$14:$F$85,RAB!$C$14:$C$85,C812)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SUMIFS(RAB!$F$14:$F$85,RAB!$C$14:$C$85,C813)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SUMIFS(RAB!$F$14:$F$85,RAB!$C$14:$C$85,C814)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SUMIFS(RAB!$F$14:$F$85,RAB!$C$14:$C$85,C815)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SUMIFS(RAB!$F$14:$F$85,RAB!$C$14:$C$85,C816)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SUMIFS(RAB!$F$14:$F$85,RAB!$C$14:$C$85,C817)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SUMIFS(RAB!$F$14:$F$85,RAB!$C$14:$C$85,C818)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SUMIFS(RAB!$F$14:$F$85,RAB!$C$14:$C$85,C819)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SUMIFS(RAB!$F$14:$F$85,RAB!$C$14:$C$85,C820)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SUMIFS(RAB!$F$14:$F$85,RAB!$C$14:$C$85,C821)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SUMIFS(RAB!$F$14:$F$85,RAB!$C$14:$C$85,C822)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SUMIFS(RAB!$F$14:$F$85,RAB!$C$14:$C$85,C823)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SUMIFS(RAB!$F$14:$F$85,RAB!$C$14:$C$85,C824)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SUMIFS(RAB!$F$14:$F$85,RAB!$C$14:$C$85,C825)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SUMIFS(RAB!$F$14:$F$85,RAB!$C$14:$C$85,C826)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SUMIFS(RAB!$F$14:$F$85,RAB!$C$14:$C$85,C827)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SUMIFS(RAB!$F$14:$F$85,RAB!$C$14:$C$85,C828)</f>
        <v>9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SUMIFS(RAB!$F$14:$F$85,RAB!$C$14:$C$85,C829)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SUMIFS(RAB!$F$14:$F$85,RAB!$C$14:$C$85,C830)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SUMIFS(RAB!$F$14:$F$85,RAB!$C$14:$C$85,C831)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SUMIFS(RAB!$F$14:$F$85,RAB!$C$14:$C$85,C832)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SUMIFS(RAB!$F$14:$F$85,RAB!$C$14:$C$85,C833)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SUMIFS(RAB!$F$14:$F$85,RAB!$C$14:$C$85,C834)</f>
        <v>440</v>
      </c>
      <c r="E834" s="26">
        <f t="shared" ca="1" si="34"/>
        <v>1</v>
      </c>
      <c r="F834" s="26">
        <f ca="1">IF(D834=0,0,SUM($E$713:E834))</f>
        <v>5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SUMIFS(RAB!$F$14:$F$85,RAB!$C$14:$C$85,C835)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SUMIFS(RAB!$F$14:$F$85,RAB!$C$14:$C$85,C836)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SUMIFS(RAB!$F$14:$F$85,RAB!$C$14:$C$85,C837)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SUMIFS(RAB!$F$14:$F$85,RAB!$C$14:$C$85,C838)</f>
        <v>1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SUMIFS(RAB!$F$14:$F$85,RAB!$C$14:$C$85,C839)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SUMIFS(RAB!$F$14:$F$85,RAB!$C$14:$C$85,C840)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SUMIFS(RAB!$F$14:$F$85,RAB!$C$14:$C$85,C841)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SUMIFS(RAB!$F$14:$F$85,RAB!$C$14:$C$85,C842)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SUMIFS(RAB!$F$14:$F$85,RAB!$C$14:$C$85,C843)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SUMIFS(RAB!$F$14:$F$85,RAB!$C$14:$C$85,C844)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SUMIFS(RAB!$F$14:$F$85,RAB!$C$14:$C$85,C845)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SUMIFS(RAB!$F$14:$F$85,RAB!$C$14:$C$85,C846)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SUMIFS(RAB!$F$14:$F$85,RAB!$C$14:$C$85,C847)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SUMIFS(RAB!$F$14:$F$85,RAB!$C$14:$C$85,C848)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SUMIFS(RAB!$F$14:$F$85,RAB!$C$14:$C$85,C849)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SUMIFS(RAB!$F$14:$F$85,RAB!$C$14:$C$85,C850)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SUMIFS(RAB!$F$14:$F$85,RAB!$C$14:$C$85,C851)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SUMIFS(RAB!$F$14:$F$85,RAB!$C$14:$C$85,C852)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SUMIFS(RAB!$F$14:$F$85,RAB!$C$14:$C$85,C853)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SUMIFS(RAB!$F$14:$F$85,RAB!$C$14:$C$85,C854)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SUMIFS(RAB!$F$14:$F$85,RAB!$C$14:$C$85,C855)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SUMIFS(RAB!$F$14:$F$85,RAB!$C$14:$C$85,C856)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SUMIFS(RAB!$F$14:$F$85,RAB!$C$14:$C$85,C857)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SUMIFS(RAB!$F$14:$F$85,RAB!$C$14:$C$85,C858)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SUMIFS(RAB!$F$14:$F$85,RAB!$C$14:$C$85,C859)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SUMIFS(RAB!$F$14:$F$85,RAB!$C$14:$C$85,C860)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SUMIFS(RAB!$F$14:$F$85,RAB!$C$14:$C$85,C861)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SUMIFS(RAB!$F$14:$F$85,RAB!$C$14:$C$85,C862)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SUMIFS(RAB!$F$14:$F$85,RAB!$C$14:$C$85,C863)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SUMIFS(RAB!$F$14:$F$85,RAB!$C$14:$C$85,C864)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SUMIFS(RAB!$F$14:$F$85,RAB!$C$14:$C$85,C865)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SUMIFS(RAB!$F$14:$F$85,RAB!$C$14:$C$85,C866)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SUMIFS(RAB!$F$14:$F$85,RAB!$C$14:$C$85,C867)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SUMIFS(RAB!$F$14:$F$85,RAB!$C$14:$C$85,C868)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SUMIFS(RAB!$F$14:$F$85,RAB!$C$14:$C$85,C869)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SUMIFS(RAB!$F$14:$F$85,RAB!$C$14:$C$85,C870)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SUMIFS(RAB!$F$14:$F$85,RAB!$C$14:$C$85,C871)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SUMIFS(RAB!$F$14:$F$85,RAB!$C$14:$C$85,C872)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SUMIFS(RAB!$F$14:$F$85,RAB!$C$14:$C$85,C873)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SUMIFS(RAB!$F$14:$F$85,RAB!$C$14:$C$85,C874)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SUMIFS(RAB!$F$14:$F$85,RAB!$C$14:$C$85,C875)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SUMIFS(RAB!$F$14:$F$85,RAB!$C$14:$C$85,C876)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SUMIFS(RAB!$F$14:$F$85,RAB!$C$14:$C$85,C877)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SUMIFS(RAB!$F$14:$F$85,RAB!$C$14:$C$85,C878)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SUMIFS(RAB!$F$14:$F$85,RAB!$C$14:$C$85,C879)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SUMIFS(RAB!$F$14:$F$85,RAB!$C$14:$C$85,C880)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SUMIFS(RAB!$F$14:$F$85,RAB!$C$14:$C$85,C881)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SUMIFS(RAB!$F$14:$F$85,RAB!$C$14:$C$85,C882)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SUMIFS(RAB!$F$14:$F$85,RAB!$C$14:$C$85,C883)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SUMIFS(RAB!$F$14:$F$85,RAB!$C$14:$C$85,C884)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SUMIFS(RAB!$F$14:$F$85,RAB!$C$14:$C$85,C885)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SUMIFS(RAB!$F$14:$F$85,RAB!$C$14:$C$85,C886)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SUMIFS(RAB!$F$14:$F$85,RAB!$C$14:$C$85,C887)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SUMIFS(RAB!$F$14:$F$85,RAB!$C$14:$C$85,C888)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SUMIFS(RAB!$F$14:$F$85,RAB!$C$14:$C$85,C889)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SUMIFS(RAB!$F$14:$F$85,RAB!$C$14:$C$85,C890)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SUMIFS(RAB!$F$14:$F$85,RAB!$C$14:$C$85,C891)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SUMIFS(RAB!$F$14:$F$85,RAB!$C$14:$C$85,C892)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SUMIFS(RAB!$F$14:$F$85,RAB!$C$14:$C$85,C893)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SUMIFS(RAB!$F$14:$F$85,RAB!$C$14:$C$85,C894)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SUMIFS(RAB!$F$14:$F$85,RAB!$C$14:$C$85,C895)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SUMIFS(RAB!$F$14:$F$85,RAB!$C$14:$C$85,C896)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SUMIFS(RAB!$F$14:$F$85,RAB!$C$14:$C$85,C897)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SUMIFS(RAB!$F$14:$F$85,RAB!$C$14:$C$85,C898)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SUMIFS(RAB!$F$14:$F$85,RAB!$C$14:$C$85,C899)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SUMIFS(RAB!$F$14:$F$85,RAB!$C$14:$C$85,C900)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SUMIFS(RAB!$F$14:$F$85,RAB!$C$14:$C$85,C901)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SUMIFS(RAB!$F$14:$F$85,RAB!$C$14:$C$85,C902)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SUMIFS(RAB!$F$14:$F$85,RAB!$C$14:$C$85,C903)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SUMIFS(RAB!$F$14:$F$85,RAB!$C$14:$C$85,C904)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SUMIFS(RAB!$F$14:$F$85,RAB!$C$14:$C$85,C905)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SUMIFS(RAB!$F$14:$F$85,RAB!$C$14:$C$85,C906)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SUMIFS(RAB!$F$14:$F$85,RAB!$C$14:$C$85,C907)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SUMIFS(RAB!$F$14:$F$85,RAB!$C$14:$C$85,C908)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SUMIFS(RAB!$F$14:$F$85,RAB!$C$14:$C$85,C909)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SUMIFS(RAB!$F$14:$F$85,RAB!$C$14:$C$85,C910)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SUMIFS(RAB!$F$14:$F$85,RAB!$C$14:$C$85,C911)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SUMIFS(RAB!$F$14:$F$85,RAB!$C$14:$C$85,C912)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SUMIFS(RAB!$F$14:$F$85,RAB!$C$14:$C$85,C913)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SUMIFS(RAB!$F$14:$F$85,RAB!$C$14:$C$85,C914)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SUMIFS(RAB!$F$14:$F$85,RAB!$C$14:$C$85,C915)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SUMIFS(RAB!$F$14:$F$85,RAB!$C$14:$C$85,C916)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SUMIFS(RAB!$F$14:$F$85,RAB!$C$14:$C$85,C917)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SUMIFS(RAB!$F$14:$F$85,RAB!$C$14:$C$85,C918)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SUMIFS(RAB!$F$14:$F$85,RAB!$C$14:$C$85,C919)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SUMIFS(RAB!$F$14:$F$85,RAB!$C$14:$C$85,C920)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SUMIFS(RAB!$F$14:$F$85,RAB!$C$14:$C$85,C921)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SUMIFS(RAB!$F$14:$F$85,RAB!$C$14:$C$85,C922)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SUMIFS(RAB!$F$14:$F$85,RAB!$C$14:$C$85,C923)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SUMIFS(RAB!$F$14:$F$85,RAB!$C$14:$C$85,C924)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SUMIFS(RAB!$F$14:$F$85,RAB!$C$14:$C$85,C925)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SUMIFS(RAB!$F$14:$F$85,RAB!$C$14:$C$85,C926)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SUMIFS(RAB!$F$14:$F$85,RAB!$C$14:$C$85,C927)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SUMIFS(RAB!$F$14:$F$85,RAB!$C$14:$C$85,C928)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SUMIFS(RAB!$F$14:$F$85,RAB!$C$14:$C$85,C929)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SUMIFS(RAB!$F$14:$F$85,RAB!$C$14:$C$85,C930)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SUMIFS(RAB!$F$14:$F$85,RAB!$C$14:$C$85,C931)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SUMIFS(RAB!$F$14:$F$85,RAB!$C$14:$C$85,C932)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SUMIFS(RAB!$F$14:$F$85,RAB!$C$14:$C$85,C933)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SUMIFS(RAB!$F$14:$F$85,RAB!$C$14:$C$85,C934)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SUMIFS(RAB!$F$14:$F$85,RAB!$C$14:$C$85,C935)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SUMIFS(RAB!$F$14:$F$85,RAB!$C$14:$C$85,C936)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SUMIFS(RAB!$F$14:$F$85,RAB!$C$14:$C$85,C937)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SUMIFS(RAB!$F$14:$F$85,RAB!$C$14:$C$85,C938)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SUMIFS(RAB!$F$14:$F$85,RAB!$C$14:$C$85,C939)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SUMIFS(RAB!$F$14:$F$85,RAB!$C$14:$C$85,C940)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SUMIFS(RAB!$F$14:$F$85,RAB!$C$14:$C$85,C941)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SUMIFS(RAB!$F$14:$F$85,RAB!$C$14:$C$85,C942)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SUMIFS(RAB!$F$14:$F$85,RAB!$C$14:$C$85,C943)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SUMIFS(RAB!$F$14:$F$85,RAB!$C$14:$C$85,C944)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SUMIFS(RAB!$F$14:$F$85,RAB!$C$14:$C$85,C945)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SUMIFS(RAB!$F$14:$F$85,RAB!$C$14:$C$85,C946)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SUMIFS(RAB!$F$14:$F$85,RAB!$C$14:$C$85,C947)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SUMIFS(RAB!$F$14:$F$85,RAB!$C$14:$C$85,C948)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SUMIFS(RAB!$F$14:$F$85,RAB!$C$14:$C$85,C949)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SUMIFS(RAB!$F$14:$F$85,RAB!$C$14:$C$85,C950)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SUMIFS(RAB!$F$14:$F$85,RAB!$C$14:$C$85,C951)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SUMIFS(RAB!$F$14:$F$85,RAB!$C$14:$C$85,C952)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SUMIFS(RAB!$F$14:$F$85,RAB!$C$14:$C$85,C953)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SUMIFS(RAB!$F$14:$F$85,RAB!$C$14:$C$85,C954)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SUMIFS(RAB!$F$14:$F$85,RAB!$C$14:$C$85,C955)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SUMIFS(RAB!$F$14:$F$85,RAB!$C$14:$C$85,C956)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SUMIFS(RAB!$F$14:$F$85,RAB!$C$14:$C$85,C957)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SUMIFS(RAB!$F$14:$F$85,RAB!$C$14:$C$85,C958)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SUMIFS(RAB!$F$14:$F$85,RAB!$C$14:$C$85,C959)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SUMIFS(RAB!$F$14:$F$85,RAB!$C$14:$C$85,C960)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SUMIFS(RAB!$F$14:$F$85,RAB!$C$14:$C$85,C961)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SUMIFS(RAB!$F$14:$F$85,RAB!$C$14:$C$85,C962)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SUMIFS(RAB!$F$14:$F$85,RAB!$C$14:$C$85,C963)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SUMIFS(RAB!$F$14:$F$85,RAB!$C$14:$C$85,C964)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SUMIFS(RAB!$F$14:$F$85,RAB!$C$14:$C$85,C965)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SUMIFS(RAB!$F$14:$F$85,RAB!$C$14:$C$85,C966)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SUMIFS(RAB!$F$14:$F$85,RAB!$C$14:$C$85,C967)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SUMIFS(RAB!$F$14:$F$85,RAB!$C$14:$C$85,C968)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SUMIFS(RAB!$F$14:$F$85,RAB!$C$14:$C$85,C969)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SUMIFS(RAB!$F$14:$F$85,RAB!$C$14:$C$85,C970)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SUMIFS(RAB!$F$14:$F$85,RAB!$C$14:$C$85,C971)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SUMIFS(RAB!$F$14:$F$85,RAB!$C$14:$C$85,C972)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SUMIFS(RAB!$F$14:$F$85,RAB!$C$14:$C$85,C973)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SUMIFS(RAB!$F$14:$F$85,RAB!$C$14:$C$85,C974)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SUMIFS(RAB!$F$14:$F$85,RAB!$C$14:$C$85,C975)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SUMIFS(RAB!$F$14:$F$85,RAB!$C$14:$C$85,C976)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SUMIFS(RAB!$F$14:$F$85,RAB!$C$14:$C$85,C977)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SUMIFS(RAB!$F$14:$F$85,RAB!$C$14:$C$85,C978)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SUMIFS(RAB!$F$14:$F$85,RAB!$C$14:$C$85,C979)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SUMIFS(RAB!$F$14:$F$85,RAB!$C$14:$C$85,C980)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SUMIFS(RAB!$F$14:$F$85,RAB!$C$14:$C$85,C981)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SUMIFS(RAB!$F$14:$F$85,RAB!$C$14:$C$85,C982)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SUMIFS(RAB!$F$14:$F$85,RAB!$C$14:$C$85,C983)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SUMIFS(RAB!$F$14:$F$85,RAB!$C$14:$C$85,C984)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SUMIFS(RAB!$F$14:$F$85,RAB!$C$14:$C$85,C985)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SUMIFS(RAB!$F$14:$F$85,RAB!$C$14:$C$85,C986)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SUMIFS(RAB!$F$14:$F$85,RAB!$C$14:$C$85,C987)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SUMIFS(RAB!$F$14:$F$85,RAB!$C$14:$C$85,C988)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SUMIFS(RAB!$F$14:$F$85,RAB!$C$14:$C$85,C989)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SUMIFS(RAB!$F$14:$F$85,RAB!$C$14:$C$85,C990)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SUMIFS(RAB!$F$14:$F$85,RAB!$C$14:$C$85,C991)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SUMIFS(RAB!$F$14:$F$85,RAB!$C$14:$C$85,C992)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SUMIFS(RAB!$F$14:$F$85,RAB!$C$14:$C$85,C993)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SUMIFS(RAB!$F$14:$F$85,RAB!$C$14:$C$85,C994)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SUMIFS(RAB!$F$14:$F$85,RAB!$C$14:$C$85,C995)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SUMIFS(RAB!$F$14:$F$85,RAB!$C$14:$C$85,C996)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SUMIFS(RAB!$F$14:$F$85,RAB!$C$14:$C$85,C997)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SUMIFS(RAB!$F$14:$F$85,RAB!$C$14:$C$85,C998)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SUMIFS(RAB!$F$14:$F$85,RAB!$C$14:$C$85,C999)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SUMIFS(RAB!$F$14:$F$85,RAB!$C$14:$C$85,C1000)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SUMIFS(RAB!$F$14:$F$85,RAB!$C$14:$C$85,C1001)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SUMIFS(RAB!$F$14:$F$85,RAB!$C$14:$C$85,C1002)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SUMIFS(RAB!$F$14:$F$85,RAB!$C$14:$C$85,C1003)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SUMIFS(RAB!$F$14:$F$85,RAB!$C$14:$C$85,C1004)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SUMIFS(RAB!$F$14:$F$85,RAB!$C$14:$C$85,C1005)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SUMIFS(RAB!$F$14:$F$85,RAB!$C$14:$C$85,C1006)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SUMIFS(RAB!$F$14:$F$85,RAB!$C$14:$C$85,C1007)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SUMIFS(RAB!$F$14:$F$85,RAB!$C$14:$C$85,C1008)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SUMIFS(RAB!$F$14:$F$85,RAB!$C$14:$C$85,C1009)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SUMIFS(RAB!$F$14:$F$85,RAB!$C$14:$C$85,C1010)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SUMIFS(RAB!$F$14:$F$85,RAB!$C$14:$C$85,C1011)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SUMIFS(RAB!$F$14:$F$85,RAB!$C$14:$C$85,C1012)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SUMIFS(RAB!$F$14:$F$85,RAB!$C$14:$C$85,C1013)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SUMIFS(RAB!$F$14:$F$85,RAB!$C$14:$C$85,C1014)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SUMIFS(RAB!$F$14:$F$85,RAB!$C$14:$C$85,C1015)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SUMIFS(RAB!$F$14:$F$85,RAB!$C$14:$C$85,C1016)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SUMIFS(RAB!$F$14:$F$85,RAB!$C$14:$C$85,C1017)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SUMIFS(RAB!$F$14:$F$85,RAB!$C$14:$C$85,C1018)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SUMIFS(RAB!$F$14:$F$85,RAB!$C$14:$C$85,C1019)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SUMIFS(RAB!$F$14:$F$85,RAB!$C$14:$C$85,C1020)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SUMIFS(RAB!$F$14:$F$85,RAB!$C$14:$C$85,C1021)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SUMIFS(RAB!$F$14:$F$85,RAB!$C$14:$C$85,C1022)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SUMIFS(RAB!$F$14:$F$85,RAB!$C$14:$C$85,C1023)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SUMIFS(RAB!$F$14:$F$85,RAB!$C$14:$C$85,C1024)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SUMIFS(RAB!$F$14:$F$85,RAB!$C$14:$C$85,C1025)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SUMIFS(RAB!$F$14:$F$85,RAB!$C$14:$C$85,C1026)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SUMIFS(RAB!$F$14:$F$85,RAB!$C$14:$C$85,C1027)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SUMIFS(RAB!$F$14:$F$85,RAB!$C$14:$C$85,C1028)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SUMIFS(RAB!$F$14:$F$85,RAB!$C$14:$C$85,C1029)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SUMIFS(RAB!$F$14:$F$85,RAB!$C$14:$C$85,C1030)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SUMIFS(RAB!$F$14:$F$85,RAB!$C$14:$C$85,C1031)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SUMIFS(RAB!$F$14:$F$85,RAB!$C$14:$C$85,C1032)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SUMIFS(RAB!$F$14:$F$85,RAB!$C$14:$C$85,C1033)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SUMIFS(RAB!$F$14:$F$85,RAB!$C$14:$C$85,C1034)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SUMIFS(RAB!$F$14:$F$85,RAB!$C$14:$C$85,C1035)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SUMIFS(RAB!$F$14:$F$85,RAB!$C$14:$C$85,C1036)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SUMIFS(RAB!$F$14:$F$85,RAB!$C$14:$C$85,C1037)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SUMIFS(RAB!$F$14:$F$85,RAB!$C$14:$C$85,C1038)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SUMIFS(RAB!$F$14:$F$85,RAB!$C$14:$C$85,C1039)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SUMIFS(RAB!$F$14:$F$85,RAB!$C$14:$C$85,C1040)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SUMIFS(RAB!$F$14:$F$85,RAB!$C$14:$C$85,C1041)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SUMIFS(RAB!$F$14:$F$85,RAB!$C$14:$C$85,C1042)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SUMIFS(RAB!$F$14:$F$85,RAB!$C$14:$C$85,C1043)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SUMIFS(RAB!$F$14:$F$85,RAB!$C$14:$C$85,C1044)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SUMIFS(RAB!$F$14:$F$85,RAB!$C$14:$C$85,C1045)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SUMIFS(RAB!$F$14:$F$85,RAB!$C$14:$C$85,C1046)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SUMIFS(RAB!$F$14:$F$85,RAB!$C$14:$C$85,C1047)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SUMIFS(RAB!$F$14:$F$85,RAB!$C$14:$C$85,C1048)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SUMIFS(RAB!$F$14:$F$85,RAB!$C$14:$C$85,C1049)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SUMIFS(RAB!$F$14:$F$85,RAB!$C$14:$C$85,C1050)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SUMIFS(RAB!$F$14:$F$85,RAB!$C$14:$C$85,C1051)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SUMIFS(RAB!$F$14:$F$85,RAB!$C$14:$C$85,C1052)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SUMIFS(RAB!$F$14:$F$85,RAB!$C$14:$C$85,C1053)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SUMIFS(RAB!$F$14:$F$85,RAB!$C$14:$C$85,C1054)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SUMIFS(RAB!$F$14:$F$85,RAB!$C$14:$C$85,C1055)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SUMIFS(RAB!$F$14:$F$85,RAB!$C$14:$C$85,C1056)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SUMIFS(RAB!$F$14:$F$85,RAB!$C$14:$C$85,C1057)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SUMIFS(RAB!$F$14:$F$85,RAB!$C$14:$C$85,C1058)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SUMIFS(RAB!$F$14:$F$85,RAB!$C$14:$C$85,C1059)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SUMIFS(RAB!$F$14:$F$85,RAB!$C$14:$C$85,C1060)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SUMIFS(RAB!$F$14:$F$85,RAB!$C$14:$C$85,C1061)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SUMIFS(RAB!$F$14:$F$85,RAB!$C$14:$C$85,C1062)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SUMIFS(RAB!$F$14:$F$85,RAB!$C$14:$C$85,C1063)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SUMIFS(RAB!$F$14:$F$85,RAB!$C$14:$C$85,C1064)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SUMIFS(RAB!$F$14:$F$85,RAB!$C$14:$C$85,C1065)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SUMIFS(RAB!$F$14:$F$85,RAB!$C$14:$C$85,C1066)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SUMIFS(RAB!$F$14:$F$85,RAB!$C$14:$C$85,C1067)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SUMIFS(RAB!$F$14:$F$85,RAB!$C$14:$C$85,C1068)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SUMIFS(RAB!$F$14:$F$85,RAB!$C$14:$C$85,C1069)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SUMIFS(RAB!$F$14:$F$85,RAB!$C$14:$C$85,C1070)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SUMIFS(RAB!$F$14:$F$85,RAB!$C$14:$C$85,C1071)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SUMIFS(RAB!$F$14:$F$85,RAB!$C$14:$C$85,C1072)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SUMIFS(RAB!$F$14:$F$85,RAB!$C$14:$C$85,C1073)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SUMIFS(RAB!$F$14:$F$85,RAB!$C$14:$C$85,C1074)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SUMIFS(RAB!$F$14:$F$85,RAB!$C$14:$C$85,C1075)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SUMIFS(RAB!$F$14:$F$85,RAB!$C$14:$C$85,C1076)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SUMIFS(RAB!$F$14:$F$85,RAB!$C$14:$C$85,C1077)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SUMIFS(RAB!$F$14:$F$85,RAB!$C$14:$C$85,C1078)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SUMIFS(RAB!$F$14:$F$85,RAB!$C$14:$C$85,C1079)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SUMIFS(RAB!$F$14:$F$85,RAB!$C$14:$C$85,C1080)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SUMIFS(RAB!$F$14:$F$85,RAB!$C$14:$C$85,C1081)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SUMIFS(RAB!$F$14:$F$85,RAB!$C$14:$C$85,C1082)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SUMIFS(RAB!$F$14:$F$85,RAB!$C$14:$C$85,C1083)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SUMIFS(RAB!$F$14:$F$85,RAB!$C$14:$C$85,C1084)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SUMIFS(RAB!$F$14:$F$85,RAB!$C$14:$C$85,C1085)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SUMIFS(RAB!$F$14:$F$85,RAB!$C$14:$C$85,C1086)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SUMIFS(RAB!$F$14:$F$85,RAB!$C$14:$C$85,C1087)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SUMIFS(RAB!$F$14:$F$85,RAB!$C$14:$C$85,C1088)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SUMIFS(RAB!$F$14:$F$85,RAB!$C$14:$C$85,C1089)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SUMIFS(RAB!$F$14:$F$85,RAB!$C$14:$C$85,C1090)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SUMIFS(RAB!$F$14:$F$85,RAB!$C$14:$C$85,C1091)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SUMIFS(RAB!$F$14:$F$85,RAB!$C$14:$C$85,C1092)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SUMIFS(RAB!$F$14:$F$85,RAB!$C$14:$C$85,C1093)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SUMIFS(RAB!$F$14:$F$85,RAB!$C$14:$C$85,C1094)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SUMIFS(RAB!$F$14:$F$85,RAB!$C$14:$C$85,C1095)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SUMIFS(RAB!$F$14:$F$85,RAB!$C$14:$C$85,C1096)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SUMIFS(RAB!$F$14:$F$85,RAB!$C$14:$C$85,C1097)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SUMIFS(RAB!$F$14:$F$85,RAB!$C$14:$C$85,C1098)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SUMIFS(RAB!$F$14:$F$85,RAB!$C$14:$C$85,C1099)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SUMIFS(RAB!$F$14:$F$85,RAB!$C$14:$C$85,C1100)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SUMIFS(RAB!$F$14:$F$85,RAB!$C$14:$C$85,C1101)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SUMIFS(RAB!$F$14:$F$85,RAB!$C$14:$C$85,C1102)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SUMIFS(RAB!$F$14:$F$85,RAB!$C$14:$C$85,C1103)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SUMIFS(RAB!$F$14:$F$85,RAB!$C$14:$C$85,C1104)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SUMIFS(RAB!$F$14:$F$85,RAB!$C$14:$C$85,C1105)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SUMIFS(RAB!$F$14:$F$85,RAB!$C$14:$C$85,C1106)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SUMIFS(RAB!$F$14:$F$85,RAB!$C$14:$C$85,C1107)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SUMIFS(RAB!$F$14:$F$85,RAB!$C$14:$C$85,C1108)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SUMIFS(RAB!$F$14:$F$85,RAB!$C$14:$C$85,C1109)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SUMIFS(RAB!$F$14:$F$85,RAB!$C$14:$C$85,C1110)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SUMIFS(RAB!$F$14:$F$85,RAB!$C$14:$C$85,C1111)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SUMIFS(RAB!$F$14:$F$85,RAB!$C$14:$C$85,C1112)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SUMIFS(RAB!$F$14:$F$85,RAB!$C$14:$C$85,C1113)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SUMIFS(RAB!$F$14:$F$85,RAB!$C$14:$C$85,C1114)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SUMIFS(RAB!$F$14:$F$85,RAB!$C$14:$C$85,C1115)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SUMIFS(RAB!$F$14:$F$85,RAB!$C$14:$C$85,C1116)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SUMIFS(RAB!$F$14:$F$85,RAB!$C$14:$C$85,C1117)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SUMIFS(RAB!$F$14:$F$85,RAB!$C$14:$C$85,C1118)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SUMIFS(RAB!$F$14:$F$85,RAB!$C$14:$C$85,C1119)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SUMIFS(RAB!$F$14:$F$85,RAB!$C$14:$C$85,C1120)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SUMIFS(RAB!$F$14:$F$85,RAB!$C$14:$C$85,C1121)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SUMIFS(RAB!$F$14:$F$85,RAB!$C$14:$C$85,C1122)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SUMIFS(RAB!$F$14:$F$85,RAB!$C$14:$C$85,C1123)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SUMIFS(RAB!$F$14:$F$85,RAB!$C$14:$C$85,C1124)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SUMIFS(RAB!$F$14:$F$85,RAB!$C$14:$C$85,C1125)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SUMIFS(RAB!$F$14:$F$85,RAB!$C$14:$C$85,C1126)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SUMIFS(RAB!$F$14:$F$85,RAB!$C$14:$C$85,C1127)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SUMIFS(RAB!$F$14:$F$85,RAB!$C$14:$C$85,C1128)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SUMIFS(RAB!$F$14:$F$85,RAB!$C$14:$C$85,C1129)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SUMIFS(RAB!$F$14:$F$85,RAB!$C$14:$C$85,C1130)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SUMIFS(RAB!$F$14:$F$85,RAB!$C$14:$C$85,C1131)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SUMIFS(RAB!$F$14:$F$85,RAB!$C$14:$C$85,C1132)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SUMIFS(RAB!$F$14:$F$85,RAB!$C$14:$C$85,C1133)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SUMIFS(RAB!$F$14:$F$85,RAB!$C$14:$C$85,C1134)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SUMIFS(RAB!$F$14:$F$85,RAB!$C$14:$C$85,C1135)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SUMIFS(RAB!$F$14:$F$85,RAB!$C$14:$C$85,C1136)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SUMIFS(RAB!$F$14:$F$85,RAB!$C$14:$C$85,C1137)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SUMIFS(RAB!$F$14:$F$85,RAB!$C$14:$C$85,C1138)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SUMIFS(RAB!$F$14:$F$85,RAB!$C$14:$C$85,C1139)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SUMIFS(RAB!$F$14:$F$85,RAB!$C$14:$C$85,C1140)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SUMIFS(RAB!$F$14:$F$85,RAB!$C$14:$C$85,C1141)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SUMIFS(RAB!$F$14:$F$85,RAB!$C$14:$C$85,C1142)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SUMIFS(RAB!$F$14:$F$85,RAB!$C$14:$C$85,C1143)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SUMIFS(RAB!$F$14:$F$85,RAB!$C$14:$C$85,C1144)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SUMIFS(RAB!$F$14:$F$85,RAB!$C$14:$C$85,C1145)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SUMIFS(RAB!$F$14:$F$85,RAB!$C$14:$C$85,C1146)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SUMIFS(RAB!$F$14:$F$85,RAB!$C$14:$C$85,C1147)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SUMIFS(RAB!$F$14:$F$85,RAB!$C$14:$C$85,C1148)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SUMIFS(RAB!$F$14:$F$85,RAB!$C$14:$C$85,C1149)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SUMIFS(RAB!$F$14:$F$85,RAB!$C$14:$C$85,C1150)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SUMIFS(RAB!$F$14:$F$85,RAB!$C$14:$C$85,C1151)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SUMIFS(RAB!$F$14:$F$85,RAB!$C$14:$C$85,C1152)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SUMIFS(RAB!$F$14:$F$85,RAB!$C$14:$C$85,C1153)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SUMIFS(RAB!$F$14:$F$85,RAB!$C$14:$C$85,C1154)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SUMIFS(RAB!$F$14:$F$85,RAB!$C$14:$C$85,C1155)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SUMIFS(RAB!$F$14:$F$85,RAB!$C$14:$C$85,C1156)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SUMIFS(RAB!$F$14:$F$85,RAB!$C$14:$C$85,C1157)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SUMIFS(RAB!$F$14:$F$85,RAB!$C$14:$C$85,C1158)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SUMIFS(RAB!$F$14:$F$85,RAB!$C$14:$C$85,C1159)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SUMIFS(RAB!$F$14:$F$85,RAB!$C$14:$C$85,C1160)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SUMIFS(RAB!$F$14:$F$85,RAB!$C$14:$C$85,C1161)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SUMIFS(RAB!$F$14:$F$85,RAB!$C$14:$C$85,C1162)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SUMIFS(RAB!$F$14:$F$85,RAB!$C$14:$C$85,C1163)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SUMIFS(RAB!$F$14:$F$85,RAB!$C$14:$C$85,C1164)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SUMIFS(RAB!$F$14:$F$85,RAB!$C$14:$C$85,C1165)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SUMIFS(RAB!$F$14:$F$85,RAB!$C$14:$C$85,C1166)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SUMIFS(RAB!$F$14:$F$85,RAB!$C$14:$C$85,C1167)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SUMIFS(RAB!$F$14:$F$85,RAB!$C$14:$C$85,C1168)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SUMIFS(RAB!$F$14:$F$85,RAB!$C$14:$C$85,C1169)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SUMIFS(RAB!$F$14:$F$85,RAB!$C$14:$C$85,C1170)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SUMIFS(RAB!$F$14:$F$85,RAB!$C$14:$C$85,C1171)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SUMIFS(RAB!$F$14:$F$85,RAB!$C$14:$C$85,C1172)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SUMIFS(RAB!$F$14:$F$85,RAB!$C$14:$C$85,C1173)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SUMIFS(RAB!$F$14:$F$85,RAB!$C$14:$C$85,C1174)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SUMIFS(RAB!$F$14:$F$85,RAB!$C$14:$C$85,C1175)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SUMIFS(RAB!$F$14:$F$85,RAB!$C$14:$C$85,C1176)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SUMIFS(RAB!$F$14:$F$85,RAB!$C$14:$C$85,C1177)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SUMIFS(RAB!$F$14:$F$85,RAB!$C$14:$C$85,C1178)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SUMIFS(RAB!$F$14:$F$85,RAB!$C$14:$C$85,C1179)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SUMIFS(RAB!$F$14:$F$85,RAB!$C$14:$C$85,C1180)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SUMIFS(RAB!$F$14:$F$85,RAB!$C$14:$C$85,C1181)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SUMIFS(RAB!$F$14:$F$85,RAB!$C$14:$C$85,C1182)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SUMIFS(RAB!$F$14:$F$85,RAB!$C$14:$C$85,C1183)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SUMIFS(RAB!$F$14:$F$85,RAB!$C$14:$C$85,C1184)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SUMIFS(RAB!$F$14:$F$85,RAB!$C$14:$C$85,C1185)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SUMIFS(RAB!$F$14:$F$85,RAB!$C$14:$C$85,C1186)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SUMIFS(RAB!$F$14:$F$85,RAB!$C$14:$C$85,C1187)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SUMIFS(RAB!$F$14:$F$85,RAB!$C$14:$C$85,C1188)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SUMIFS(RAB!$F$14:$F$85,RAB!$C$14:$C$85,C1189)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SUMIFS(RAB!$F$14:$F$85,RAB!$C$14:$C$85,C1190)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SUMIFS(RAB!$F$14:$F$85,RAB!$C$14:$C$85,C1191)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SUMIFS(RAB!$F$14:$F$85,RAB!$C$14:$C$85,C1192)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SUMIFS(RAB!$F$14:$F$85,RAB!$C$14:$C$85,C1193)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SUMIFS(RAB!$F$14:$F$85,RAB!$C$14:$C$85,C1194)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SUMIFS(RAB!$F$14:$F$85,RAB!$C$14:$C$85,C1195)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SUMIFS(RAB!$F$14:$F$85,RAB!$C$14:$C$85,C1196)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SUMIFS(RAB!$F$14:$F$85,RAB!$C$14:$C$85,C1197)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SUMIFS(RAB!$F$14:$F$85,RAB!$C$14:$C$85,C1198)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SUMIFS(RAB!$F$14:$F$85,RAB!$C$14:$C$85,C1199)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SUMIFS(RAB!$F$14:$F$85,RAB!$C$14:$C$85,C1200)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SUMIFS(RAB!$F$14:$F$85,RAB!$C$14:$C$85,C1201)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SUMIFS(RAB!$F$14:$F$85,RAB!$C$14:$C$85,C1202)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SUMIFS(RAB!$F$14:$F$85,RAB!$C$14:$C$85,C1203)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SUMIFS(RAB!$F$14:$F$85,RAB!$C$14:$C$85,C1204)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SUMIFS(RAB!$F$14:$F$85,RAB!$C$14:$C$85,C1205)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SUMIFS(RAB!$F$14:$F$85,RAB!$C$14:$C$85,C1206)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SUMIFS(RAB!$F$14:$F$85,RAB!$C$14:$C$85,C1207)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SUMIFS(RAB!$F$14:$F$85,RAB!$C$14:$C$85,C1208)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SUMIFS(RAB!$F$14:$F$85,RAB!$C$14:$C$85,C1209)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SUMIFS(RAB!$F$14:$F$85,RAB!$C$14:$C$85,C1210)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SUMIFS(RAB!$F$14:$F$85,RAB!$C$14:$C$85,C1211)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SUMIFS(RAB!$F$14:$F$85,RAB!$C$14:$C$85,C1212)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SUMIFS(RAB!$F$14:$F$85,RAB!$C$14:$C$85,C1213)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SUMIFS(RAB!$F$14:$F$85,RAB!$C$14:$C$85,C1214)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SUMIFS(RAB!$F$14:$F$85,RAB!$C$14:$C$85,C1215)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SUMIFS(RAB!$F$14:$F$85,RAB!$C$14:$C$85,C1216)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SUMIFS(RAB!$F$14:$F$85,RAB!$C$14:$C$85,C1217)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SUMIFS(RAB!$F$14:$F$85,RAB!$C$14:$C$85,C1218)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SUMIFS(RAB!$F$14:$F$85,RAB!$C$14:$C$85,C1219)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SUMIFS(RAB!$F$14:$F$85,RAB!$C$14:$C$85,C1220)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SUMIFS(RAB!$F$14:$F$85,RAB!$C$14:$C$85,C1221)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SUMIFS(RAB!$F$14:$F$85,RAB!$C$14:$C$85,C1222)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SUMIFS(RAB!$F$14:$F$85,RAB!$C$14:$C$85,C1223)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SUMIFS(RAB!$F$14:$F$85,RAB!$C$14:$C$85,C1224)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SUMIFS(RAB!$F$14:$F$85,RAB!$C$14:$C$85,C1225)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SUMIFS(RAB!$F$14:$F$85,RAB!$C$14:$C$85,C1226)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SUMIFS(RAB!$F$14:$F$85,RAB!$C$14:$C$85,C1227)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SUMIFS(RAB!$F$14:$F$85,RAB!$C$14:$C$85,C1228)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SUMIFS(RAB!$F$14:$F$85,RAB!$C$14:$C$85,C1229)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SUMIFS(RAB!$F$14:$F$85,RAB!$C$14:$C$85,C1230)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SUMIFS(RAB!$F$14:$F$85,RAB!$C$14:$C$85,C1231)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SUMIFS(RAB!$F$14:$F$85,RAB!$C$14:$C$85,C1232)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SUMIFS(RAB!$F$14:$F$85,RAB!$C$14:$C$85,C1233)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SUMIFS(RAB!$F$14:$F$85,RAB!$C$14:$C$85,C1234)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SUMIFS(RAB!$F$14:$F$85,RAB!$C$14:$C$85,C1235)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SUMIFS(RAB!$F$14:$F$85,RAB!$C$14:$C$85,C1236)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SUMIFS(RAB!$F$14:$F$85,RAB!$C$14:$C$85,C1237)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SUMIFS(RAB!$F$14:$F$85,RAB!$C$14:$C$85,C1238)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SUMIFS(RAB!$F$14:$F$85,RAB!$C$14:$C$85,C1239)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SUMIFS(RAB!$F$14:$F$85,RAB!$C$14:$C$85,C1240)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SUMIFS(RAB!$F$14:$F$85,RAB!$C$14:$C$85,C1241)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SUMIFS(RAB!$F$14:$F$85,RAB!$C$14:$C$85,C1242)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SUMIFS(RAB!$F$14:$F$85,RAB!$C$14:$C$85,C1243)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SUMIFS(RAB!$F$14:$F$85,RAB!$C$14:$C$85,C1244)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SUMIFS(RAB!$F$14:$F$85,RAB!$C$14:$C$85,C1245)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SUMIFS(RAB!$F$14:$F$85,RAB!$C$14:$C$85,C1246)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SUMIFS(RAB!$F$14:$F$85,RAB!$C$14:$C$85,C1247)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SUMIFS(RAB!$F$14:$F$85,RAB!$C$14:$C$85,C1248)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SUMIFS(RAB!$F$14:$F$85,RAB!$C$14:$C$85,C1249)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SUMIFS(RAB!$F$14:$F$85,RAB!$C$14:$C$85,C1250)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SUMIFS(RAB!$F$14:$F$85,RAB!$C$14:$C$85,C1251)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SUMIFS(RAB!$F$14:$F$85,RAB!$C$14:$C$85,C1252)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SUMIFS(RAB!$F$14:$F$85,RAB!$C$14:$C$85,C1253)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SUMIFS(RAB!$F$14:$F$85,RAB!$C$14:$C$85,C1254)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SUMIFS(RAB!$F$14:$F$85,RAB!$C$14:$C$85,C1255)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SUMIFS(RAB!$F$14:$F$85,RAB!$C$14:$C$85,C1256)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SUMIFS(RAB!$F$14:$F$85,RAB!$C$14:$C$85,C1257)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SUMIFS(RAB!$F$14:$F$85,RAB!$C$14:$C$85,C1258)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SUMIFS(RAB!$F$14:$F$85,RAB!$C$14:$C$85,C1259)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SUMIFS(RAB!$F$14:$F$85,RAB!$C$14:$C$85,C1260)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SUMIFS(RAB!$F$14:$F$85,RAB!$C$14:$C$85,C1261)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SUMIFS(RAB!$F$14:$F$85,RAB!$C$14:$C$85,C1262)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SUMIFS(RAB!$F$14:$F$85,RAB!$C$14:$C$85,C1263)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SUMIFS(RAB!$F$14:$F$85,RAB!$C$14:$C$85,C1264)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SUMIFS(RAB!$F$14:$F$85,RAB!$C$14:$C$85,C1265)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SUMIFS(RAB!$F$14:$F$85,RAB!$C$14:$C$85,C1266)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SUMIFS(RAB!$F$14:$F$85,RAB!$C$14:$C$85,C1267)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SUMIFS(RAB!$F$14:$F$85,RAB!$C$14:$C$85,C1268)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SUMIFS(RAB!$F$14:$F$85,RAB!$C$14:$C$85,C1269)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SUMIFS(RAB!$F$14:$F$85,RAB!$C$14:$C$85,C1270)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SUMIFS(RAB!$F$14:$F$85,RAB!$C$14:$C$85,C1271)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SUMIFS(RAB!$F$14:$F$85,RAB!$C$14:$C$85,C1272)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SUMIFS(RAB!$F$14:$F$85,RAB!$C$14:$C$85,C1273)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SUMIFS(RAB!$F$14:$F$85,RAB!$C$14:$C$85,C1274)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SUMIFS(RAB!$F$14:$F$85,RAB!$C$14:$C$85,C1275)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SUMIFS(RAB!$F$14:$F$85,RAB!$C$14:$C$85,C1276)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SUMIFS(RAB!$F$14:$F$85,RAB!$C$14:$C$85,C1277)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SUMIFS(RAB!$F$14:$F$85,RAB!$C$14:$C$85,C1278)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SUMIFS(RAB!$F$14:$F$85,RAB!$C$14:$C$85,C1279)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SUMIFS(RAB!$F$14:$F$85,RAB!$C$14:$C$85,C1280)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SUMIFS(RAB!$F$14:$F$85,RAB!$C$14:$C$85,C1281)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SUMIFS(RAB!$F$14:$F$85,RAB!$C$14:$C$85,C1282)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SUMIFS(RAB!$F$14:$F$85,RAB!$C$14:$C$85,C1283)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SUMIFS(RAB!$F$14:$F$85,RAB!$C$14:$C$85,C1284)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SUMIFS(RAB!$F$14:$F$85,RAB!$C$14:$C$85,C1285)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SUMIFS(RAB!$F$14:$F$85,RAB!$C$14:$C$85,C1286)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SUMIFS(RAB!$F$14:$F$85,RAB!$C$14:$C$85,C1287)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SUMIFS(RAB!$F$14:$F$85,RAB!$C$14:$C$85,C1288)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SUMIFS(RAB!$F$14:$F$85,RAB!$C$14:$C$85,C1289)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SUMIFS(RAB!$F$14:$F$85,RAB!$C$14:$C$85,C1290)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SUMIFS(RAB!$F$14:$F$85,RAB!$C$14:$C$85,C1291)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SUMIFS(RAB!$F$14:$F$85,RAB!$C$14:$C$85,C1292)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SUMIFS(RAB!$F$14:$F$85,RAB!$C$14:$C$85,C1293)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SUMIFS(RAB!$F$14:$F$85,RAB!$C$14:$C$85,C1294)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SUMIFS(RAB!$F$14:$F$85,RAB!$C$14:$C$85,C1295)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SUMIFS(RAB!$F$14:$F$85,RAB!$C$14:$C$85,C1296)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SUMIFS(RAB!$F$14:$F$85,RAB!$C$14:$C$85,C1297)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SUMIFS(RAB!$F$14:$F$85,RAB!$C$14:$C$85,C1298)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SUMIFS(RAB!$F$14:$F$85,RAB!$C$14:$C$85,C1299)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SUMIFS(RAB!$F$14:$F$85,RAB!$C$14:$C$85,C1300)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SUMIFS(RAB!$F$14:$F$85,RAB!$C$14:$C$85,C1301)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SUMIFS(RAB!$F$14:$F$85,RAB!$C$14:$C$85,C1302)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SUMIFS(RAB!$F$14:$F$85,RAB!$C$14:$C$85,C1303)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SUMIFS(RAB!$F$14:$F$85,RAB!$C$14:$C$85,C1304)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SUMIFS(RAB!$F$14:$F$85,RAB!$C$14:$C$85,C1305)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SUMIFS(RAB!$F$14:$F$85,RAB!$C$14:$C$85,C1306)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SUMIFS(RAB!$F$14:$F$85,RAB!$C$14:$C$85,C1307)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SUMIFS(RAB!$F$14:$F$85,RAB!$C$14:$C$85,C1308)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SUMIFS(RAB!$F$14:$F$85,RAB!$C$14:$C$85,C1309)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SUMIFS(RAB!$F$14:$F$85,RAB!$C$14:$C$85,C1310)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SUMIFS(RAB!$F$14:$F$85,RAB!$C$14:$C$85,C1311)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SUMIFS(RAB!$F$14:$F$85,RAB!$C$14:$C$85,C1312)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SUMIFS(RAB!$F$14:$F$85,RAB!$C$14:$C$85,C1313)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SUMIFS(RAB!$F$14:$F$85,RAB!$C$14:$C$85,C1314)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SUMIFS(RAB!$F$14:$F$85,RAB!$C$14:$C$85,C1315)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SUMIFS(RAB!$F$14:$F$85,RAB!$C$14:$C$85,C1316)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SUMIFS(RAB!$F$14:$F$85,RAB!$C$14:$C$85,C1317)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SUMIFS(RAB!$F$14:$F$85,RAB!$C$14:$C$85,C1318)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SUMIFS(RAB!$F$14:$F$85,RAB!$C$14:$C$85,C1319)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SUMIFS(RAB!$F$14:$F$85,RAB!$C$14:$C$85,C1320)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7" priority="5" operator="equal">
      <formula>0</formula>
    </cfRule>
  </conditionalFormatting>
  <conditionalFormatting sqref="A10:L65536">
    <cfRule type="cellIs" dxfId="76" priority="1" operator="equal">
      <formula>0</formula>
    </cfRule>
  </conditionalFormatting>
  <conditionalFormatting sqref="C12:C711">
    <cfRule type="cellIs" dxfId="75" priority="66" stopIfTrue="1" operator="equal">
      <formula>0</formula>
    </cfRule>
  </conditionalFormatting>
  <conditionalFormatting sqref="E712:E65536">
    <cfRule type="cellIs" dxfId="74" priority="16" stopIfTrue="1" operator="equal">
      <formula>0</formula>
    </cfRule>
  </conditionalFormatting>
  <conditionalFormatting sqref="G1:G11 E6:E11 E1:E3 H7 H10:H11 F10:F711 G712:G65536">
    <cfRule type="cellIs" dxfId="73" priority="69" stopIfTrue="1" operator="equal">
      <formula>0</formula>
    </cfRule>
  </conditionalFormatting>
  <conditionalFormatting sqref="G12:H711">
    <cfRule type="cellIs" dxfId="72" priority="12" stopIfTrue="1" operator="equal">
      <formula>0</formula>
    </cfRule>
  </conditionalFormatting>
  <conditionalFormatting sqref="I7:K7">
    <cfRule type="cellIs" dxfId="71" priority="4" stopIfTrue="1" operator="equal">
      <formula>0</formula>
    </cfRule>
  </conditionalFormatting>
  <conditionalFormatting sqref="I10:L711">
    <cfRule type="cellIs" dxfId="70" priority="2" stopIfTrue="1" operator="equal">
      <formula>0</formula>
    </cfRule>
  </conditionalFormatting>
  <conditionalFormatting sqref="L1:L6">
    <cfRule type="cellIs" dxfId="69" priority="10" operator="equal">
      <formula>0</formula>
    </cfRule>
  </conditionalFormatting>
  <conditionalFormatting sqref="M1:IV1048576 A8:G9">
    <cfRule type="cellIs" dxfId="6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1" t="s">
        <v>1127</v>
      </c>
      <c r="C4" s="521"/>
      <c r="D4" s="521"/>
      <c r="E4" s="521"/>
      <c r="F4" s="521"/>
      <c r="G4" s="521"/>
      <c r="H4" s="521"/>
      <c r="I4" s="521"/>
      <c r="J4" s="521"/>
      <c r="K4" s="52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5" t="str">
        <f>RAB!G6</f>
        <v>TNK AKHADINA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DONOREJO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2" t="s">
        <v>0</v>
      </c>
      <c r="C11" s="524" t="s">
        <v>1</v>
      </c>
      <c r="D11" s="527" t="s">
        <v>42</v>
      </c>
      <c r="E11" s="527" t="s">
        <v>43</v>
      </c>
      <c r="F11" s="527" t="s">
        <v>2</v>
      </c>
      <c r="G11" s="529" t="s">
        <v>41</v>
      </c>
      <c r="H11" s="527" t="s">
        <v>3</v>
      </c>
      <c r="I11" s="527"/>
      <c r="J11" s="527"/>
      <c r="K11" s="532"/>
      <c r="M11" s="33"/>
      <c r="N11" s="33"/>
      <c r="O11" s="33"/>
      <c r="P11" s="33"/>
      <c r="R11" s="34"/>
      <c r="S11" s="74"/>
      <c r="T11" s="74"/>
    </row>
    <row r="12" spans="1:21" ht="15" customHeight="1">
      <c r="B12" s="523"/>
      <c r="C12" s="525"/>
      <c r="D12" s="528"/>
      <c r="E12" s="528"/>
      <c r="F12" s="528"/>
      <c r="G12" s="530"/>
      <c r="H12" s="536" t="s">
        <v>46</v>
      </c>
      <c r="I12" s="536" t="s">
        <v>5</v>
      </c>
      <c r="J12" s="528" t="s">
        <v>47</v>
      </c>
      <c r="K12" s="53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3"/>
      <c r="C13" s="526"/>
      <c r="D13" s="528"/>
      <c r="E13" s="528"/>
      <c r="F13" s="528"/>
      <c r="G13" s="531"/>
      <c r="H13" s="537"/>
      <c r="I13" s="537"/>
      <c r="J13" s="528"/>
      <c r="K13" s="53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6" t="s">
        <v>1008</v>
      </c>
      <c r="D38" s="546"/>
      <c r="E38" s="546"/>
      <c r="F38" s="546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7" t="s">
        <v>462</v>
      </c>
      <c r="D39" s="547"/>
      <c r="E39" s="547"/>
      <c r="F39" s="547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8" t="s">
        <v>463</v>
      </c>
      <c r="D40" s="538"/>
      <c r="E40" s="538"/>
      <c r="F40" s="538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9" t="e">
        <f ca="1">"Terbilang : ( "&amp;L42&amp;" Rupiah )"</f>
        <v>#NAME?</v>
      </c>
      <c r="C41" s="540"/>
      <c r="D41" s="540"/>
      <c r="E41" s="540"/>
      <c r="F41" s="540"/>
      <c r="G41" s="540"/>
      <c r="H41" s="540"/>
      <c r="I41" s="540"/>
      <c r="J41" s="540"/>
      <c r="K41" s="541"/>
      <c r="L41" s="44"/>
      <c r="R41" s="58"/>
      <c r="S41" s="58"/>
      <c r="T41" s="58"/>
    </row>
    <row r="42" spans="1:20" s="36" customFormat="1">
      <c r="A42" s="30"/>
      <c r="B42" s="542"/>
      <c r="C42" s="543"/>
      <c r="D42" s="543"/>
      <c r="E42" s="543"/>
      <c r="F42" s="543"/>
      <c r="G42" s="543"/>
      <c r="H42" s="543"/>
      <c r="I42" s="543"/>
      <c r="J42" s="543"/>
      <c r="K42" s="544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SUMIFS(RAB!$F$14:$F$85,RAB!$C$14:$C$85,'REKAP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SUMIFS(RAB!$F$14:$F$85,RAB!$C$14:$C$85,'REKAP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SUMIFS(RAB!$F$14:$F$85,RAB!$C$14:$C$85,'REKAP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SUMIFS(RAB!$F$14:$F$85,RAB!$C$14:$C$85,'REKAP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SUMIFS(RAB!$F$14:$F$85,RAB!$C$14:$C$85,'REKAP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SUMIFS(RAB!$F$14:$F$85,RAB!$C$14:$C$85,'REKAP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SUMIFS(RAB!$F$14:$F$85,RAB!$C$14:$C$85,'REKAP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SUMIFS(RAB!$F$14:$F$85,RAB!$C$14:$C$85,'REKAP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SUMIFS(RAB!$F$14:$F$85,RAB!$C$14:$C$85,'REKAP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SUMIFS(RAB!$F$14:$F$85,RAB!$C$14:$C$85,'REKAP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SUMIFS(RAB!$F$14:$F$85,RAB!$C$14:$C$85,'REKAP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SUMIFS(RAB!$F$14:$F$85,RAB!$C$14:$C$85,'REKAP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SUMIFS(RAB!$F$14:$F$85,RAB!$C$14:$C$85,'REKAP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SUMIFS(RAB!$F$14:$F$85,RAB!$C$14:$C$85,'REKAP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SUMIFS(RAB!$F$14:$F$85,RAB!$C$14:$C$85,'REKAP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SUMIFS(RAB!$F$14:$F$85,RAB!$C$14:$C$85,'REKAP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SUMIFS(RAB!$F$14:$F$85,RAB!$C$14:$C$85,'REKAP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SUMIFS(RAB!$F$14:$F$85,RAB!$C$14:$C$85,'REKAP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SUMIFS(RAB!$F$14:$F$85,RAB!$C$14:$C$85,'REKAP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SUMIFS(RAB!$F$14:$F$85,RAB!$C$14:$C$85,'REKAP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6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1" t="s">
        <v>1034</v>
      </c>
      <c r="C4" s="521"/>
      <c r="D4" s="521"/>
      <c r="E4" s="521"/>
      <c r="F4" s="521"/>
      <c r="G4" s="521"/>
      <c r="H4" s="521"/>
      <c r="I4" s="521"/>
      <c r="J4" s="521"/>
      <c r="K4" s="52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5" t="str">
        <f>RAB!G6</f>
        <v>TNK AKHADINA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DONOREJO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2" t="s">
        <v>0</v>
      </c>
      <c r="C11" s="524" t="s">
        <v>1</v>
      </c>
      <c r="D11" s="527" t="s">
        <v>42</v>
      </c>
      <c r="E11" s="527" t="s">
        <v>43</v>
      </c>
      <c r="F11" s="527" t="s">
        <v>2</v>
      </c>
      <c r="G11" s="529" t="s">
        <v>41</v>
      </c>
      <c r="H11" s="527" t="s">
        <v>3</v>
      </c>
      <c r="I11" s="527"/>
      <c r="J11" s="527"/>
      <c r="K11" s="532"/>
      <c r="M11" s="33"/>
      <c r="N11" s="33"/>
      <c r="O11" s="33"/>
      <c r="P11" s="33"/>
      <c r="R11" s="34"/>
      <c r="S11" s="74"/>
      <c r="T11" s="74"/>
    </row>
    <row r="12" spans="1:21" ht="15" customHeight="1">
      <c r="B12" s="523"/>
      <c r="C12" s="525"/>
      <c r="D12" s="528"/>
      <c r="E12" s="528"/>
      <c r="F12" s="528"/>
      <c r="G12" s="530"/>
      <c r="H12" s="536" t="s">
        <v>46</v>
      </c>
      <c r="I12" s="536" t="s">
        <v>5</v>
      </c>
      <c r="J12" s="528" t="s">
        <v>47</v>
      </c>
      <c r="K12" s="53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3"/>
      <c r="C13" s="526"/>
      <c r="D13" s="528"/>
      <c r="E13" s="528"/>
      <c r="F13" s="528"/>
      <c r="G13" s="531"/>
      <c r="H13" s="537"/>
      <c r="I13" s="537"/>
      <c r="J13" s="528"/>
      <c r="K13" s="53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9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127800</v>
      </c>
      <c r="I19" s="42">
        <f t="shared" ca="1" si="2"/>
        <v>0</v>
      </c>
      <c r="J19" s="42">
        <f t="shared" ca="1" si="3"/>
        <v>0</v>
      </c>
      <c r="K19" s="43">
        <f t="shared" ca="1" si="0"/>
        <v>127800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440</v>
      </c>
      <c r="G20" s="41">
        <f ca="1">IF(ISERROR(OFFSET('HARGA SATUAN'!$I$6,MATCH(C20,'HARGA SATUAN'!$C$7:$C$1492,0),0)),"",OFFSET('HARGA SATUAN'!$I$6,MATCH(C20,'HARGA SATUAN'!$C$7:$C$1492,0),0))</f>
        <v>53300</v>
      </c>
      <c r="H20" s="42">
        <f t="shared" ca="1" si="1"/>
        <v>23452000</v>
      </c>
      <c r="I20" s="42">
        <f t="shared" ca="1" si="2"/>
        <v>0</v>
      </c>
      <c r="J20" s="42">
        <f t="shared" ca="1" si="3"/>
        <v>0</v>
      </c>
      <c r="K20" s="43">
        <f t="shared" ca="1" si="0"/>
        <v>23452000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1</v>
      </c>
      <c r="G21" s="41">
        <f ca="1">IF(ISERROR(OFFSET('HARGA SATUAN'!$I$6,MATCH(C21,'HARGA SATUAN'!$C$7:$C$1492,0),0)),"",OFFSET('HARGA SATUAN'!$I$6,MATCH(C21,'HARGA SATUAN'!$C$7:$C$1492,0),0))</f>
        <v>6600</v>
      </c>
      <c r="H21" s="42">
        <f t="shared" ca="1" si="1"/>
        <v>6600</v>
      </c>
      <c r="I21" s="42">
        <f t="shared" ca="1" si="2"/>
        <v>0</v>
      </c>
      <c r="J21" s="42">
        <f t="shared" ca="1" si="3"/>
        <v>0</v>
      </c>
      <c r="K21" s="43">
        <f t="shared" ca="1" si="0"/>
        <v>6600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6" t="s">
        <v>1008</v>
      </c>
      <c r="D168" s="546"/>
      <c r="E168" s="546"/>
      <c r="F168" s="546"/>
      <c r="G168" s="77" t="s">
        <v>9</v>
      </c>
      <c r="H168" s="55">
        <f ca="1">SUM(H14:H167)</f>
        <v>51798400</v>
      </c>
      <c r="I168" s="55">
        <f ca="1">SUM(I14:I167)</f>
        <v>0</v>
      </c>
      <c r="J168" s="55">
        <f ca="1">SUM(J14:J167)</f>
        <v>0</v>
      </c>
      <c r="K168" s="55">
        <f ca="1">SUM(K14:K167)</f>
        <v>51798400</v>
      </c>
      <c r="L168" s="44"/>
      <c r="R168" s="99"/>
      <c r="S168" s="99"/>
      <c r="T168" s="99"/>
    </row>
    <row r="169" spans="1:20" s="36" customFormat="1">
      <c r="A169" s="30"/>
      <c r="B169" s="56"/>
      <c r="C169" s="547" t="s">
        <v>462</v>
      </c>
      <c r="D169" s="547"/>
      <c r="E169" s="547"/>
      <c r="F169" s="547"/>
      <c r="G169" s="59" t="s">
        <v>9</v>
      </c>
      <c r="H169" s="60">
        <f ca="1">H168*0.1</f>
        <v>5179840</v>
      </c>
      <c r="I169" s="60">
        <f ca="1">I168*0.1</f>
        <v>0</v>
      </c>
      <c r="J169" s="60">
        <f ca="1">J168*0.1</f>
        <v>0</v>
      </c>
      <c r="K169" s="60">
        <f ca="1">K168*0.1</f>
        <v>5179840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8" t="s">
        <v>463</v>
      </c>
      <c r="D170" s="538"/>
      <c r="E170" s="538"/>
      <c r="F170" s="538"/>
      <c r="G170" s="61" t="s">
        <v>9</v>
      </c>
      <c r="H170" s="78">
        <f ca="1">SUM(H168:H169)</f>
        <v>56978240</v>
      </c>
      <c r="I170" s="78">
        <f ca="1">SUM(I168:I169)</f>
        <v>0</v>
      </c>
      <c r="J170" s="61">
        <f ca="1">SUM(J168:J169)</f>
        <v>0</v>
      </c>
      <c r="K170" s="61">
        <f ca="1">SUM(K168:K169)</f>
        <v>56978240</v>
      </c>
      <c r="L170" s="44"/>
      <c r="R170" s="99"/>
      <c r="S170" s="99"/>
      <c r="T170" s="99"/>
    </row>
    <row r="171" spans="1:20" s="36" customFormat="1">
      <c r="A171" s="30"/>
      <c r="B171" s="539" t="e">
        <f ca="1">"Terbilang : ( "&amp;L172&amp;" Rupiah )"</f>
        <v>#NAME?</v>
      </c>
      <c r="C171" s="540"/>
      <c r="D171" s="540"/>
      <c r="E171" s="540"/>
      <c r="F171" s="540"/>
      <c r="G171" s="540"/>
      <c r="H171" s="540"/>
      <c r="I171" s="540"/>
      <c r="J171" s="540"/>
      <c r="K171" s="541"/>
      <c r="L171" s="44"/>
      <c r="R171" s="58"/>
      <c r="S171" s="58"/>
      <c r="T171" s="58"/>
    </row>
    <row r="172" spans="1:20" s="36" customFormat="1">
      <c r="A172" s="30"/>
      <c r="B172" s="542"/>
      <c r="C172" s="543"/>
      <c r="D172" s="543"/>
      <c r="E172" s="543"/>
      <c r="F172" s="543"/>
      <c r="G172" s="543"/>
      <c r="H172" s="543"/>
      <c r="I172" s="543"/>
      <c r="J172" s="543"/>
      <c r="K172" s="544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3"/>
      <c r="I175" s="533"/>
      <c r="J175" s="534"/>
      <c r="K175" s="53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3"/>
      <c r="I182" s="533"/>
      <c r="J182" s="534"/>
      <c r="K182" s="53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SUMIFS(RAB!$F$14:$F$85,RAB!$C$14:$C$85,C224)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SUMIFS(RAB!$F$14:$F$85,RAB!$C$14:$C$85,C225)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SUMIFS(RAB!$F$14:$F$85,RAB!$C$14:$C$85,C226)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SUMIFS(RAB!$F$14:$F$85,RAB!$C$14:$C$85,C227)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SUMIFS(RAB!$F$14:$F$85,RAB!$C$14:$C$85,C228)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SUMIFS(RAB!$F$14:$F$85,RAB!$C$14:$C$85,C229)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SUMIFS(RAB!$F$14:$F$85,RAB!$C$14:$C$85,C230)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SUMIFS(RAB!$F$14:$F$85,RAB!$C$14:$C$85,C231)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SUMIFS(RAB!$F$14:$F$85,RAB!$C$14:$C$85,C232)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SUMIFS(RAB!$F$14:$F$85,RAB!$C$14:$C$85,C233)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SUMIFS(RAB!$F$14:$F$85,RAB!$C$14:$C$85,C234)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SUMIFS(RAB!$F$14:$F$85,RAB!$C$14:$C$85,C235)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SUMIFS(RAB!$F$14:$F$85,RAB!$C$14:$C$85,C236)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SUMIFS(RAB!$F$14:$F$85,RAB!$C$14:$C$85,C237)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SUMIFS(RAB!$F$14:$F$85,RAB!$C$14:$C$85,C238)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SUMIFS(RAB!$F$14:$F$85,RAB!$C$14:$C$85,C239)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SUMIFS(RAB!$F$14:$F$85,RAB!$C$14:$C$85,C240)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SUMIFS(RAB!$F$14:$F$85,RAB!$C$14:$C$85,C241)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SUMIFS(RAB!$F$14:$F$85,RAB!$C$14:$C$85,C242)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SUMIFS(RAB!$F$14:$F$85,RAB!$C$14:$C$85,C243)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SUMIFS(RAB!$F$14:$F$85,RAB!$C$14:$C$85,C244)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SUMIFS(RAB!$F$14:$F$85,RAB!$C$14:$C$85,C245)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SUMIFS(RAB!$F$14:$F$85,RAB!$C$14:$C$85,C246)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SUMIFS(RAB!$F$14:$F$85,RAB!$C$14:$C$85,C247)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SUMIFS(RAB!$F$14:$F$85,RAB!$C$14:$C$85,C248)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SUMIFS(RAB!$F$14:$F$85,RAB!$C$14:$C$85,C249)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SUMIFS(RAB!$F$14:$F$85,RAB!$C$14:$C$85,C250)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SUMIFS(RAB!$F$14:$F$85,RAB!$C$14:$C$85,C251)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SUMIFS(RAB!$F$14:$F$85,RAB!$C$14:$C$85,C252)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SUMIFS(RAB!$F$14:$F$85,RAB!$C$14:$C$85,C253)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SUMIFS(RAB!$F$14:$F$85,RAB!$C$14:$C$85,C254)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SUMIFS(RAB!$F$14:$F$85,RAB!$C$14:$C$85,C255)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SUMIFS(RAB!$F$14:$F$85,RAB!$C$14:$C$85,C256)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SUMIFS(RAB!$F$14:$F$85,RAB!$C$14:$C$85,C257)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SUMIFS(RAB!$F$14:$F$85,RAB!$C$14:$C$85,C258)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SUMIFS(RAB!$F$14:$F$85,RAB!$C$14:$C$85,C259)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SUMIFS(RAB!$F$14:$F$85,RAB!$C$14:$C$85,C260)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SUMIFS(RAB!$F$14:$F$85,RAB!$C$14:$C$85,C261)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SUMIFS(RAB!$F$14:$F$85,RAB!$C$14:$C$85,C262)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SUMIFS(RAB!$F$14:$F$85,RAB!$C$14:$C$85,C263)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SUMIFS(RAB!$F$14:$F$85,RAB!$C$14:$C$85,C264)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SUMIFS(RAB!$F$14:$F$85,RAB!$C$14:$C$85,C265)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SUMIFS(RAB!$F$14:$F$85,RAB!$C$14:$C$85,C266)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SUMIFS(RAB!$F$14:$F$85,RAB!$C$14:$C$85,C267)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SUMIFS(RAB!$F$14:$F$85,RAB!$C$14:$C$85,C268)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SUMIFS(RAB!$F$14:$F$85,RAB!$C$14:$C$85,C269)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SUMIFS(RAB!$F$14:$F$85,RAB!$C$14:$C$85,C270)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SUMIFS(RAB!$F$14:$F$85,RAB!$C$14:$C$85,C271)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SUMIFS(RAB!$F$14:$F$85,RAB!$C$14:$C$85,C272)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SUMIFS(RAB!$F$14:$F$85,RAB!$C$14:$C$85,C273)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SUMIFS(RAB!$F$14:$F$85,RAB!$C$14:$C$85,C274)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SUMIFS(RAB!$F$14:$F$85,RAB!$C$14:$C$85,C275)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SUMIFS(RAB!$F$14:$F$85,RAB!$C$14:$C$85,C276)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SUMIFS(RAB!$F$14:$F$85,RAB!$C$14:$C$85,C277)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SUMIFS(RAB!$F$14:$F$85,RAB!$C$14:$C$85,C278)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SUMIFS(RAB!$F$14:$F$85,RAB!$C$14:$C$85,C279)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SUMIFS(RAB!$F$14:$F$85,RAB!$C$14:$C$85,C280)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SUMIFS(RAB!$F$14:$F$85,RAB!$C$14:$C$85,C281)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SUMIFS(RAB!$F$14:$F$85,RAB!$C$14:$C$85,C282)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SUMIFS(RAB!$F$14:$F$85,RAB!$C$14:$C$85,C283)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SUMIFS(RAB!$F$14:$F$85,RAB!$C$14:$C$85,C284)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SUMIFS(RAB!$F$14:$F$85,RAB!$C$14:$C$85,C285)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SUMIFS(RAB!$F$14:$F$85,RAB!$C$14:$C$85,C286)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SUMIFS(RAB!$F$14:$F$85,RAB!$C$14:$C$85,C287)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SUMIFS(RAB!$F$14:$F$85,RAB!$C$14:$C$85,C288)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SUMIFS(RAB!$F$14:$F$85,RAB!$C$14:$C$85,C289)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SUMIFS(RAB!$F$14:$F$85,RAB!$C$14:$C$85,C290)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SUMIFS(RAB!$F$14:$F$85,RAB!$C$14:$C$85,C291)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SUMIFS(RAB!$F$14:$F$85,RAB!$C$14:$C$85,C292)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SUMIFS(RAB!$F$14:$F$85,RAB!$C$14:$C$85,C293)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SUMIFS(RAB!$F$14:$F$85,RAB!$C$14:$C$85,C294)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SUMIFS(RAB!$F$14:$F$85,RAB!$C$14:$C$85,C295)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SUMIFS(RAB!$F$14:$F$85,RAB!$C$14:$C$85,C296)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SUMIFS(RAB!$F$14:$F$85,RAB!$C$14:$C$85,C297)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SUMIFS(RAB!$F$14:$F$85,RAB!$C$14:$C$85,C298)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SUMIFS(RAB!$F$14:$F$85,RAB!$C$14:$C$85,C299)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SUMIFS(RAB!$F$14:$F$85,RAB!$C$14:$C$85,C300)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SUMIFS(RAB!$F$14:$F$85,RAB!$C$14:$C$85,C301)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SUMIFS(RAB!$F$14:$F$85,RAB!$C$14:$C$85,C302)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SUMIFS(RAB!$F$14:$F$85,RAB!$C$14:$C$85,C303)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SUMIFS(RAB!$F$14:$F$85,RAB!$C$14:$C$85,C304)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SUMIFS(RAB!$F$14:$F$85,RAB!$C$14:$C$85,C305)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SUMIFS(RAB!$F$14:$F$85,RAB!$C$14:$C$85,C306)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SUMIFS(RAB!$F$14:$F$85,RAB!$C$14:$C$85,C307)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SUMIFS(RAB!$F$14:$F$85,RAB!$C$14:$C$85,C308)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SUMIFS(RAB!$F$14:$F$85,RAB!$C$14:$C$85,C309)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SUMIFS(RAB!$F$14:$F$85,RAB!$C$14:$C$85,C310)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SUMIFS(RAB!$F$14:$F$85,RAB!$C$14:$C$85,C311)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SUMIFS(RAB!$F$14:$F$85,RAB!$C$14:$C$85,C312)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SUMIFS(RAB!$F$14:$F$85,RAB!$C$14:$C$85,C313)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SUMIFS(RAB!$F$14:$F$85,RAB!$C$14:$C$85,C314)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SUMIFS(RAB!$F$14:$F$85,RAB!$C$14:$C$85,C315)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SUMIFS(RAB!$F$14:$F$85,RAB!$C$14:$C$85,C316)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SUMIFS(RAB!$F$14:$F$85,RAB!$C$14:$C$85,C317)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SUMIFS(RAB!$F$14:$F$85,RAB!$C$14:$C$85,C318)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SUMIFS(RAB!$F$14:$F$85,RAB!$C$14:$C$85,C319)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SUMIFS(RAB!$F$14:$F$85,RAB!$C$14:$C$85,C320)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SUMIFS(RAB!$F$14:$F$85,RAB!$C$14:$C$85,C321)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SUMIFS(RAB!$F$14:$F$85,RAB!$C$14:$C$85,C322)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SUMIFS(RAB!$F$14:$F$85,RAB!$C$14:$C$85,C323)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SUMIFS(RAB!$F$14:$F$85,RAB!$C$14:$C$85,C324)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SUMIFS(RAB!$F$14:$F$85,RAB!$C$14:$C$85,C325)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SUMIFS(RAB!$F$14:$F$85,RAB!$C$14:$C$85,C326)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SUMIFS(RAB!$F$14:$F$85,RAB!$C$14:$C$85,C327)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SUMIFS(RAB!$F$14:$F$85,RAB!$C$14:$C$85,C328)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SUMIFS(RAB!$F$14:$F$85,RAB!$C$14:$C$85,C329)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SUMIFS(RAB!$F$14:$F$85,RAB!$C$14:$C$85,C330)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SUMIFS(RAB!$F$14:$F$85,RAB!$C$14:$C$85,C331)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SUMIFS(RAB!$F$14:$F$85,RAB!$C$14:$C$85,C332)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SUMIFS(RAB!$F$14:$F$85,RAB!$C$14:$C$85,C333)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SUMIFS(RAB!$F$14:$F$85,RAB!$C$14:$C$85,C334)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SUMIFS(RAB!$F$14:$F$85,RAB!$C$14:$C$85,C335)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SUMIFS(RAB!$F$14:$F$85,RAB!$C$14:$C$85,C336)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SUMIFS(RAB!$F$14:$F$85,RAB!$C$14:$C$85,C337)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SUMIFS(RAB!$F$14:$F$85,RAB!$C$14:$C$85,C338)</f>
        <v>9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SUMIFS(RAB!$F$14:$F$85,RAB!$C$14:$C$85,C339)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SUMIFS(RAB!$F$14:$F$85,RAB!$C$14:$C$85,C340)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SUMIFS(RAB!$F$14:$F$85,RAB!$C$14:$C$85,C341)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SUMIFS(RAB!$F$14:$F$85,RAB!$C$14:$C$85,C342)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SUMIFS(RAB!$F$14:$F$85,RAB!$C$14:$C$85,C343)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SUMIFS(RAB!$F$14:$F$85,RAB!$C$14:$C$85,C344)</f>
        <v>440</v>
      </c>
      <c r="E344" s="24">
        <f t="shared" ca="1" si="22"/>
        <v>1</v>
      </c>
      <c r="F344" s="24">
        <f ca="1">IF(D344=0,0,SUM($E$223:E344))</f>
        <v>5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SUMIFS(RAB!$F$14:$F$85,RAB!$C$14:$C$85,C345)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SUMIFS(RAB!$F$14:$F$85,RAB!$C$14:$C$85,C346)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SUMIFS(RAB!$F$14:$F$85,RAB!$C$14:$C$85,C347)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SUMIFS(RAB!$F$14:$F$85,RAB!$C$14:$C$85,C348)</f>
        <v>1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SUMIFS(RAB!$F$14:$F$85,RAB!$C$14:$C$85,C349)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SUMIFS(RAB!$F$14:$F$85,RAB!$C$14:$C$85,C350)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SUMIFS(RAB!$F$14:$F$85,RAB!$C$14:$C$85,C351)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SUMIFS(RAB!$F$14:$F$85,RAB!$C$14:$C$85,C352)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SUMIFS(RAB!$F$14:$F$85,RAB!$C$14:$C$85,C353)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SUMIFS(RAB!$F$14:$F$85,RAB!$C$14:$C$85,C354)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SUMIFS(RAB!$F$14:$F$85,RAB!$C$14:$C$85,C355)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SUMIFS(RAB!$F$14:$F$85,RAB!$C$14:$C$85,C356)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SUMIFS(RAB!$F$14:$F$85,RAB!$C$14:$C$85,C357)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SUMIFS(RAB!$F$14:$F$85,RAB!$C$14:$C$85,C358)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SUMIFS(RAB!$F$14:$F$85,RAB!$C$14:$C$85,C359)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SUMIFS(RAB!$F$14:$F$85,RAB!$C$14:$C$85,C360)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SUMIFS(RAB!$F$14:$F$85,RAB!$C$14:$C$85,C361)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SUMIFS(RAB!$F$14:$F$85,RAB!$C$14:$C$85,C362)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SUMIFS(RAB!$F$14:$F$85,RAB!$C$14:$C$85,C363)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SUMIFS(RAB!$F$14:$F$85,RAB!$C$14:$C$85,C364)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SUMIFS(RAB!$F$14:$F$85,RAB!$C$14:$C$85,C365)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SUMIFS(RAB!$F$14:$F$85,RAB!$C$14:$C$85,C366)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SUMIFS(RAB!$F$14:$F$85,RAB!$C$14:$C$85,C367)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SUMIFS(RAB!$F$14:$F$85,RAB!$C$14:$C$85,C368)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SUMIFS(RAB!$F$14:$F$85,RAB!$C$14:$C$85,C369)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SUMIFS(RAB!$F$14:$F$85,RAB!$C$14:$C$85,C370)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SUMIFS(RAB!$F$14:$F$85,RAB!$C$14:$C$85,C371)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SUMIFS(RAB!$F$14:$F$85,RAB!$C$14:$C$85,C372)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SUMIFS(RAB!$F$14:$F$85,RAB!$C$14:$C$85,C373)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65" priority="5" operator="equal">
      <formula>0</formula>
    </cfRule>
  </conditionalFormatting>
  <conditionalFormatting sqref="C16:C165">
    <cfRule type="cellIs" dxfId="64" priority="4" stopIfTrue="1" operator="equal">
      <formula>0</formula>
    </cfRule>
  </conditionalFormatting>
  <conditionalFormatting sqref="C16:E165">
    <cfRule type="cellIs" dxfId="63" priority="1" operator="equal">
      <formula>0</formula>
    </cfRule>
  </conditionalFormatting>
  <conditionalFormatting sqref="D224:F373">
    <cfRule type="cellIs" dxfId="62" priority="8" operator="equal">
      <formula>0</formula>
    </cfRule>
  </conditionalFormatting>
  <conditionalFormatting sqref="E1:E3 G1:G115 E6:E15 H12:I12 N13 F14:F15 H14:K115 E166:K166 G166:G223 E167:F167 H167:K167">
    <cfRule type="cellIs" dxfId="61" priority="43" stopIfTrue="1" operator="equal">
      <formula>0</formula>
    </cfRule>
  </conditionalFormatting>
  <conditionalFormatting sqref="E171:E65536">
    <cfRule type="cellIs" dxfId="60" priority="9" stopIfTrue="1" operator="equal">
      <formula>0</formula>
    </cfRule>
  </conditionalFormatting>
  <conditionalFormatting sqref="G224">
    <cfRule type="cellIs" dxfId="59" priority="10" operator="equal">
      <formula>0</formula>
    </cfRule>
  </conditionalFormatting>
  <conditionalFormatting sqref="G225:G65536">
    <cfRule type="cellIs" dxfId="58" priority="14" stopIfTrue="1" operator="equal">
      <formula>0</formula>
    </cfRule>
  </conditionalFormatting>
  <conditionalFormatting sqref="R14:T166 G116:K165">
    <cfRule type="cellIs" dxfId="5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J6" sqref="J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65.140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9" t="s">
        <v>41</v>
      </c>
      <c r="C2" s="54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0" t="s">
        <v>23</v>
      </c>
      <c r="C4" s="551" t="s">
        <v>1012</v>
      </c>
      <c r="D4" s="551" t="s">
        <v>42</v>
      </c>
      <c r="E4" s="550" t="s">
        <v>43</v>
      </c>
      <c r="F4" s="108" t="s">
        <v>1604</v>
      </c>
      <c r="G4" s="108" t="s">
        <v>1603</v>
      </c>
      <c r="H4" s="548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0"/>
      <c r="C5" s="551"/>
      <c r="D5" s="551"/>
      <c r="E5" s="550"/>
      <c r="F5" s="93"/>
      <c r="G5" s="93"/>
      <c r="H5" s="548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56" priority="138" operator="equal">
      <formula>0</formula>
    </cfRule>
  </conditionalFormatting>
  <conditionalFormatting sqref="B8:C135">
    <cfRule type="cellIs" dxfId="55" priority="51" operator="equal">
      <formula>0</formula>
    </cfRule>
  </conditionalFormatting>
  <conditionalFormatting sqref="B150:G1493">
    <cfRule type="cellIs" dxfId="54" priority="1" operator="equal">
      <formula>0</formula>
    </cfRule>
  </conditionalFormatting>
  <conditionalFormatting sqref="C143:G149">
    <cfRule type="cellIs" dxfId="53" priority="5" operator="equal">
      <formula>0</formula>
    </cfRule>
  </conditionalFormatting>
  <conditionalFormatting sqref="D9:G142">
    <cfRule type="cellIs" dxfId="52" priority="11" operator="equal">
      <formula>0</formula>
    </cfRule>
  </conditionalFormatting>
  <conditionalFormatting sqref="D1:IV5 A1:C7 D6:K6 H1455:IV1457 H1458:XFD1485 H1486:H1493 I1486:XFD1494 A1494:H1494 A1495:XFD65536">
    <cfRule type="cellIs" dxfId="51" priority="163" operator="equal">
      <formula>0</formula>
    </cfRule>
  </conditionalFormatting>
  <conditionalFormatting sqref="D7:IV8 C136:C142 B136:B149">
    <cfRule type="cellIs" dxfId="50" priority="62" operator="equal">
      <formula>0</formula>
    </cfRule>
  </conditionalFormatting>
  <conditionalFormatting sqref="H9:H1418">
    <cfRule type="cellIs" dxfId="49" priority="129" operator="equal">
      <formula>0</formula>
    </cfRule>
  </conditionalFormatting>
  <conditionalFormatting sqref="H1419:I1454">
    <cfRule type="cellIs" dxfId="48" priority="128" operator="equal">
      <formula>0</formula>
    </cfRule>
  </conditionalFormatting>
  <conditionalFormatting sqref="I108:I1418">
    <cfRule type="cellIs" dxfId="47" priority="125" operator="equal">
      <formula>0</formula>
    </cfRule>
  </conditionalFormatting>
  <conditionalFormatting sqref="J108:IV1454">
    <cfRule type="cellIs" dxfId="46" priority="139" operator="equal">
      <formula>0</formula>
    </cfRule>
  </conditionalFormatting>
  <conditionalFormatting sqref="M6:IV6">
    <cfRule type="cellIs" dxfId="4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K9" sqref="K9:L9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3" t="s">
        <v>1454</v>
      </c>
      <c r="C2" s="583"/>
      <c r="D2" s="583"/>
      <c r="E2" s="583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88" t="s">
        <v>1532</v>
      </c>
      <c r="C4" s="589"/>
      <c r="D4" s="589"/>
      <c r="E4" s="590"/>
      <c r="F4" s="431"/>
      <c r="G4" s="431"/>
      <c r="H4" s="432"/>
      <c r="I4" s="552" t="s">
        <v>1533</v>
      </c>
      <c r="J4" s="553"/>
      <c r="K4" s="553"/>
      <c r="L4" s="554"/>
    </row>
    <row r="5" spans="1:12" ht="34.5" customHeight="1">
      <c r="A5" s="204"/>
      <c r="B5" s="434" t="s">
        <v>1379</v>
      </c>
      <c r="C5" s="274" t="s">
        <v>9</v>
      </c>
      <c r="D5" s="584" t="str">
        <f>DATA!D14</f>
        <v>TNK AKHADINA</v>
      </c>
      <c r="E5" s="585"/>
      <c r="F5" s="208"/>
      <c r="G5" s="208"/>
      <c r="I5" s="435" t="s">
        <v>1379</v>
      </c>
      <c r="J5" s="274" t="s">
        <v>9</v>
      </c>
      <c r="K5" s="555" t="str">
        <f>D5</f>
        <v>TNK AKHADINA</v>
      </c>
      <c r="L5" s="556"/>
    </row>
    <row r="6" spans="1:12" ht="31.5" customHeight="1">
      <c r="A6" s="204"/>
      <c r="B6" s="434" t="s">
        <v>1529</v>
      </c>
      <c r="C6" s="274" t="s">
        <v>9</v>
      </c>
      <c r="D6" s="593"/>
      <c r="E6" s="594"/>
      <c r="F6" s="208"/>
      <c r="G6" s="208"/>
      <c r="I6" s="435" t="s">
        <v>1530</v>
      </c>
      <c r="J6" s="274" t="s">
        <v>9</v>
      </c>
      <c r="K6" s="557">
        <v>11000</v>
      </c>
      <c r="L6" s="558"/>
    </row>
    <row r="7" spans="1:12" ht="30.75" customHeight="1">
      <c r="A7" s="204"/>
      <c r="B7" s="434" t="s">
        <v>1441</v>
      </c>
      <c r="C7" s="274" t="s">
        <v>9</v>
      </c>
      <c r="D7" s="591"/>
      <c r="E7" s="592"/>
      <c r="F7" s="433" t="s">
        <v>1453</v>
      </c>
      <c r="I7" s="435" t="s">
        <v>1441</v>
      </c>
      <c r="J7" s="274" t="s">
        <v>9</v>
      </c>
      <c r="K7" s="559">
        <v>1</v>
      </c>
      <c r="L7" s="560"/>
    </row>
    <row r="8" spans="1:12" ht="51" customHeight="1">
      <c r="A8" s="204"/>
      <c r="B8" s="434" t="s">
        <v>1442</v>
      </c>
      <c r="C8" s="274" t="s">
        <v>9</v>
      </c>
      <c r="D8" s="591">
        <f>DATA!D19</f>
        <v>220</v>
      </c>
      <c r="E8" s="592"/>
      <c r="F8" s="433" t="s">
        <v>1453</v>
      </c>
      <c r="G8" s="428">
        <v>220</v>
      </c>
      <c r="I8" s="435" t="s">
        <v>1442</v>
      </c>
      <c r="J8" s="274" t="s">
        <v>9</v>
      </c>
      <c r="K8" s="559">
        <v>220</v>
      </c>
      <c r="L8" s="560"/>
    </row>
    <row r="9" spans="1:12" ht="30" customHeight="1" thickBot="1">
      <c r="A9" s="204"/>
      <c r="B9" s="440" t="s">
        <v>1541</v>
      </c>
      <c r="C9" s="430" t="s">
        <v>9</v>
      </c>
      <c r="D9" s="586">
        <f>IF(D7=1,D6/(380/3^0.5),(D6/(380*3^0.5)))</f>
        <v>0</v>
      </c>
      <c r="E9" s="587"/>
      <c r="F9" s="207"/>
      <c r="G9" s="429">
        <v>380</v>
      </c>
      <c r="I9" s="441" t="s">
        <v>1541</v>
      </c>
      <c r="J9" s="430" t="s">
        <v>9</v>
      </c>
      <c r="K9" s="563">
        <f>IF(K7=1,K6/(380/3^0.5),(K6/(380*3^0.5)))</f>
        <v>50.138312850678027</v>
      </c>
      <c r="L9" s="564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>
      <c r="A12" s="204"/>
      <c r="B12" s="464" t="s">
        <v>1534</v>
      </c>
      <c r="C12" s="458" t="s">
        <v>9</v>
      </c>
      <c r="D12" s="595"/>
      <c r="E12" s="596"/>
      <c r="F12" s="208"/>
      <c r="G12" s="208"/>
      <c r="I12" s="457" t="s">
        <v>1534</v>
      </c>
      <c r="J12" s="458" t="s">
        <v>9</v>
      </c>
      <c r="K12" s="595"/>
      <c r="L12" s="596"/>
    </row>
    <row r="13" spans="1:12" ht="31.5" customHeight="1">
      <c r="A13" s="204"/>
      <c r="B13" s="465" t="s">
        <v>1380</v>
      </c>
      <c r="C13" s="445" t="s">
        <v>9</v>
      </c>
      <c r="D13" s="561"/>
      <c r="E13" s="562"/>
      <c r="F13" s="208"/>
      <c r="G13" s="208"/>
      <c r="I13" s="459" t="s">
        <v>1380</v>
      </c>
      <c r="J13" s="445" t="s">
        <v>9</v>
      </c>
      <c r="K13" s="561"/>
      <c r="L13" s="562"/>
    </row>
    <row r="14" spans="1:12" ht="30.75" customHeight="1">
      <c r="A14" s="204"/>
      <c r="B14" s="465" t="s">
        <v>1535</v>
      </c>
      <c r="C14" s="445" t="s">
        <v>9</v>
      </c>
      <c r="D14" s="565"/>
      <c r="E14" s="566"/>
      <c r="F14" s="433" t="s">
        <v>1453</v>
      </c>
      <c r="G14" s="437">
        <v>50</v>
      </c>
      <c r="I14" s="459" t="s">
        <v>1535</v>
      </c>
      <c r="J14" s="445" t="s">
        <v>9</v>
      </c>
      <c r="K14" s="567">
        <v>50</v>
      </c>
      <c r="L14" s="568"/>
    </row>
    <row r="15" spans="1:12" ht="57" customHeight="1">
      <c r="A15" s="204"/>
      <c r="B15" s="465" t="s">
        <v>1441</v>
      </c>
      <c r="C15" s="445" t="s">
        <v>9</v>
      </c>
      <c r="D15" s="451"/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69">
        <v>0</v>
      </c>
      <c r="E16" s="570"/>
      <c r="F16" s="433"/>
      <c r="G16" s="437">
        <v>160</v>
      </c>
      <c r="I16" s="459" t="s">
        <v>1537</v>
      </c>
      <c r="J16" s="445" t="s">
        <v>9</v>
      </c>
      <c r="K16" s="573">
        <f>K9</f>
        <v>50.138312850678027</v>
      </c>
      <c r="L16" s="574"/>
    </row>
    <row r="17" spans="1:12" ht="34.5" customHeight="1">
      <c r="A17" s="204"/>
      <c r="B17" s="465" t="s">
        <v>1538</v>
      </c>
      <c r="C17" s="445" t="s">
        <v>9</v>
      </c>
      <c r="D17" s="571">
        <f>IF(D15=1,D14/(20/3^0.5),(D14/(20*3^0.5)))</f>
        <v>0</v>
      </c>
      <c r="E17" s="572"/>
      <c r="F17" s="433" t="s">
        <v>1453</v>
      </c>
      <c r="G17" s="438">
        <v>200</v>
      </c>
      <c r="I17" s="459" t="s">
        <v>1538</v>
      </c>
      <c r="J17" s="445" t="s">
        <v>9</v>
      </c>
      <c r="K17" s="577">
        <f>IF(K15=1,K14/(20/3^0.5),(K14/(20*3^0.5)))</f>
        <v>1.4433756729740645</v>
      </c>
      <c r="L17" s="578"/>
    </row>
    <row r="18" spans="1:12" ht="34.5" customHeight="1">
      <c r="A18" s="204"/>
      <c r="B18" s="465" t="s">
        <v>1539</v>
      </c>
      <c r="C18" s="445" t="s">
        <v>9</v>
      </c>
      <c r="D18" s="571">
        <f>IF(D15=1,D14/(380/3^0.5),(D14/(380*3^0.5)))*1000</f>
        <v>0</v>
      </c>
      <c r="E18" s="572"/>
      <c r="F18" s="433" t="s">
        <v>1453</v>
      </c>
      <c r="G18" s="438">
        <v>250</v>
      </c>
      <c r="I18" s="459" t="s">
        <v>1539</v>
      </c>
      <c r="J18" s="445" t="s">
        <v>9</v>
      </c>
      <c r="K18" s="577">
        <f>IF(K15=1,K14/(380/3^0.5),(K14/(380*3^0.5)))*1000</f>
        <v>75.96714068284551</v>
      </c>
      <c r="L18" s="578"/>
    </row>
    <row r="19" spans="1:12" ht="30" customHeight="1">
      <c r="A19" s="204"/>
      <c r="B19" s="466" t="s">
        <v>1531</v>
      </c>
      <c r="C19" s="444" t="s">
        <v>9</v>
      </c>
      <c r="D19" s="571">
        <f>IF(D15=1,D14/(380/3^0.5),(D14/(380*3^0.5)))</f>
        <v>0</v>
      </c>
      <c r="E19" s="572"/>
      <c r="F19" s="207"/>
      <c r="G19" s="429"/>
      <c r="I19" s="461" t="s">
        <v>1531</v>
      </c>
      <c r="J19" s="444" t="s">
        <v>9</v>
      </c>
      <c r="K19" s="577">
        <f>IF(K15=1,K14/(380/3^0.5),(K14/(380*3^0.5)))</f>
        <v>7.5967140682845505E-2</v>
      </c>
      <c r="L19" s="578"/>
    </row>
    <row r="20" spans="1:12" ht="30" customHeight="1" thickBot="1">
      <c r="A20" s="204"/>
      <c r="B20" s="467" t="s">
        <v>1540</v>
      </c>
      <c r="C20" s="463" t="s">
        <v>9</v>
      </c>
      <c r="D20" s="597" t="e">
        <f>D16/D18</f>
        <v>#DIV/0!</v>
      </c>
      <c r="E20" s="598"/>
      <c r="F20" s="207"/>
      <c r="G20" s="429"/>
      <c r="I20" s="462" t="s">
        <v>1531</v>
      </c>
      <c r="J20" s="463" t="s">
        <v>9</v>
      </c>
      <c r="K20" s="575">
        <f>K16/K18</f>
        <v>0.65999999999999992</v>
      </c>
      <c r="L20" s="576"/>
    </row>
    <row r="21" spans="1:12" ht="9.75" customHeight="1">
      <c r="A21" s="204"/>
      <c r="B21" s="452" t="s">
        <v>1540</v>
      </c>
      <c r="C21" s="453" t="s">
        <v>9</v>
      </c>
      <c r="D21" s="582">
        <v>1</v>
      </c>
      <c r="E21" s="582"/>
      <c r="F21" s="454"/>
      <c r="G21" s="455"/>
      <c r="H21" s="456"/>
      <c r="I21" s="452" t="s">
        <v>1531</v>
      </c>
      <c r="J21" s="453" t="s">
        <v>9</v>
      </c>
      <c r="K21" s="582">
        <v>1</v>
      </c>
      <c r="L21" s="582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79"/>
      <c r="C24" s="580"/>
      <c r="D24" s="580"/>
      <c r="E24" s="581"/>
      <c r="I24" s="579"/>
      <c r="J24" s="580"/>
      <c r="K24" s="580"/>
      <c r="L24" s="581"/>
    </row>
    <row r="26" spans="1:12">
      <c r="D26" s="447"/>
    </row>
    <row r="27" spans="1:12">
      <c r="D27" s="44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44" priority="5" stopIfTrue="1" operator="greaterThan">
      <formula>0.89</formula>
    </cfRule>
    <cfRule type="cellIs" dxfId="4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32" zoomScaleNormal="100" workbookViewId="0">
      <selection activeCell="D15" sqref="D15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9"/>
      <c r="C1" s="599"/>
      <c r="D1" s="599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1" t="s">
        <v>1605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11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10659000</v>
      </c>
    </row>
    <row r="10" spans="2:11" ht="20.100000000000001" customHeight="1">
      <c r="B10" s="288" t="s">
        <v>1446</v>
      </c>
      <c r="C10" s="289" t="s">
        <v>9</v>
      </c>
      <c r="D10" s="295">
        <f ca="1">RAB!K91</f>
        <v>70443518.463059992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1408870.3692611998</v>
      </c>
    </row>
    <row r="12" spans="2:11" ht="9" customHeight="1">
      <c r="B12" s="600"/>
      <c r="C12" s="600"/>
      <c r="D12" s="600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1617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1618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0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1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220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v>11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1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220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1444.7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1444.7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2" activePane="bottomLeft" state="frozen"/>
      <selection activeCell="H1093" sqref="H1093"/>
      <selection pane="bottomLeft" activeCell="T38" sqref="A1:T38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07" t="s">
        <v>1357</v>
      </c>
      <c r="C3" s="607"/>
      <c r="D3" s="607"/>
      <c r="E3" s="607"/>
      <c r="F3" s="302" t="str">
        <f>DATA!D14</f>
        <v>TNK AKHADINA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601" t="s">
        <v>1349</v>
      </c>
      <c r="C5" s="601" t="s">
        <v>1358</v>
      </c>
      <c r="D5" s="606" t="s">
        <v>1359</v>
      </c>
      <c r="E5" s="606" t="s">
        <v>1360</v>
      </c>
      <c r="F5" s="601" t="s">
        <v>1361</v>
      </c>
      <c r="G5" s="601"/>
      <c r="H5" s="601"/>
      <c r="I5" s="601"/>
      <c r="J5" s="601"/>
      <c r="K5" s="601" t="s">
        <v>1362</v>
      </c>
      <c r="L5" s="601"/>
      <c r="M5" s="304"/>
      <c r="N5" s="604" t="s">
        <v>1363</v>
      </c>
      <c r="O5" s="606" t="s">
        <v>1364</v>
      </c>
      <c r="P5" s="606" t="s">
        <v>1365</v>
      </c>
      <c r="Q5" s="606" t="s">
        <v>1366</v>
      </c>
      <c r="R5" s="305"/>
      <c r="S5" s="306"/>
      <c r="T5" s="602" t="s">
        <v>1367</v>
      </c>
      <c r="U5" s="307"/>
    </row>
    <row r="6" spans="1:21" ht="20.100000000000001" customHeight="1">
      <c r="B6" s="601"/>
      <c r="C6" s="601"/>
      <c r="D6" s="601"/>
      <c r="E6" s="601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605"/>
      <c r="O6" s="601"/>
      <c r="P6" s="601"/>
      <c r="Q6" s="601"/>
      <c r="R6" s="305"/>
      <c r="S6" s="306"/>
      <c r="T6" s="601"/>
      <c r="U6" s="309"/>
    </row>
    <row r="7" spans="1:21" ht="20.100000000000001" customHeight="1">
      <c r="A7" s="310">
        <v>0</v>
      </c>
      <c r="B7" s="311">
        <v>2023</v>
      </c>
      <c r="C7" s="468">
        <f>DATA!D8*DATA!D26*2</f>
        <v>880</v>
      </c>
      <c r="D7" s="313">
        <f>C7*4/24</f>
        <v>146.66666666666666</v>
      </c>
      <c r="E7" s="313">
        <f>C7-D7</f>
        <v>733.33333333333337</v>
      </c>
      <c r="F7" s="314">
        <f ca="1">DATA!D10/1000000</f>
        <v>70.443518463059988</v>
      </c>
      <c r="G7" s="315">
        <f ca="1">DATA!$D$11/1000000</f>
        <v>1.4088703692611999</v>
      </c>
      <c r="H7" s="315">
        <f>C7*DATA!$D$5/1000000</f>
        <v>0.95403004038019401</v>
      </c>
      <c r="I7" s="315">
        <f>(C7*DATA!$D$5*DATA!$D$7)/1000000</f>
        <v>2.1465675908554364E-2</v>
      </c>
      <c r="J7" s="313">
        <f ca="1">SUM(F7:I7)</f>
        <v>72.82788454860993</v>
      </c>
      <c r="K7" s="316">
        <f>DATA!D9/1000000</f>
        <v>10.659000000000001</v>
      </c>
      <c r="L7" s="313">
        <f>((D7*DATA!$D$23)/1000000)+((E7*DATA!$D$24)/1000000)</f>
        <v>1.271336</v>
      </c>
      <c r="M7" s="313">
        <f>K7+L7</f>
        <v>11.930336</v>
      </c>
      <c r="N7" s="313">
        <f ca="1">M7-J7</f>
        <v>-60.897548548609933</v>
      </c>
      <c r="O7" s="311">
        <v>1</v>
      </c>
      <c r="P7" s="313">
        <f ca="1">O7*N7</f>
        <v>-60.897548548609933</v>
      </c>
      <c r="Q7" s="313">
        <f ca="1">P7</f>
        <v>-60.897548548609933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5280</v>
      </c>
      <c r="D8" s="313">
        <f>C8*4/24</f>
        <v>880</v>
      </c>
      <c r="E8" s="313">
        <f t="shared" ref="E8:E32" si="0">C8-D8</f>
        <v>4400</v>
      </c>
      <c r="F8" s="311"/>
      <c r="G8" s="315">
        <f ca="1">DATA!$D$11/1000000</f>
        <v>1.4088703692611999</v>
      </c>
      <c r="H8" s="315">
        <f>C8*DATA!$D$5/1000000</f>
        <v>5.7241802422811636</v>
      </c>
      <c r="I8" s="315">
        <f>(C8*DATA!$D$5*DATA!$D$7)/1000000</f>
        <v>0.12879405545132619</v>
      </c>
      <c r="J8" s="313">
        <f t="shared" ref="J8:J32" ca="1" si="1">SUM(F8:I8)</f>
        <v>7.2618446669936896</v>
      </c>
      <c r="K8" s="318"/>
      <c r="L8" s="313">
        <f>((D8*DATA!$D$23)/1000000)+((E8*DATA!$D$24)/1000000)</f>
        <v>7.6280159999999997</v>
      </c>
      <c r="M8" s="313">
        <f t="shared" ref="M8:M32" si="2">K8+L8</f>
        <v>7.6280159999999997</v>
      </c>
      <c r="N8" s="313">
        <f ca="1">M8-J8</f>
        <v>0.36617133300631011</v>
      </c>
      <c r="O8" s="312">
        <f>1/(1+'[93]Asumsi I'!$C$3)^(KKF!A8)</f>
        <v>0.89285714285714279</v>
      </c>
      <c r="P8" s="313">
        <f ca="1">O8*N8</f>
        <v>0.3269386901842054</v>
      </c>
      <c r="Q8" s="313">
        <f ca="1">Q7+P8</f>
        <v>-60.570609858425726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5280</v>
      </c>
      <c r="D9" s="313">
        <f t="shared" ref="D9:D32" si="5">C9*4/24</f>
        <v>880</v>
      </c>
      <c r="E9" s="313">
        <f t="shared" si="0"/>
        <v>4400</v>
      </c>
      <c r="F9" s="311"/>
      <c r="G9" s="315">
        <f ca="1">DATA!$D$11/1000000</f>
        <v>1.4088703692611999</v>
      </c>
      <c r="H9" s="315">
        <f>C9*DATA!$D$5/1000000</f>
        <v>5.7241802422811636</v>
      </c>
      <c r="I9" s="315">
        <f>(C9*DATA!$D$5*DATA!$D$7)/1000000</f>
        <v>0.12879405545132619</v>
      </c>
      <c r="J9" s="313">
        <f t="shared" ca="1" si="1"/>
        <v>7.2618446669936896</v>
      </c>
      <c r="K9" s="313"/>
      <c r="L9" s="313">
        <f>((D9*DATA!$D$23)/1000000)+((E9*DATA!$D$24)/1000000)</f>
        <v>7.6280159999999997</v>
      </c>
      <c r="M9" s="313">
        <f t="shared" si="2"/>
        <v>7.6280159999999997</v>
      </c>
      <c r="N9" s="313">
        <f t="shared" ref="N9:N32" ca="1" si="6">M9-J9</f>
        <v>0.36617133300631011</v>
      </c>
      <c r="O9" s="319">
        <f>1/(1+'[93]Asumsi I'!$C$3)^(KKF!A9)</f>
        <v>0.79719387755102034</v>
      </c>
      <c r="P9" s="313">
        <f t="shared" ref="P9:P32" ca="1" si="7">O9*N9</f>
        <v>0.29190954480732628</v>
      </c>
      <c r="Q9" s="313">
        <f ca="1">Q8+P9</f>
        <v>-60.278700313618401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5280</v>
      </c>
      <c r="D10" s="313">
        <f t="shared" si="5"/>
        <v>880</v>
      </c>
      <c r="E10" s="313">
        <f t="shared" si="0"/>
        <v>4400</v>
      </c>
      <c r="F10" s="311"/>
      <c r="G10" s="315">
        <f ca="1">DATA!$D$11/1000000</f>
        <v>1.4088703692611999</v>
      </c>
      <c r="H10" s="315">
        <f>C10*DATA!$D$5/1000000</f>
        <v>5.7241802422811636</v>
      </c>
      <c r="I10" s="315">
        <f>(C10*DATA!$D$5*DATA!$D$7)/1000000</f>
        <v>0.12879405545132619</v>
      </c>
      <c r="J10" s="313">
        <f t="shared" ca="1" si="1"/>
        <v>7.2618446669936896</v>
      </c>
      <c r="K10" s="311"/>
      <c r="L10" s="313">
        <f>((D10*DATA!$D$23)/1000000)+((E10*DATA!$D$24)/1000000)</f>
        <v>7.6280159999999997</v>
      </c>
      <c r="M10" s="313">
        <f t="shared" si="2"/>
        <v>7.6280159999999997</v>
      </c>
      <c r="N10" s="313">
        <f t="shared" ca="1" si="6"/>
        <v>0.36617133300631011</v>
      </c>
      <c r="O10" s="312">
        <f>1/(1+'[93]Asumsi I'!$C$3)^(KKF!A10)</f>
        <v>0.71178024781341087</v>
      </c>
      <c r="P10" s="313">
        <f t="shared" ca="1" si="7"/>
        <v>0.26063352214939839</v>
      </c>
      <c r="Q10" s="313">
        <f t="shared" ref="Q10:Q30" ca="1" si="9">Q9+P10</f>
        <v>-60.018066791469003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5280</v>
      </c>
      <c r="D11" s="313">
        <f t="shared" si="5"/>
        <v>880</v>
      </c>
      <c r="E11" s="313">
        <f t="shared" si="0"/>
        <v>4400</v>
      </c>
      <c r="F11" s="311"/>
      <c r="G11" s="315">
        <f ca="1">DATA!$D$11/1000000</f>
        <v>1.4088703692611999</v>
      </c>
      <c r="H11" s="315">
        <f>C11*DATA!$D$5/1000000</f>
        <v>5.7241802422811636</v>
      </c>
      <c r="I11" s="315">
        <f>(C11*DATA!$D$5*DATA!$D$7)/1000000</f>
        <v>0.12879405545132619</v>
      </c>
      <c r="J11" s="313">
        <f t="shared" ca="1" si="1"/>
        <v>7.2618446669936896</v>
      </c>
      <c r="K11" s="311"/>
      <c r="L11" s="313">
        <f>((D11*DATA!$D$23)/1000000)+((E11*DATA!$D$24)/1000000)</f>
        <v>7.6280159999999997</v>
      </c>
      <c r="M11" s="313">
        <f t="shared" si="2"/>
        <v>7.6280159999999997</v>
      </c>
      <c r="N11" s="313">
        <f t="shared" ca="1" si="6"/>
        <v>0.36617133300631011</v>
      </c>
      <c r="O11" s="312">
        <f>1/(1+'[93]Asumsi I'!$C$3)^(KKF!A11)</f>
        <v>0.63551807840483121</v>
      </c>
      <c r="P11" s="313">
        <f t="shared" ca="1" si="7"/>
        <v>0.23270850191910575</v>
      </c>
      <c r="Q11" s="313">
        <f t="shared" ca="1" si="9"/>
        <v>-59.785358289549897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5280</v>
      </c>
      <c r="D12" s="313">
        <f t="shared" si="5"/>
        <v>880</v>
      </c>
      <c r="E12" s="313">
        <f t="shared" si="0"/>
        <v>4400</v>
      </c>
      <c r="F12" s="311"/>
      <c r="G12" s="315">
        <f ca="1">DATA!$D$11/1000000</f>
        <v>1.4088703692611999</v>
      </c>
      <c r="H12" s="315">
        <f>C12*DATA!$D$5/1000000</f>
        <v>5.7241802422811636</v>
      </c>
      <c r="I12" s="315">
        <f>(C12*DATA!$D$5*DATA!$D$7)/1000000</f>
        <v>0.12879405545132619</v>
      </c>
      <c r="J12" s="313">
        <f t="shared" ca="1" si="1"/>
        <v>7.2618446669936896</v>
      </c>
      <c r="K12" s="311"/>
      <c r="L12" s="313">
        <f>((D12*DATA!$D$23)/1000000)+((E12*DATA!$D$24)/1000000)</f>
        <v>7.6280159999999997</v>
      </c>
      <c r="M12" s="313">
        <f t="shared" si="2"/>
        <v>7.6280159999999997</v>
      </c>
      <c r="N12" s="313">
        <f t="shared" ca="1" si="6"/>
        <v>0.36617133300631011</v>
      </c>
      <c r="O12" s="312">
        <f>1/(1+'[93]Asumsi I'!$C$3)^(KKF!A12)</f>
        <v>0.56742685571859919</v>
      </c>
      <c r="P12" s="313">
        <f t="shared" ca="1" si="7"/>
        <v>0.20777544814205867</v>
      </c>
      <c r="Q12" s="313">
        <f t="shared" ca="1" si="9"/>
        <v>-59.577582841407839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5280</v>
      </c>
      <c r="D13" s="313">
        <f t="shared" si="5"/>
        <v>880</v>
      </c>
      <c r="E13" s="313">
        <f t="shared" si="0"/>
        <v>4400</v>
      </c>
      <c r="F13" s="311"/>
      <c r="G13" s="315">
        <f ca="1">DATA!$D$11/1000000</f>
        <v>1.4088703692611999</v>
      </c>
      <c r="H13" s="315">
        <f>C13*DATA!$D$5/1000000</f>
        <v>5.7241802422811636</v>
      </c>
      <c r="I13" s="315">
        <f>(C13*DATA!$D$5*DATA!$D$7)/1000000</f>
        <v>0.12879405545132619</v>
      </c>
      <c r="J13" s="313">
        <f t="shared" ca="1" si="1"/>
        <v>7.2618446669936896</v>
      </c>
      <c r="K13" s="311"/>
      <c r="L13" s="313">
        <f>((D13*DATA!$D$23)/1000000)+((E13*DATA!$D$24)/1000000)</f>
        <v>7.6280159999999997</v>
      </c>
      <c r="M13" s="313">
        <f t="shared" si="2"/>
        <v>7.6280159999999997</v>
      </c>
      <c r="N13" s="313">
        <f t="shared" ca="1" si="6"/>
        <v>0.36617133300631011</v>
      </c>
      <c r="O13" s="312">
        <f>1/(1+'[93]Asumsi I'!$C$3)^(KKF!A13)</f>
        <v>0.50663112117732068</v>
      </c>
      <c r="P13" s="313">
        <f t="shared" ca="1" si="7"/>
        <v>0.18551379298398094</v>
      </c>
      <c r="Q13" s="313">
        <f t="shared" ca="1" si="9"/>
        <v>-59.392069048423856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5280</v>
      </c>
      <c r="D14" s="313">
        <f t="shared" si="5"/>
        <v>880</v>
      </c>
      <c r="E14" s="313">
        <f t="shared" si="0"/>
        <v>4400</v>
      </c>
      <c r="F14" s="311"/>
      <c r="G14" s="315">
        <f ca="1">DATA!$D$11/1000000</f>
        <v>1.4088703692611999</v>
      </c>
      <c r="H14" s="315">
        <f>C14*DATA!$D$5/1000000</f>
        <v>5.7241802422811636</v>
      </c>
      <c r="I14" s="315">
        <f>(C14*DATA!$D$5*DATA!$D$7)/1000000</f>
        <v>0.12879405545132619</v>
      </c>
      <c r="J14" s="313">
        <f t="shared" ca="1" si="1"/>
        <v>7.2618446669936896</v>
      </c>
      <c r="K14" s="311"/>
      <c r="L14" s="313">
        <f>((D14*DATA!$D$23)/1000000)+((E14*DATA!$D$24)/1000000)</f>
        <v>7.6280159999999997</v>
      </c>
      <c r="M14" s="313">
        <f t="shared" si="2"/>
        <v>7.6280159999999997</v>
      </c>
      <c r="N14" s="313">
        <f t="shared" ca="1" si="6"/>
        <v>0.36617133300631011</v>
      </c>
      <c r="O14" s="312">
        <f>1/(1+'[93]Asumsi I'!$C$3)^(KKF!A14)</f>
        <v>0.45234921533689343</v>
      </c>
      <c r="P14" s="313">
        <f t="shared" ca="1" si="7"/>
        <v>0.16563731516426869</v>
      </c>
      <c r="Q14" s="313">
        <f t="shared" ca="1" si="9"/>
        <v>-59.226431733259588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5280</v>
      </c>
      <c r="D15" s="313">
        <f t="shared" si="5"/>
        <v>880</v>
      </c>
      <c r="E15" s="313">
        <f t="shared" si="0"/>
        <v>4400</v>
      </c>
      <c r="F15" s="311"/>
      <c r="G15" s="315">
        <f ca="1">DATA!$D$11/1000000</f>
        <v>1.4088703692611999</v>
      </c>
      <c r="H15" s="315">
        <f>C15*DATA!$D$5/1000000</f>
        <v>5.7241802422811636</v>
      </c>
      <c r="I15" s="315">
        <f>(C15*DATA!$D$5*DATA!$D$7)/1000000</f>
        <v>0.12879405545132619</v>
      </c>
      <c r="J15" s="313">
        <f t="shared" ca="1" si="1"/>
        <v>7.2618446669936896</v>
      </c>
      <c r="K15" s="311"/>
      <c r="L15" s="313">
        <f>((D15*DATA!$D$23)/1000000)+((E15*DATA!$D$24)/1000000)</f>
        <v>7.6280159999999997</v>
      </c>
      <c r="M15" s="313">
        <f t="shared" si="2"/>
        <v>7.6280159999999997</v>
      </c>
      <c r="N15" s="313">
        <f t="shared" ca="1" si="6"/>
        <v>0.36617133300631011</v>
      </c>
      <c r="O15" s="312">
        <f>1/(1+'[93]Asumsi I'!$C$3)^(KKF!A15)</f>
        <v>0.4038832279793691</v>
      </c>
      <c r="P15" s="313">
        <f t="shared" ca="1" si="7"/>
        <v>0.14789045996809702</v>
      </c>
      <c r="Q15" s="313">
        <f t="shared" ca="1" si="9"/>
        <v>-59.078541273291492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5280</v>
      </c>
      <c r="D16" s="313">
        <f t="shared" si="5"/>
        <v>880</v>
      </c>
      <c r="E16" s="313">
        <f t="shared" si="0"/>
        <v>4400</v>
      </c>
      <c r="F16" s="311"/>
      <c r="G16" s="315">
        <f ca="1">DATA!$D$11/1000000</f>
        <v>1.4088703692611999</v>
      </c>
      <c r="H16" s="315">
        <f>C16*DATA!$D$5/1000000</f>
        <v>5.7241802422811636</v>
      </c>
      <c r="I16" s="315">
        <f>(C16*DATA!$D$5*DATA!$D$7)/1000000</f>
        <v>0.12879405545132619</v>
      </c>
      <c r="J16" s="313">
        <f t="shared" ca="1" si="1"/>
        <v>7.2618446669936896</v>
      </c>
      <c r="K16" s="311"/>
      <c r="L16" s="313">
        <f>((D16*DATA!$D$23)/1000000)+((E16*DATA!$D$24)/1000000)</f>
        <v>7.6280159999999997</v>
      </c>
      <c r="M16" s="313">
        <f t="shared" si="2"/>
        <v>7.6280159999999997</v>
      </c>
      <c r="N16" s="313">
        <f t="shared" ca="1" si="6"/>
        <v>0.36617133300631011</v>
      </c>
      <c r="O16" s="312">
        <f>1/(1+'[93]Asumsi I'!$C$3)^(KKF!A16)</f>
        <v>0.36061002498157957</v>
      </c>
      <c r="P16" s="313">
        <f t="shared" ca="1" si="7"/>
        <v>0.13204505354294377</v>
      </c>
      <c r="Q16" s="313">
        <f t="shared" ca="1" si="9"/>
        <v>-58.946496219748546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5280</v>
      </c>
      <c r="D17" s="313">
        <f t="shared" si="5"/>
        <v>880</v>
      </c>
      <c r="E17" s="313">
        <f t="shared" si="0"/>
        <v>4400</v>
      </c>
      <c r="F17" s="311"/>
      <c r="G17" s="315">
        <f ca="1">DATA!$D$11/1000000</f>
        <v>1.4088703692611999</v>
      </c>
      <c r="H17" s="315">
        <f>C17*DATA!$D$5/1000000</f>
        <v>5.7241802422811636</v>
      </c>
      <c r="I17" s="315">
        <f>(C17*DATA!$D$5*DATA!$D$7)/1000000</f>
        <v>0.12879405545132619</v>
      </c>
      <c r="J17" s="313">
        <f t="shared" ca="1" si="1"/>
        <v>7.2618446669936896</v>
      </c>
      <c r="K17" s="311"/>
      <c r="L17" s="313">
        <f>((D17*DATA!$D$23)/1000000)+((E17*DATA!$D$24)/1000000)</f>
        <v>7.6280159999999997</v>
      </c>
      <c r="M17" s="313">
        <f t="shared" si="2"/>
        <v>7.6280159999999997</v>
      </c>
      <c r="N17" s="313">
        <f t="shared" ca="1" si="6"/>
        <v>0.36617133300631011</v>
      </c>
      <c r="O17" s="312">
        <f>1/(1+'[93]Asumsi I'!$C$3)^(KKF!A17)</f>
        <v>0.32197323659069599</v>
      </c>
      <c r="P17" s="313">
        <f t="shared" ca="1" si="7"/>
        <v>0.1178973692347712</v>
      </c>
      <c r="Q17" s="313">
        <f t="shared" ca="1" si="9"/>
        <v>-58.828598850513778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5280</v>
      </c>
      <c r="D18" s="313">
        <f t="shared" si="5"/>
        <v>880</v>
      </c>
      <c r="E18" s="313">
        <f t="shared" si="0"/>
        <v>4400</v>
      </c>
      <c r="F18" s="311"/>
      <c r="G18" s="315">
        <f ca="1">DATA!$D$11/1000000</f>
        <v>1.4088703692611999</v>
      </c>
      <c r="H18" s="315">
        <f>C18*DATA!$D$5/1000000</f>
        <v>5.7241802422811636</v>
      </c>
      <c r="I18" s="315">
        <f>(C18*DATA!$D$5*DATA!$D$7)/1000000</f>
        <v>0.12879405545132619</v>
      </c>
      <c r="J18" s="313">
        <f t="shared" ca="1" si="1"/>
        <v>7.2618446669936896</v>
      </c>
      <c r="K18" s="311"/>
      <c r="L18" s="313">
        <f>((D18*DATA!$D$23)/1000000)+((E18*DATA!$D$24)/1000000)</f>
        <v>7.6280159999999997</v>
      </c>
      <c r="M18" s="313">
        <f t="shared" si="2"/>
        <v>7.6280159999999997</v>
      </c>
      <c r="N18" s="313">
        <f t="shared" ca="1" si="6"/>
        <v>0.36617133300631011</v>
      </c>
      <c r="O18" s="312">
        <f>1/(1+'[93]Asumsi I'!$C$3)^(KKF!A18)</f>
        <v>0.28747610409883567</v>
      </c>
      <c r="P18" s="313">
        <f t="shared" ca="1" si="7"/>
        <v>0.10526550824533143</v>
      </c>
      <c r="Q18" s="313">
        <f t="shared" ca="1" si="9"/>
        <v>-58.723333342268447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5280</v>
      </c>
      <c r="D19" s="313">
        <f t="shared" si="5"/>
        <v>880</v>
      </c>
      <c r="E19" s="313">
        <f t="shared" si="0"/>
        <v>4400</v>
      </c>
      <c r="F19" s="311"/>
      <c r="G19" s="315">
        <f ca="1">DATA!$D$11/1000000</f>
        <v>1.4088703692611999</v>
      </c>
      <c r="H19" s="315">
        <f>C19*DATA!$D$5/1000000</f>
        <v>5.7241802422811636</v>
      </c>
      <c r="I19" s="315">
        <f>(C19*DATA!$D$5*DATA!$D$7)/1000000</f>
        <v>0.12879405545132619</v>
      </c>
      <c r="J19" s="313">
        <f t="shared" ca="1" si="1"/>
        <v>7.2618446669936896</v>
      </c>
      <c r="K19" s="311"/>
      <c r="L19" s="313">
        <f>((D19*DATA!$D$23)/1000000)+((E19*DATA!$D$24)/1000000)</f>
        <v>7.6280159999999997</v>
      </c>
      <c r="M19" s="313">
        <f t="shared" si="2"/>
        <v>7.6280159999999997</v>
      </c>
      <c r="N19" s="313">
        <f t="shared" ca="1" si="6"/>
        <v>0.36617133300631011</v>
      </c>
      <c r="O19" s="312">
        <f>1/(1+'[93]Asumsi I'!$C$3)^(KKF!A19)</f>
        <v>0.25667509294538904</v>
      </c>
      <c r="P19" s="313">
        <f t="shared" ca="1" si="7"/>
        <v>9.3987060933331645E-2</v>
      </c>
      <c r="Q19" s="313">
        <f t="shared" ca="1" si="9"/>
        <v>-58.629346281335117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5280</v>
      </c>
      <c r="D20" s="313">
        <f t="shared" si="5"/>
        <v>880</v>
      </c>
      <c r="E20" s="313">
        <f t="shared" si="0"/>
        <v>4400</v>
      </c>
      <c r="F20" s="311"/>
      <c r="G20" s="315">
        <f ca="1">DATA!$D$11/1000000</f>
        <v>1.4088703692611999</v>
      </c>
      <c r="H20" s="315">
        <f>C20*DATA!$D$5/1000000</f>
        <v>5.7241802422811636</v>
      </c>
      <c r="I20" s="315">
        <f>(C20*DATA!$D$5*DATA!$D$7)/1000000</f>
        <v>0.12879405545132619</v>
      </c>
      <c r="J20" s="313">
        <f t="shared" ca="1" si="1"/>
        <v>7.2618446669936896</v>
      </c>
      <c r="K20" s="311"/>
      <c r="L20" s="313">
        <f>((D20*DATA!$D$23)/1000000)+((E20*DATA!$D$24)/1000000)</f>
        <v>7.6280159999999997</v>
      </c>
      <c r="M20" s="313">
        <f t="shared" si="2"/>
        <v>7.6280159999999997</v>
      </c>
      <c r="N20" s="313">
        <f t="shared" ca="1" si="6"/>
        <v>0.36617133300631011</v>
      </c>
      <c r="O20" s="312">
        <f>1/(1+'[93]Asumsi I'!$C$3)^(KKF!A20)</f>
        <v>0.22917419012981158</v>
      </c>
      <c r="P20" s="313">
        <f t="shared" ca="1" si="7"/>
        <v>8.391701869047466E-2</v>
      </c>
      <c r="Q20" s="313">
        <f t="shared" ca="1" si="9"/>
        <v>-58.545429262644639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5280</v>
      </c>
      <c r="D21" s="313">
        <f t="shared" si="5"/>
        <v>880</v>
      </c>
      <c r="E21" s="313">
        <f t="shared" si="0"/>
        <v>4400</v>
      </c>
      <c r="F21" s="311"/>
      <c r="G21" s="315">
        <f ca="1">DATA!$D$11/1000000</f>
        <v>1.4088703692611999</v>
      </c>
      <c r="H21" s="315">
        <f>C21*DATA!$D$5/1000000</f>
        <v>5.7241802422811636</v>
      </c>
      <c r="I21" s="315">
        <f>(C21*DATA!$D$5*DATA!$D$7)/1000000</f>
        <v>0.12879405545132619</v>
      </c>
      <c r="J21" s="313">
        <f t="shared" ca="1" si="1"/>
        <v>7.2618446669936896</v>
      </c>
      <c r="K21" s="311"/>
      <c r="L21" s="313">
        <f>((D21*DATA!$D$23)/1000000)+((E21*DATA!$D$24)/1000000)</f>
        <v>7.6280159999999997</v>
      </c>
      <c r="M21" s="313">
        <f t="shared" si="2"/>
        <v>7.6280159999999997</v>
      </c>
      <c r="N21" s="313">
        <f t="shared" ca="1" si="6"/>
        <v>0.36617133300631011</v>
      </c>
      <c r="O21" s="312">
        <f>1/(1+'[93]Asumsi I'!$C$3)^(KKF!A21)</f>
        <v>0.20461981261590317</v>
      </c>
      <c r="P21" s="313">
        <f t="shared" ca="1" si="7"/>
        <v>7.4925909545066657E-2</v>
      </c>
      <c r="Q21" s="313">
        <f t="shared" ca="1" si="9"/>
        <v>-58.470503353099573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5280</v>
      </c>
      <c r="D22" s="313">
        <f t="shared" si="5"/>
        <v>880</v>
      </c>
      <c r="E22" s="313">
        <f t="shared" si="0"/>
        <v>4400</v>
      </c>
      <c r="F22" s="311"/>
      <c r="G22" s="315">
        <f ca="1">DATA!$D$11/1000000</f>
        <v>1.4088703692611999</v>
      </c>
      <c r="H22" s="315">
        <f>C22*DATA!$D$5/1000000</f>
        <v>5.7241802422811636</v>
      </c>
      <c r="I22" s="315">
        <f>(C22*DATA!$D$5*DATA!$D$7)/1000000</f>
        <v>0.12879405545132619</v>
      </c>
      <c r="J22" s="313">
        <f t="shared" ca="1" si="1"/>
        <v>7.2618446669936896</v>
      </c>
      <c r="K22" s="311"/>
      <c r="L22" s="313">
        <f>((D22*DATA!$D$23)/1000000)+((E22*DATA!$D$24)/1000000)</f>
        <v>7.6280159999999997</v>
      </c>
      <c r="M22" s="313">
        <f t="shared" si="2"/>
        <v>7.6280159999999997</v>
      </c>
      <c r="N22" s="313">
        <f t="shared" ca="1" si="6"/>
        <v>0.36617133300631011</v>
      </c>
      <c r="O22" s="312">
        <f>1/(1+'[93]Asumsi I'!$C$3)^(KKF!A22)</f>
        <v>0.18269626126419927</v>
      </c>
      <c r="P22" s="313">
        <f t="shared" ca="1" si="7"/>
        <v>6.6898133522380943E-2</v>
      </c>
      <c r="Q22" s="313">
        <f t="shared" ca="1" si="9"/>
        <v>-58.403605219577194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5280</v>
      </c>
      <c r="D23" s="313">
        <f t="shared" si="5"/>
        <v>880</v>
      </c>
      <c r="E23" s="313">
        <f t="shared" si="0"/>
        <v>4400</v>
      </c>
      <c r="F23" s="311"/>
      <c r="G23" s="315">
        <f ca="1">DATA!$D$11/1000000</f>
        <v>1.4088703692611999</v>
      </c>
      <c r="H23" s="315">
        <f>C23*DATA!$D$5/1000000</f>
        <v>5.7241802422811636</v>
      </c>
      <c r="I23" s="315">
        <f>(C23*DATA!$D$5*DATA!$D$7)/1000000</f>
        <v>0.12879405545132619</v>
      </c>
      <c r="J23" s="313">
        <f t="shared" ca="1" si="1"/>
        <v>7.2618446669936896</v>
      </c>
      <c r="K23" s="311"/>
      <c r="L23" s="313">
        <f>((D23*DATA!$D$23)/1000000)+((E23*DATA!$D$24)/1000000)</f>
        <v>7.6280159999999997</v>
      </c>
      <c r="M23" s="313">
        <f t="shared" si="2"/>
        <v>7.6280159999999997</v>
      </c>
      <c r="N23" s="313">
        <f t="shared" ca="1" si="6"/>
        <v>0.36617133300631011</v>
      </c>
      <c r="O23" s="312">
        <f>1/(1+'[93]Asumsi I'!$C$3)^(KKF!A23)</f>
        <v>0.16312166184303503</v>
      </c>
      <c r="P23" s="313">
        <f t="shared" ca="1" si="7"/>
        <v>5.9730476359268689E-2</v>
      </c>
      <c r="Q23" s="313">
        <f t="shared" ca="1" si="9"/>
        <v>-58.343874743217924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5280</v>
      </c>
      <c r="D24" s="313">
        <f t="shared" si="5"/>
        <v>880</v>
      </c>
      <c r="E24" s="313">
        <f t="shared" si="0"/>
        <v>4400</v>
      </c>
      <c r="F24" s="311"/>
      <c r="G24" s="315">
        <f ca="1">DATA!$D$11/1000000</f>
        <v>1.4088703692611999</v>
      </c>
      <c r="H24" s="315">
        <f>C24*DATA!$D$5/1000000</f>
        <v>5.7241802422811636</v>
      </c>
      <c r="I24" s="315">
        <f>(C24*DATA!$D$5*DATA!$D$7)/1000000</f>
        <v>0.12879405545132619</v>
      </c>
      <c r="J24" s="313">
        <f t="shared" ca="1" si="1"/>
        <v>7.2618446669936896</v>
      </c>
      <c r="K24" s="311"/>
      <c r="L24" s="313">
        <f>((D24*DATA!$D$23)/1000000)+((E24*DATA!$D$24)/1000000)</f>
        <v>7.6280159999999997</v>
      </c>
      <c r="M24" s="313">
        <f t="shared" si="2"/>
        <v>7.6280159999999997</v>
      </c>
      <c r="N24" s="313">
        <f t="shared" ca="1" si="6"/>
        <v>0.36617133300631011</v>
      </c>
      <c r="O24" s="312">
        <f>1/(1+'[93]Asumsi I'!$C$3)^(KKF!A24)</f>
        <v>0.14564434093128129</v>
      </c>
      <c r="P24" s="313">
        <f t="shared" ca="1" si="7"/>
        <v>5.3330782463632764E-2</v>
      </c>
      <c r="Q24" s="313">
        <f t="shared" ca="1" si="9"/>
        <v>-58.290543960754292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5280</v>
      </c>
      <c r="D25" s="313">
        <f t="shared" si="5"/>
        <v>880</v>
      </c>
      <c r="E25" s="313">
        <f t="shared" si="0"/>
        <v>4400</v>
      </c>
      <c r="F25" s="311"/>
      <c r="G25" s="315">
        <f ca="1">DATA!$D$11/1000000</f>
        <v>1.4088703692611999</v>
      </c>
      <c r="H25" s="315">
        <f>C25*DATA!$D$5/1000000</f>
        <v>5.7241802422811636</v>
      </c>
      <c r="I25" s="315">
        <f>(C25*DATA!$D$5*DATA!$D$7)/1000000</f>
        <v>0.12879405545132619</v>
      </c>
      <c r="J25" s="313">
        <f t="shared" ca="1" si="1"/>
        <v>7.2618446669936896</v>
      </c>
      <c r="K25" s="311"/>
      <c r="L25" s="313">
        <f>((D25*DATA!$D$23)/1000000)+((E25*DATA!$D$24)/1000000)</f>
        <v>7.6280159999999997</v>
      </c>
      <c r="M25" s="313">
        <f t="shared" si="2"/>
        <v>7.6280159999999997</v>
      </c>
      <c r="N25" s="313">
        <f t="shared" ca="1" si="6"/>
        <v>0.36617133300631011</v>
      </c>
      <c r="O25" s="312">
        <f>1/(1+'[93]Asumsi I'!$C$3)^(KKF!A25)</f>
        <v>0.13003959011721541</v>
      </c>
      <c r="P25" s="313">
        <f t="shared" ca="1" si="7"/>
        <v>4.7616770056814958E-2</v>
      </c>
      <c r="Q25" s="313">
        <f t="shared" ca="1" si="9"/>
        <v>-58.242927190697479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5280</v>
      </c>
      <c r="D26" s="313">
        <f t="shared" si="5"/>
        <v>880</v>
      </c>
      <c r="E26" s="313">
        <f t="shared" si="0"/>
        <v>4400</v>
      </c>
      <c r="F26" s="311"/>
      <c r="G26" s="315">
        <f ca="1">DATA!$D$11/1000000</f>
        <v>1.4088703692611999</v>
      </c>
      <c r="H26" s="315">
        <f>C26*DATA!$D$5/1000000</f>
        <v>5.7241802422811636</v>
      </c>
      <c r="I26" s="315">
        <f>(C26*DATA!$D$5*DATA!$D$7)/1000000</f>
        <v>0.12879405545132619</v>
      </c>
      <c r="J26" s="313">
        <f t="shared" ca="1" si="1"/>
        <v>7.2618446669936896</v>
      </c>
      <c r="K26" s="311"/>
      <c r="L26" s="313">
        <f>((D26*DATA!$D$23)/1000000)+((E26*DATA!$D$24)/1000000)</f>
        <v>7.6280159999999997</v>
      </c>
      <c r="M26" s="313">
        <f t="shared" si="2"/>
        <v>7.6280159999999997</v>
      </c>
      <c r="N26" s="313">
        <f t="shared" ca="1" si="6"/>
        <v>0.36617133300631011</v>
      </c>
      <c r="O26" s="312">
        <f>1/(1+'[93]Asumsi I'!$C$3)^(KKF!A26)</f>
        <v>0.1161067768903709</v>
      </c>
      <c r="P26" s="313">
        <f t="shared" ca="1" si="7"/>
        <v>4.2514973265013349E-2</v>
      </c>
      <c r="Q26" s="313">
        <f t="shared" ca="1" si="9"/>
        <v>-58.200412217432465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5280</v>
      </c>
      <c r="D27" s="313">
        <f t="shared" si="5"/>
        <v>880</v>
      </c>
      <c r="E27" s="313">
        <f t="shared" si="0"/>
        <v>4400</v>
      </c>
      <c r="F27" s="311"/>
      <c r="G27" s="315">
        <f ca="1">DATA!$D$11/1000000</f>
        <v>1.4088703692611999</v>
      </c>
      <c r="H27" s="315">
        <f>C27*DATA!$D$5/1000000</f>
        <v>5.7241802422811636</v>
      </c>
      <c r="I27" s="315">
        <f>(C27*DATA!$D$5*DATA!$D$7)/1000000</f>
        <v>0.12879405545132619</v>
      </c>
      <c r="J27" s="313">
        <f t="shared" ca="1" si="1"/>
        <v>7.2618446669936896</v>
      </c>
      <c r="K27" s="311"/>
      <c r="L27" s="313">
        <f>((D27*DATA!$D$23)/1000000)+((E27*DATA!$D$24)/1000000)</f>
        <v>7.6280159999999997</v>
      </c>
      <c r="M27" s="313">
        <f t="shared" si="2"/>
        <v>7.6280159999999997</v>
      </c>
      <c r="N27" s="313">
        <f t="shared" ca="1" si="6"/>
        <v>0.36617133300631011</v>
      </c>
      <c r="O27" s="312">
        <f>1/(1+'[93]Asumsi I'!$C$3)^(KKF!A27)</f>
        <v>0.1036667650806883</v>
      </c>
      <c r="P27" s="313">
        <f t="shared" ca="1" si="7"/>
        <v>3.7959797558047632E-2</v>
      </c>
      <c r="Q27" s="313">
        <f t="shared" ca="1" si="9"/>
        <v>-58.16245241987442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5280</v>
      </c>
      <c r="D28" s="313">
        <f t="shared" si="5"/>
        <v>880</v>
      </c>
      <c r="E28" s="313">
        <f t="shared" si="0"/>
        <v>4400</v>
      </c>
      <c r="F28" s="311"/>
      <c r="G28" s="315">
        <f ca="1">DATA!$D$11/1000000</f>
        <v>1.4088703692611999</v>
      </c>
      <c r="H28" s="315">
        <f>C28*DATA!$D$5/1000000</f>
        <v>5.7241802422811636</v>
      </c>
      <c r="I28" s="315">
        <f>(C28*DATA!$D$5*DATA!$D$7)/1000000</f>
        <v>0.12879405545132619</v>
      </c>
      <c r="J28" s="313">
        <f t="shared" ca="1" si="1"/>
        <v>7.2618446669936896</v>
      </c>
      <c r="K28" s="311"/>
      <c r="L28" s="313">
        <f>((D28*DATA!$D$23)/1000000)+((E28*DATA!$D$24)/1000000)</f>
        <v>7.6280159999999997</v>
      </c>
      <c r="M28" s="313">
        <f t="shared" si="2"/>
        <v>7.6280159999999997</v>
      </c>
      <c r="N28" s="313">
        <f t="shared" ca="1" si="6"/>
        <v>0.36617133300631011</v>
      </c>
      <c r="O28" s="312">
        <f>1/(1+'[93]Asumsi I'!$C$3)^(KKF!A28)</f>
        <v>9.2559611679185971E-2</v>
      </c>
      <c r="P28" s="313">
        <f t="shared" ca="1" si="7"/>
        <v>3.3892676391113957E-2</v>
      </c>
      <c r="Q28" s="313">
        <f t="shared" ca="1" si="9"/>
        <v>-58.128559743483308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5280</v>
      </c>
      <c r="D29" s="313">
        <f t="shared" si="5"/>
        <v>880</v>
      </c>
      <c r="E29" s="313">
        <f t="shared" si="0"/>
        <v>4400</v>
      </c>
      <c r="F29" s="311"/>
      <c r="G29" s="315">
        <f ca="1">DATA!$D$11/1000000</f>
        <v>1.4088703692611999</v>
      </c>
      <c r="H29" s="315">
        <f>C29*DATA!$D$5/1000000</f>
        <v>5.7241802422811636</v>
      </c>
      <c r="I29" s="315">
        <f>(C29*DATA!$D$5*DATA!$D$7)/1000000</f>
        <v>0.12879405545132619</v>
      </c>
      <c r="J29" s="313">
        <f t="shared" ca="1" si="1"/>
        <v>7.2618446669936896</v>
      </c>
      <c r="K29" s="311"/>
      <c r="L29" s="313">
        <f>((D29*DATA!$D$23)/1000000)+((E29*DATA!$D$24)/1000000)</f>
        <v>7.6280159999999997</v>
      </c>
      <c r="M29" s="313">
        <f t="shared" si="2"/>
        <v>7.6280159999999997</v>
      </c>
      <c r="N29" s="313">
        <f t="shared" ca="1" si="6"/>
        <v>0.36617133300631011</v>
      </c>
      <c r="O29" s="312">
        <f>1/(1+'[93]Asumsi I'!$C$3)^(KKF!A29)</f>
        <v>8.2642510427844609E-2</v>
      </c>
      <c r="P29" s="313">
        <f t="shared" ca="1" si="7"/>
        <v>3.0261318206351744E-2</v>
      </c>
      <c r="Q29" s="313">
        <f t="shared" ca="1" si="9"/>
        <v>-58.098298425276958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5280</v>
      </c>
      <c r="D30" s="313">
        <f t="shared" si="5"/>
        <v>880</v>
      </c>
      <c r="E30" s="313">
        <f t="shared" si="0"/>
        <v>4400</v>
      </c>
      <c r="F30" s="311"/>
      <c r="G30" s="315">
        <f ca="1">DATA!$D$11/1000000</f>
        <v>1.4088703692611999</v>
      </c>
      <c r="H30" s="315">
        <f>C30*DATA!$D$5/1000000</f>
        <v>5.7241802422811636</v>
      </c>
      <c r="I30" s="315">
        <f>(C30*DATA!$D$5*DATA!$D$7)/1000000</f>
        <v>0.12879405545132619</v>
      </c>
      <c r="J30" s="313">
        <f t="shared" ca="1" si="1"/>
        <v>7.2618446669936896</v>
      </c>
      <c r="K30" s="311"/>
      <c r="L30" s="313">
        <f>((D30*DATA!$D$23)/1000000)+((E30*DATA!$D$24)/1000000)</f>
        <v>7.6280159999999997</v>
      </c>
      <c r="M30" s="313">
        <f t="shared" si="2"/>
        <v>7.6280159999999997</v>
      </c>
      <c r="N30" s="313">
        <f t="shared" ca="1" si="6"/>
        <v>0.36617133300631011</v>
      </c>
      <c r="O30" s="312">
        <f>1/(1+'[93]Asumsi I'!$C$3)^(KKF!A30)</f>
        <v>7.3787955739146982E-2</v>
      </c>
      <c r="P30" s="313">
        <f t="shared" ca="1" si="7"/>
        <v>2.7019034112814061E-2</v>
      </c>
      <c r="Q30" s="313">
        <f t="shared" ca="1" si="9"/>
        <v>-58.071279391164147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5280</v>
      </c>
      <c r="D31" s="313">
        <f t="shared" si="5"/>
        <v>880</v>
      </c>
      <c r="E31" s="313">
        <f t="shared" si="0"/>
        <v>4400</v>
      </c>
      <c r="F31" s="311"/>
      <c r="G31" s="315">
        <f ca="1">DATA!$D$11/1000000</f>
        <v>1.4088703692611999</v>
      </c>
      <c r="H31" s="315">
        <f>C31*DATA!$D$5/1000000</f>
        <v>5.7241802422811636</v>
      </c>
      <c r="I31" s="315">
        <f>(C31*DATA!$D$5*DATA!$D$7)/1000000</f>
        <v>0.12879405545132619</v>
      </c>
      <c r="J31" s="313">
        <f t="shared" ca="1" si="1"/>
        <v>7.2618446669936896</v>
      </c>
      <c r="K31" s="311"/>
      <c r="L31" s="313">
        <f>((D31*DATA!$D$23)/1000000)+((E31*DATA!$D$24)/1000000)</f>
        <v>7.6280159999999997</v>
      </c>
      <c r="M31" s="313">
        <f t="shared" si="2"/>
        <v>7.6280159999999997</v>
      </c>
      <c r="N31" s="313">
        <f t="shared" ca="1" si="6"/>
        <v>0.36617133300631011</v>
      </c>
      <c r="O31" s="312">
        <f>1/(1+'[93]Asumsi I'!$C$3)^(KKF!A31)</f>
        <v>6.5882103338524081E-2</v>
      </c>
      <c r="P31" s="313">
        <f t="shared" ca="1" si="7"/>
        <v>2.4124137600726837E-2</v>
      </c>
      <c r="Q31" s="313">
        <f ca="1">Q30+P31</f>
        <v>-58.047155253563417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5280</v>
      </c>
      <c r="D32" s="313">
        <f t="shared" si="5"/>
        <v>880</v>
      </c>
      <c r="E32" s="313">
        <f t="shared" si="0"/>
        <v>4400</v>
      </c>
      <c r="F32" s="311"/>
      <c r="G32" s="315">
        <f ca="1">DATA!$D$11/1000000</f>
        <v>1.4088703692611999</v>
      </c>
      <c r="H32" s="315">
        <f>C32*DATA!$D$5/1000000</f>
        <v>5.7241802422811636</v>
      </c>
      <c r="I32" s="315">
        <f>(C32*DATA!$D$5*DATA!$D$7)/1000000</f>
        <v>0.12879405545132619</v>
      </c>
      <c r="J32" s="313">
        <f t="shared" ca="1" si="1"/>
        <v>7.2618446669936896</v>
      </c>
      <c r="K32" s="311"/>
      <c r="L32" s="313">
        <f>((D32*DATA!$D$23)/1000000)+((E32*DATA!$D$24)/1000000)</f>
        <v>7.6280159999999997</v>
      </c>
      <c r="M32" s="313">
        <f t="shared" si="2"/>
        <v>7.6280159999999997</v>
      </c>
      <c r="N32" s="313">
        <f t="shared" ca="1" si="6"/>
        <v>0.36617133300631011</v>
      </c>
      <c r="O32" s="312">
        <f>1/(1+'[93]Asumsi I'!$C$3)^(KKF!A32)</f>
        <v>5.8823306552253637E-2</v>
      </c>
      <c r="P32" s="313">
        <f t="shared" ca="1" si="7"/>
        <v>2.1539408572077531E-2</v>
      </c>
      <c r="Q32" s="313">
        <f ca="1">Q31+P32</f>
        <v>-58.025615844991343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603" t="s">
        <v>1374</v>
      </c>
      <c r="G33" s="603"/>
      <c r="H33" s="603"/>
      <c r="I33" s="321"/>
      <c r="J33" s="322">
        <f ca="1">SUM(J7:J32)</f>
        <v>254.37400122345207</v>
      </c>
      <c r="K33" s="603" t="s">
        <v>1375</v>
      </c>
      <c r="L33" s="603"/>
      <c r="M33" s="322">
        <f>SUM(M7:M32)</f>
        <v>202.63073600000004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198.89018605220772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0.79658587365617317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-51.808585575885125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-0.11237044055796741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42" priority="1" stopIfTrue="1" operator="greaterThanOrEqual">
      <formula>$F$7</formula>
    </cfRule>
    <cfRule type="cellIs" dxfId="41" priority="2" stopIfTrue="1" operator="lessThan">
      <formula>$F$7</formula>
    </cfRule>
  </conditionalFormatting>
  <conditionalFormatting sqref="Q7:Q32">
    <cfRule type="cellIs" dxfId="40" priority="3" operator="lessThan">
      <formula>0</formula>
    </cfRule>
    <cfRule type="cellIs" dxfId="39" priority="4" operator="lessThan">
      <formula>0</formula>
    </cfRule>
    <cfRule type="cellIs" dxfId="38" priority="5" operator="lessThan">
      <formula>-6395.81</formula>
    </cfRule>
    <cfRule type="cellIs" dxfId="3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6"/>
  <sheetViews>
    <sheetView showGridLines="0" tabSelected="1" zoomScale="85" zoomScaleNormal="85" zoomScaleSheetLayoutView="70" workbookViewId="0">
      <pane ySplit="13" topLeftCell="A93" activePane="bottomLeft" state="frozen"/>
      <selection activeCell="H1093" sqref="H1093"/>
      <selection pane="bottomLeft" activeCell="E102" sqref="E102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8" customWidth="1"/>
    <col min="4" max="4" width="13.7109375" style="398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26" t="s">
        <v>1036</v>
      </c>
      <c r="P3" s="626"/>
      <c r="Q3" s="343"/>
      <c r="T3" s="341"/>
      <c r="U3" s="342" t="s">
        <v>1041</v>
      </c>
      <c r="V3" s="341"/>
    </row>
    <row r="4" spans="1:22" ht="15.75" customHeight="1">
      <c r="B4" s="627" t="s">
        <v>1023</v>
      </c>
      <c r="C4" s="627"/>
      <c r="D4" s="627"/>
      <c r="E4" s="627"/>
      <c r="F4" s="627"/>
      <c r="G4" s="627"/>
      <c r="H4" s="627"/>
      <c r="I4" s="627"/>
      <c r="J4" s="627"/>
      <c r="K4" s="627"/>
      <c r="O4" s="626"/>
      <c r="P4" s="626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10" t="str">
        <f>DATA!D14</f>
        <v>TNK AKHADINA</v>
      </c>
      <c r="H6" s="610"/>
      <c r="I6" s="610"/>
      <c r="J6" s="610"/>
      <c r="K6" s="610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1619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1546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29" t="s">
        <v>0</v>
      </c>
      <c r="C11" s="631" t="s">
        <v>1</v>
      </c>
      <c r="D11" s="620" t="s">
        <v>42</v>
      </c>
      <c r="E11" s="620" t="s">
        <v>43</v>
      </c>
      <c r="F11" s="620" t="s">
        <v>2</v>
      </c>
      <c r="G11" s="634" t="s">
        <v>41</v>
      </c>
      <c r="H11" s="620" t="s">
        <v>3</v>
      </c>
      <c r="I11" s="620"/>
      <c r="J11" s="620"/>
      <c r="K11" s="621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30"/>
      <c r="C12" s="632"/>
      <c r="D12" s="624"/>
      <c r="E12" s="624"/>
      <c r="F12" s="624"/>
      <c r="G12" s="635"/>
      <c r="H12" s="622" t="s">
        <v>46</v>
      </c>
      <c r="I12" s="622" t="s">
        <v>5</v>
      </c>
      <c r="J12" s="624" t="s">
        <v>47</v>
      </c>
      <c r="K12" s="625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30"/>
      <c r="C13" s="633"/>
      <c r="D13" s="624"/>
      <c r="E13" s="624"/>
      <c r="F13" s="624"/>
      <c r="G13" s="636"/>
      <c r="H13" s="623"/>
      <c r="I13" s="623"/>
      <c r="J13" s="624"/>
      <c r="K13" s="625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1606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/>
      <c r="B15" s="483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17" ca="1" si="4">IF(OR(D15="MDU",D15="MDU-KD"),(IF($O$3="RAB NON MDU","PLN KD",G15*F15)),0)</f>
        <v>0</v>
      </c>
      <c r="I15" s="356">
        <f t="shared" ref="I15:I17" ca="1" si="5">IF(D15="HDW",G15*F15,0)</f>
        <v>0</v>
      </c>
      <c r="J15" s="356">
        <f t="shared" ref="J15:J17" ca="1" si="6">IF(D15="JASA",G15*F15,0)</f>
        <v>0</v>
      </c>
      <c r="K15" s="357">
        <f t="shared" ref="K15:K17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/>
      <c r="B16" s="481" t="s">
        <v>505</v>
      </c>
      <c r="C16" s="482" t="s">
        <v>1615</v>
      </c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ca="1" si="4"/>
        <v>0</v>
      </c>
      <c r="I16" s="356">
        <f t="shared" ca="1" si="5"/>
        <v>0</v>
      </c>
      <c r="J16" s="356">
        <f t="shared" ca="1" si="6"/>
        <v>0</v>
      </c>
      <c r="K16" s="357">
        <f t="shared" ca="1" si="7"/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3"/>
      <c r="C17" s="109"/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/>
      </c>
      <c r="F17" s="361"/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ca="1" si="4"/>
        <v>0</v>
      </c>
      <c r="I17" s="356">
        <f t="shared" ca="1" si="5"/>
        <v>0</v>
      </c>
      <c r="J17" s="356">
        <f t="shared" ca="1" si="6"/>
        <v>0</v>
      </c>
      <c r="K17" s="357">
        <f t="shared" ca="1" si="7"/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1"/>
      <c r="C18" s="109"/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ref="H18:H47" ca="1" si="8">IF(OR(D18="MDU",D18="MDU-KD"),(IF($O$3="RAB NON MDU","PLN KD",G18*F18)),0)</f>
        <v>0</v>
      </c>
      <c r="I18" s="356">
        <f t="shared" ref="I18:I47" ca="1" si="9">IF(D18="HDW",G18*F18,0)</f>
        <v>0</v>
      </c>
      <c r="J18" s="356">
        <f t="shared" ref="J18:J47" ca="1" si="10">IF(D18="JASA",G18*F18,0)</f>
        <v>0</v>
      </c>
      <c r="K18" s="357">
        <f t="shared" ref="K18:K47" ca="1" si="11">SUM(H18:J18)</f>
        <v>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1" t="s">
        <v>524</v>
      </c>
      <c r="C19" s="482" t="s">
        <v>1616</v>
      </c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361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ca="1" si="8"/>
        <v>0</v>
      </c>
      <c r="I19" s="356">
        <f t="shared" ca="1" si="9"/>
        <v>0</v>
      </c>
      <c r="J19" s="356">
        <f t="shared" ca="1" si="10"/>
        <v>0</v>
      </c>
      <c r="K19" s="357">
        <f t="shared" ca="1" si="11"/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481"/>
      <c r="C20" s="482"/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ref="H20:H27" ca="1" si="12">IF(OR(D20="MDU",D20="MDU-KD"),(IF($O$3="RAB NON MDU","PLN KD",G20*F20)),0)</f>
        <v>0</v>
      </c>
      <c r="I20" s="356">
        <f t="shared" ref="I20:I27" ca="1" si="13">IF(D20="HDW",G20*F20,0)</f>
        <v>0</v>
      </c>
      <c r="J20" s="356">
        <f t="shared" ref="J20:J27" ca="1" si="14">IF(D20="JASA",G20*F20,0)</f>
        <v>0</v>
      </c>
      <c r="K20" s="357">
        <f t="shared" ref="K20:K27" ca="1" si="15">SUM(H20:J20)</f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501" t="s">
        <v>1035</v>
      </c>
      <c r="C21" s="502" t="s">
        <v>1614</v>
      </c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>Unit</v>
      </c>
      <c r="F21" s="487">
        <v>8</v>
      </c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ca="1" si="12"/>
        <v>0</v>
      </c>
      <c r="I21" s="356">
        <f t="shared" ca="1" si="13"/>
        <v>0</v>
      </c>
      <c r="J21" s="356">
        <f t="shared" ca="1" si="14"/>
        <v>0</v>
      </c>
      <c r="K21" s="357">
        <f t="shared" ca="1" si="15"/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501">
        <v>1</v>
      </c>
      <c r="C22" s="502" t="s">
        <v>229</v>
      </c>
      <c r="D22" s="353" t="str">
        <f ca="1">IF(ISERROR(OFFSET('HARGA SATUAN'!$D$6,MATCH(RAB!C22,'HARGA SATUAN'!$C$7:$C$1492,0),0)),"",OFFSET('HARGA SATUAN'!$D$6,MATCH(RAB!C22,'HARGA SATUAN'!$C$7:$C$1492,0),0))</f>
        <v>HDW</v>
      </c>
      <c r="E22" s="354" t="str">
        <f ca="1">IF(B22="+","Unit",IF(ISERROR(OFFSET('HARGA SATUAN'!$E$6,MATCH(RAB!C22,'HARGA SATUAN'!$C$7:$C$1492,0),0)),"",OFFSET('HARGA SATUAN'!$E$6,MATCH(RAB!C22,'HARGA SATUAN'!$C$7:$C$1492,0),0)))</f>
        <v>Bh</v>
      </c>
      <c r="F22" s="487">
        <f>F21*1</f>
        <v>8</v>
      </c>
      <c r="G22" s="355">
        <f ca="1">IF(ISERROR(OFFSET('HARGA SATUAN'!$I$6,MATCH(RAB!C22,'HARGA SATUAN'!$C$7:$C$1492,0),0)),0,OFFSET('HARGA SATUAN'!$I$6,MATCH(RAB!C22,'HARGA SATUAN'!$C$7:$C$1492,0),0))</f>
        <v>4212</v>
      </c>
      <c r="H22" s="356">
        <f t="shared" ca="1" si="12"/>
        <v>0</v>
      </c>
      <c r="I22" s="356">
        <f t="shared" ca="1" si="13"/>
        <v>33696</v>
      </c>
      <c r="J22" s="356">
        <f t="shared" ca="1" si="14"/>
        <v>0</v>
      </c>
      <c r="K22" s="357">
        <f t="shared" ca="1" si="15"/>
        <v>33696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501">
        <v>2</v>
      </c>
      <c r="C23" s="502" t="s">
        <v>266</v>
      </c>
      <c r="D23" s="353" t="str">
        <f ca="1">IF(ISERROR(OFFSET('HARGA SATUAN'!$D$6,MATCH(RAB!C23,'HARGA SATUAN'!$C$7:$C$1492,0),0)),"",OFFSET('HARGA SATUAN'!$D$6,MATCH(RAB!C23,'HARGA SATUAN'!$C$7:$C$1492,0),0))</f>
        <v>HDW</v>
      </c>
      <c r="E23" s="354" t="str">
        <f ca="1">IF(B23="+","Unit",IF(ISERROR(OFFSET('HARGA SATUAN'!$E$6,MATCH(RAB!C23,'HARGA SATUAN'!$C$7:$C$1492,0),0)),"",OFFSET('HARGA SATUAN'!$E$6,MATCH(RAB!C23,'HARGA SATUAN'!$C$7:$C$1492,0),0)))</f>
        <v>Mtr</v>
      </c>
      <c r="F23" s="487">
        <f>F21*1</f>
        <v>8</v>
      </c>
      <c r="G23" s="355">
        <f ca="1">IF(ISERROR(OFFSET('HARGA SATUAN'!$I$6,MATCH(RAB!C23,'HARGA SATUAN'!$C$7:$C$1492,0),0)),0,OFFSET('HARGA SATUAN'!$I$6,MATCH(RAB!C23,'HARGA SATUAN'!$C$7:$C$1492,0),0))</f>
        <v>23310</v>
      </c>
      <c r="H23" s="356">
        <f t="shared" ca="1" si="12"/>
        <v>0</v>
      </c>
      <c r="I23" s="356">
        <f t="shared" ca="1" si="13"/>
        <v>186480</v>
      </c>
      <c r="J23" s="356">
        <f t="shared" ca="1" si="14"/>
        <v>0</v>
      </c>
      <c r="K23" s="357">
        <f t="shared" ca="1" si="15"/>
        <v>186480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501">
        <v>3</v>
      </c>
      <c r="C24" s="502" t="s">
        <v>35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Bh</v>
      </c>
      <c r="F24" s="487">
        <f>F21*1</f>
        <v>8</v>
      </c>
      <c r="G24" s="355">
        <f ca="1">IF(ISERROR(OFFSET('HARGA SATUAN'!$I$6,MATCH(RAB!C24,'HARGA SATUAN'!$C$7:$C$1492,0),0)),0,OFFSET('HARGA SATUAN'!$I$6,MATCH(RAB!C24,'HARGA SATUAN'!$C$7:$C$1492,0),0))</f>
        <v>2300</v>
      </c>
      <c r="H24" s="356">
        <f t="shared" ca="1" si="12"/>
        <v>0</v>
      </c>
      <c r="I24" s="356">
        <f t="shared" ca="1" si="13"/>
        <v>18400</v>
      </c>
      <c r="J24" s="356">
        <f t="shared" ca="1" si="14"/>
        <v>0</v>
      </c>
      <c r="K24" s="357">
        <f t="shared" ca="1" si="15"/>
        <v>18400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501">
        <v>4</v>
      </c>
      <c r="C25" s="502" t="s">
        <v>609</v>
      </c>
      <c r="D25" s="353" t="str">
        <f ca="1">IF(ISERROR(OFFSET('HARGA SATUAN'!$D$6,MATCH(RAB!C25,'HARGA SATUAN'!$C$7:$C$1492,0),0)),"",OFFSET('HARGA SATUAN'!$D$6,MATCH(RAB!C25,'HARGA SATUAN'!$C$7:$C$1492,0),0))</f>
        <v>HDW</v>
      </c>
      <c r="E25" s="354" t="str">
        <f ca="1">IF(B25="+","Unit",IF(ISERROR(OFFSET('HARGA SATUAN'!$E$6,MATCH(RAB!C25,'HARGA SATUAN'!$C$7:$C$1492,0),0)),"",OFFSET('HARGA SATUAN'!$E$6,MATCH(RAB!C25,'HARGA SATUAN'!$C$7:$C$1492,0),0)))</f>
        <v>Bh</v>
      </c>
      <c r="F25" s="487">
        <f>F21*1</f>
        <v>8</v>
      </c>
      <c r="G25" s="355">
        <f ca="1">IF(ISERROR(OFFSET('HARGA SATUAN'!$I$6,MATCH(RAB!C25,'HARGA SATUAN'!$C$7:$C$1492,0),0)),0,OFFSET('HARGA SATUAN'!$I$6,MATCH(RAB!C25,'HARGA SATUAN'!$C$7:$C$1492,0),0))</f>
        <v>71000</v>
      </c>
      <c r="H25" s="356">
        <f t="shared" ca="1" si="12"/>
        <v>0</v>
      </c>
      <c r="I25" s="356">
        <f t="shared" ca="1" si="13"/>
        <v>568000</v>
      </c>
      <c r="J25" s="356">
        <f t="shared" ca="1" si="14"/>
        <v>0</v>
      </c>
      <c r="K25" s="357">
        <f t="shared" ca="1" si="15"/>
        <v>568000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501">
        <v>5</v>
      </c>
      <c r="C26" s="502" t="s">
        <v>629</v>
      </c>
      <c r="D26" s="353" t="str">
        <f ca="1">IF(ISERROR(OFFSET('HARGA SATUAN'!$D$6,MATCH(RAB!C26,'HARGA SATUAN'!$C$7:$C$1492,0),0)),"",OFFSET('HARGA SATUAN'!$D$6,MATCH(RAB!C26,'HARGA SATUAN'!$C$7:$C$1492,0),0))</f>
        <v>JASA</v>
      </c>
      <c r="E26" s="354" t="str">
        <f ca="1">IF(B26="+","Unit",IF(ISERROR(OFFSET('HARGA SATUAN'!$E$6,MATCH(RAB!C26,'HARGA SATUAN'!$C$7:$C$1492,0),0)),"",OFFSET('HARGA SATUAN'!$E$6,MATCH(RAB!C26,'HARGA SATUAN'!$C$7:$C$1492,0),0)))</f>
        <v>Unit</v>
      </c>
      <c r="F26" s="487">
        <f>F21*1</f>
        <v>8</v>
      </c>
      <c r="G26" s="355">
        <f ca="1">IF(ISERROR(OFFSET('HARGA SATUAN'!$I$6,MATCH(RAB!C26,'HARGA SATUAN'!$C$7:$C$1492,0),0)),0,OFFSET('HARGA SATUAN'!$I$6,MATCH(RAB!C26,'HARGA SATUAN'!$C$7:$C$1492,0),0))</f>
        <v>29400</v>
      </c>
      <c r="H26" s="356">
        <f t="shared" ca="1" si="12"/>
        <v>0</v>
      </c>
      <c r="I26" s="356">
        <f t="shared" ca="1" si="13"/>
        <v>0</v>
      </c>
      <c r="J26" s="356">
        <f t="shared" ca="1" si="14"/>
        <v>235200</v>
      </c>
      <c r="K26" s="357">
        <f t="shared" ca="1" si="15"/>
        <v>235200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84"/>
      <c r="C27" s="485"/>
      <c r="D27" s="353" t="str">
        <f ca="1">IF(ISERROR(OFFSET('HARGA SATUAN'!$D$6,MATCH(RAB!C27,'HARGA SATUAN'!$C$7:$C$1492,0),0)),"",OFFSET('HARGA SATUAN'!$D$6,MATCH(RAB!C27,'HARGA SATUAN'!$C$7:$C$1492,0),0))</f>
        <v/>
      </c>
      <c r="E27" s="354" t="str">
        <f ca="1">IF(B27="+","Unit",IF(ISERROR(OFFSET('HARGA SATUAN'!$E$6,MATCH(RAB!C27,'HARGA SATUAN'!$C$7:$C$1492,0),0)),"",OFFSET('HARGA SATUAN'!$E$6,MATCH(RAB!C27,'HARGA SATUAN'!$C$7:$C$1492,0),0)))</f>
        <v/>
      </c>
      <c r="F27" s="361"/>
      <c r="G27" s="355">
        <f ca="1">IF(ISERROR(OFFSET('HARGA SATUAN'!$I$6,MATCH(RAB!C27,'HARGA SATUAN'!$C$7:$C$1492,0),0)),0,OFFSET('HARGA SATUAN'!$I$6,MATCH(RAB!C27,'HARGA SATUAN'!$C$7:$C$1492,0),0))</f>
        <v>0</v>
      </c>
      <c r="H27" s="356">
        <f t="shared" ca="1" si="12"/>
        <v>0</v>
      </c>
      <c r="I27" s="356">
        <f t="shared" ca="1" si="13"/>
        <v>0</v>
      </c>
      <c r="J27" s="356">
        <f t="shared" ca="1" si="14"/>
        <v>0</v>
      </c>
      <c r="K27" s="357">
        <f t="shared" ca="1" si="15"/>
        <v>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501" t="s">
        <v>1035</v>
      </c>
      <c r="C28" s="502" t="s">
        <v>1609</v>
      </c>
      <c r="D28" s="353" t="str">
        <f ca="1">IF(ISERROR(OFFSET('HARGA SATUAN'!$D$6,MATCH(RAB!C28,'HARGA SATUAN'!$C$7:$C$1492,0),0)),"",OFFSET('HARGA SATUAN'!$D$6,MATCH(RAB!C28,'HARGA SATUAN'!$C$7:$C$1492,0),0))</f>
        <v/>
      </c>
      <c r="E28" s="354" t="str">
        <f ca="1">IF(B28="+","Unit",IF(ISERROR(OFFSET('HARGA SATUAN'!$E$6,MATCH(RAB!C28,'HARGA SATUAN'!$C$7:$C$1492,0),0)),"",OFFSET('HARGA SATUAN'!$E$6,MATCH(RAB!C28,'HARGA SATUAN'!$C$7:$C$1492,0),0)))</f>
        <v>Unit</v>
      </c>
      <c r="F28" s="487">
        <v>2</v>
      </c>
      <c r="G28" s="355">
        <f ca="1">IF(ISERROR(OFFSET('HARGA SATUAN'!$I$6,MATCH(RAB!C28,'HARGA SATUAN'!$C$7:$C$1492,0),0)),0,OFFSET('HARGA SATUAN'!$I$6,MATCH(RAB!C28,'HARGA SATUAN'!$C$7:$C$1492,0),0))</f>
        <v>0</v>
      </c>
      <c r="H28" s="356">
        <f t="shared" ca="1" si="8"/>
        <v>0</v>
      </c>
      <c r="I28" s="356">
        <f t="shared" ca="1" si="9"/>
        <v>0</v>
      </c>
      <c r="J28" s="356">
        <f t="shared" ca="1" si="10"/>
        <v>0</v>
      </c>
      <c r="K28" s="357">
        <f t="shared" ca="1" si="11"/>
        <v>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501">
        <v>1</v>
      </c>
      <c r="C29" s="502" t="s">
        <v>595</v>
      </c>
      <c r="D29" s="353" t="str">
        <f ca="1">IF(ISERROR(OFFSET('HARGA SATUAN'!$D$6,MATCH(RAB!C29,'HARGA SATUAN'!$C$7:$C$1492,0),0)),"",OFFSET('HARGA SATUAN'!$D$6,MATCH(RAB!C29,'HARGA SATUAN'!$C$7:$C$1492,0),0))</f>
        <v>HDW</v>
      </c>
      <c r="E29" s="354" t="str">
        <f ca="1">IF(B29="+","Unit",IF(ISERROR(OFFSET('HARGA SATUAN'!$E$6,MATCH(RAB!C29,'HARGA SATUAN'!$C$7:$C$1492,0),0)),"",OFFSET('HARGA SATUAN'!$E$6,MATCH(RAB!C29,'HARGA SATUAN'!$C$7:$C$1492,0),0)))</f>
        <v>Bh</v>
      </c>
      <c r="F29" s="487">
        <f>F28</f>
        <v>2</v>
      </c>
      <c r="G29" s="355">
        <f ca="1">IF(ISERROR(OFFSET('HARGA SATUAN'!$I$6,MATCH(RAB!C29,'HARGA SATUAN'!$C$7:$C$1492,0),0)),0,OFFSET('HARGA SATUAN'!$I$6,MATCH(RAB!C29,'HARGA SATUAN'!$C$7:$C$1492,0),0))</f>
        <v>78500</v>
      </c>
      <c r="H29" s="356">
        <f t="shared" ca="1" si="8"/>
        <v>0</v>
      </c>
      <c r="I29" s="356">
        <f t="shared" ca="1" si="9"/>
        <v>157000</v>
      </c>
      <c r="J29" s="356">
        <f t="shared" ca="1" si="10"/>
        <v>0</v>
      </c>
      <c r="K29" s="357">
        <f t="shared" ca="1" si="11"/>
        <v>157000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501">
        <v>2</v>
      </c>
      <c r="C30" s="502" t="s">
        <v>229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87">
        <f t="shared" ref="F30:F33" si="16">F29</f>
        <v>2</v>
      </c>
      <c r="G30" s="355">
        <f ca="1">IF(ISERROR(OFFSET('HARGA SATUAN'!$I$6,MATCH(RAB!C30,'HARGA SATUAN'!$C$7:$C$1492,0),0)),0,OFFSET('HARGA SATUAN'!$I$6,MATCH(RAB!C30,'HARGA SATUAN'!$C$7:$C$1492,0),0))</f>
        <v>4212</v>
      </c>
      <c r="H30" s="356">
        <f t="shared" ca="1" si="8"/>
        <v>0</v>
      </c>
      <c r="I30" s="356">
        <f t="shared" ca="1" si="9"/>
        <v>8424</v>
      </c>
      <c r="J30" s="356">
        <f t="shared" ca="1" si="10"/>
        <v>0</v>
      </c>
      <c r="K30" s="357">
        <f t="shared" ca="1" si="11"/>
        <v>8424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501">
        <v>3</v>
      </c>
      <c r="C31" s="502" t="s">
        <v>266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Mtr</v>
      </c>
      <c r="F31" s="487">
        <f t="shared" si="16"/>
        <v>2</v>
      </c>
      <c r="G31" s="355">
        <f ca="1">IF(ISERROR(OFFSET('HARGA SATUAN'!$I$6,MATCH(RAB!C31,'HARGA SATUAN'!$C$7:$C$1492,0),0)),0,OFFSET('HARGA SATUAN'!$I$6,MATCH(RAB!C31,'HARGA SATUAN'!$C$7:$C$1492,0),0))</f>
        <v>23310</v>
      </c>
      <c r="H31" s="356">
        <f t="shared" ca="1" si="8"/>
        <v>0</v>
      </c>
      <c r="I31" s="356">
        <f t="shared" ca="1" si="9"/>
        <v>46620</v>
      </c>
      <c r="J31" s="356">
        <f t="shared" ca="1" si="10"/>
        <v>0</v>
      </c>
      <c r="K31" s="357">
        <f t="shared" ca="1" si="11"/>
        <v>46620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501">
        <v>4</v>
      </c>
      <c r="C32" s="502" t="s">
        <v>35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Bh</v>
      </c>
      <c r="F32" s="487">
        <f t="shared" si="16"/>
        <v>2</v>
      </c>
      <c r="G32" s="355">
        <f ca="1">IF(ISERROR(OFFSET('HARGA SATUAN'!$I$6,MATCH(RAB!C32,'HARGA SATUAN'!$C$7:$C$1492,0),0)),0,OFFSET('HARGA SATUAN'!$I$6,MATCH(RAB!C32,'HARGA SATUAN'!$C$7:$C$1492,0),0))</f>
        <v>2300</v>
      </c>
      <c r="H32" s="356">
        <f t="shared" ca="1" si="8"/>
        <v>0</v>
      </c>
      <c r="I32" s="356">
        <f t="shared" ca="1" si="9"/>
        <v>4600</v>
      </c>
      <c r="J32" s="356">
        <f t="shared" ca="1" si="10"/>
        <v>0</v>
      </c>
      <c r="K32" s="357">
        <f t="shared" ca="1" si="11"/>
        <v>4600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501">
        <v>5</v>
      </c>
      <c r="C33" s="502" t="s">
        <v>630</v>
      </c>
      <c r="D33" s="353" t="str">
        <f ca="1">IF(ISERROR(OFFSET('HARGA SATUAN'!$D$6,MATCH(RAB!C33,'HARGA SATUAN'!$C$7:$C$1492,0),0)),"",OFFSET('HARGA SATUAN'!$D$6,MATCH(RAB!C33,'HARGA SATUAN'!$C$7:$C$1492,0),0))</f>
        <v>JASA</v>
      </c>
      <c r="E33" s="354" t="str">
        <f ca="1">IF(B33="+","Unit",IF(ISERROR(OFFSET('HARGA SATUAN'!$E$6,MATCH(RAB!C33,'HARGA SATUAN'!$C$7:$C$1492,0),0)),"",OFFSET('HARGA SATUAN'!$E$6,MATCH(RAB!C33,'HARGA SATUAN'!$C$7:$C$1492,0),0)))</f>
        <v>Unit</v>
      </c>
      <c r="F33" s="487">
        <f t="shared" si="16"/>
        <v>2</v>
      </c>
      <c r="G33" s="355">
        <f ca="1">IF(ISERROR(OFFSET('HARGA SATUAN'!$I$6,MATCH(RAB!C33,'HARGA SATUAN'!$C$7:$C$1492,0),0)),0,OFFSET('HARGA SATUAN'!$I$6,MATCH(RAB!C33,'HARGA SATUAN'!$C$7:$C$1492,0),0))</f>
        <v>35700</v>
      </c>
      <c r="H33" s="356">
        <f t="shared" ca="1" si="8"/>
        <v>0</v>
      </c>
      <c r="I33" s="356">
        <f t="shared" ca="1" si="9"/>
        <v>0</v>
      </c>
      <c r="J33" s="356">
        <f t="shared" ca="1" si="10"/>
        <v>71400</v>
      </c>
      <c r="K33" s="357">
        <f t="shared" ca="1" si="11"/>
        <v>71400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84"/>
      <c r="C34" s="485"/>
      <c r="D34" s="353" t="str">
        <f ca="1">IF(ISERROR(OFFSET('HARGA SATUAN'!$D$6,MATCH(RAB!C34,'HARGA SATUAN'!$C$7:$C$1492,0),0)),"",OFFSET('HARGA SATUAN'!$D$6,MATCH(RAB!C34,'HARGA SATUAN'!$C$7:$C$1492,0),0))</f>
        <v/>
      </c>
      <c r="E34" s="354" t="str">
        <f ca="1">IF(B34="+","Unit",IF(ISERROR(OFFSET('HARGA SATUAN'!$E$6,MATCH(RAB!C34,'HARGA SATUAN'!$C$7:$C$1492,0),0)),"",OFFSET('HARGA SATUAN'!$E$6,MATCH(RAB!C34,'HARGA SATUAN'!$C$7:$C$1492,0),0)))</f>
        <v/>
      </c>
      <c r="F34" s="487"/>
      <c r="G34" s="355">
        <f ca="1">IF(ISERROR(OFFSET('HARGA SATUAN'!$I$6,MATCH(RAB!C34,'HARGA SATUAN'!$C$7:$C$1492,0),0)),0,OFFSET('HARGA SATUAN'!$I$6,MATCH(RAB!C34,'HARGA SATUAN'!$C$7:$C$1492,0),0))</f>
        <v>0</v>
      </c>
      <c r="H34" s="356">
        <f t="shared" ref="H34:H37" ca="1" si="17">IF(OR(D34="MDU",D34="MDU-KD"),(IF($O$3="RAB NON MDU","PLN KD",G34*F34)),0)</f>
        <v>0</v>
      </c>
      <c r="I34" s="356">
        <f t="shared" ref="I34:I37" ca="1" si="18">IF(D34="HDW",G34*F34,0)</f>
        <v>0</v>
      </c>
      <c r="J34" s="356">
        <f t="shared" ref="J34:J37" ca="1" si="19">IF(D34="JASA",G34*F34,0)</f>
        <v>0</v>
      </c>
      <c r="K34" s="357">
        <f t="shared" ref="K34:K37" ca="1" si="20">SUM(H34:J34)</f>
        <v>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508" t="s">
        <v>1035</v>
      </c>
      <c r="C35" s="509" t="s">
        <v>1634</v>
      </c>
      <c r="D35" s="353" t="str">
        <f ca="1">IF(ISERROR(OFFSET('HARGA SATUAN'!$D$6,MATCH(RAB!C35,'HARGA SATUAN'!$C$7:$C$1492,0),0)),"",OFFSET('HARGA SATUAN'!$D$6,MATCH(RAB!C35,'HARGA SATUAN'!$C$7:$C$1492,0),0))</f>
        <v/>
      </c>
      <c r="E35" s="354" t="str">
        <f ca="1">IF(B35="+","Unit",IF(ISERROR(OFFSET('HARGA SATUAN'!$E$6,MATCH(RAB!C35,'HARGA SATUAN'!$C$7:$C$1492,0),0)),"",OFFSET('HARGA SATUAN'!$E$6,MATCH(RAB!C35,'HARGA SATUAN'!$C$7:$C$1492,0),0)))</f>
        <v>Unit</v>
      </c>
      <c r="F35" s="487">
        <v>1</v>
      </c>
      <c r="G35" s="355">
        <f ca="1">IF(ISERROR(OFFSET('HARGA SATUAN'!$I$6,MATCH(RAB!C35,'HARGA SATUAN'!$C$7:$C$1492,0),0)),0,OFFSET('HARGA SATUAN'!$I$6,MATCH(RAB!C35,'HARGA SATUAN'!$C$7:$C$1492,0),0))</f>
        <v>0</v>
      </c>
      <c r="H35" s="356">
        <f t="shared" ca="1" si="17"/>
        <v>0</v>
      </c>
      <c r="I35" s="356">
        <f t="shared" ca="1" si="18"/>
        <v>0</v>
      </c>
      <c r="J35" s="356">
        <f t="shared" ca="1" si="19"/>
        <v>0</v>
      </c>
      <c r="K35" s="357">
        <f t="shared" ca="1" si="20"/>
        <v>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508">
        <v>1</v>
      </c>
      <c r="C36" s="509" t="s">
        <v>598</v>
      </c>
      <c r="D36" s="353" t="str">
        <f ca="1">IF(ISERROR(OFFSET('HARGA SATUAN'!$D$6,MATCH(RAB!C36,'HARGA SATUAN'!$C$7:$C$1492,0),0)),"",OFFSET('HARGA SATUAN'!$D$6,MATCH(RAB!C36,'HARGA SATUAN'!$C$7:$C$1492,0),0))</f>
        <v>HDW</v>
      </c>
      <c r="E36" s="354" t="str">
        <f ca="1">IF(B36="+","Unit",IF(ISERROR(OFFSET('HARGA SATUAN'!$E$6,MATCH(RAB!C36,'HARGA SATUAN'!$C$7:$C$1492,0),0)),"",OFFSET('HARGA SATUAN'!$E$6,MATCH(RAB!C36,'HARGA SATUAN'!$C$7:$C$1492,0),0)))</f>
        <v>Bh</v>
      </c>
      <c r="F36" s="487">
        <f>F35*1</f>
        <v>1</v>
      </c>
      <c r="G36" s="355">
        <f ca="1">IF(ISERROR(OFFSET('HARGA SATUAN'!$I$6,MATCH(RAB!C36,'HARGA SATUAN'!$C$7:$C$1492,0),0)),0,OFFSET('HARGA SATUAN'!$I$6,MATCH(RAB!C36,'HARGA SATUAN'!$C$7:$C$1492,0),0))</f>
        <v>3965</v>
      </c>
      <c r="H36" s="356">
        <f t="shared" ca="1" si="17"/>
        <v>0</v>
      </c>
      <c r="I36" s="356">
        <f t="shared" ca="1" si="18"/>
        <v>3965</v>
      </c>
      <c r="J36" s="356">
        <f t="shared" ca="1" si="19"/>
        <v>0</v>
      </c>
      <c r="K36" s="357">
        <f t="shared" ca="1" si="20"/>
        <v>3965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508">
        <v>2</v>
      </c>
      <c r="C37" s="509" t="s">
        <v>474</v>
      </c>
      <c r="D37" s="353" t="str">
        <f ca="1">IF(ISERROR(OFFSET('HARGA SATUAN'!$D$6,MATCH(RAB!C37,'HARGA SATUAN'!$C$7:$C$1492,0),0)),"",OFFSET('HARGA SATUAN'!$D$6,MATCH(RAB!C37,'HARGA SATUAN'!$C$7:$C$1492,0),0))</f>
        <v>HDW</v>
      </c>
      <c r="E37" s="354" t="str">
        <f ca="1">IF(B37="+","Unit",IF(ISERROR(OFFSET('HARGA SATUAN'!$E$6,MATCH(RAB!C37,'HARGA SATUAN'!$C$7:$C$1492,0),0)),"",OFFSET('HARGA SATUAN'!$E$6,MATCH(RAB!C37,'HARGA SATUAN'!$C$7:$C$1492,0),0)))</f>
        <v>Bh</v>
      </c>
      <c r="F37" s="487">
        <f>F35*1</f>
        <v>1</v>
      </c>
      <c r="G37" s="355">
        <f ca="1">IF(ISERROR(OFFSET('HARGA SATUAN'!$I$6,MATCH(RAB!C37,'HARGA SATUAN'!$C$7:$C$1492,0),0)),0,OFFSET('HARGA SATUAN'!$I$6,MATCH(RAB!C37,'HARGA SATUAN'!$C$7:$C$1492,0),0))</f>
        <v>3711.24</v>
      </c>
      <c r="H37" s="356">
        <f t="shared" ca="1" si="17"/>
        <v>0</v>
      </c>
      <c r="I37" s="356">
        <f t="shared" ca="1" si="18"/>
        <v>3711.24</v>
      </c>
      <c r="J37" s="356">
        <f t="shared" ca="1" si="19"/>
        <v>0</v>
      </c>
      <c r="K37" s="357">
        <f t="shared" ca="1" si="20"/>
        <v>3711.24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508">
        <v>3</v>
      </c>
      <c r="C38" s="509" t="s">
        <v>266</v>
      </c>
      <c r="D38" s="353" t="str">
        <f ca="1">IF(ISERROR(OFFSET('HARGA SATUAN'!$D$6,MATCH(RAB!C38,'HARGA SATUAN'!$C$7:$C$1492,0),0)),"",OFFSET('HARGA SATUAN'!$D$6,MATCH(RAB!C38,'HARGA SATUAN'!$C$7:$C$1492,0),0))</f>
        <v>HDW</v>
      </c>
      <c r="E38" s="354" t="str">
        <f ca="1">IF(B38="+","Unit",IF(ISERROR(OFFSET('HARGA SATUAN'!$E$6,MATCH(RAB!C38,'HARGA SATUAN'!$C$7:$C$1492,0),0)),"",OFFSET('HARGA SATUAN'!$E$6,MATCH(RAB!C38,'HARGA SATUAN'!$C$7:$C$1492,0),0)))</f>
        <v>Mtr</v>
      </c>
      <c r="F38" s="487">
        <f>F35*1</f>
        <v>1</v>
      </c>
      <c r="G38" s="355">
        <f ca="1">IF(ISERROR(OFFSET('HARGA SATUAN'!$I$6,MATCH(RAB!C38,'HARGA SATUAN'!$C$7:$C$1492,0),0)),0,OFFSET('HARGA SATUAN'!$I$6,MATCH(RAB!C38,'HARGA SATUAN'!$C$7:$C$1492,0),0))</f>
        <v>23310</v>
      </c>
      <c r="H38" s="356">
        <f t="shared" ca="1" si="8"/>
        <v>0</v>
      </c>
      <c r="I38" s="356">
        <f t="shared" ca="1" si="9"/>
        <v>23310</v>
      </c>
      <c r="J38" s="356">
        <f t="shared" ca="1" si="10"/>
        <v>0</v>
      </c>
      <c r="K38" s="357">
        <f t="shared" ca="1" si="11"/>
        <v>23310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508">
        <v>4</v>
      </c>
      <c r="C39" s="509" t="s">
        <v>35</v>
      </c>
      <c r="D39" s="353" t="str">
        <f ca="1">IF(ISERROR(OFFSET('HARGA SATUAN'!$D$6,MATCH(RAB!C39,'HARGA SATUAN'!$C$7:$C$1492,0),0)),"",OFFSET('HARGA SATUAN'!$D$6,MATCH(RAB!C39,'HARGA SATUAN'!$C$7:$C$1492,0),0))</f>
        <v>HDW</v>
      </c>
      <c r="E39" s="354" t="str">
        <f ca="1">IF(B39="+","Unit",IF(ISERROR(OFFSET('HARGA SATUAN'!$E$6,MATCH(RAB!C39,'HARGA SATUAN'!$C$7:$C$1492,0),0)),"",OFFSET('HARGA SATUAN'!$E$6,MATCH(RAB!C39,'HARGA SATUAN'!$C$7:$C$1492,0),0)))</f>
        <v>Bh</v>
      </c>
      <c r="F39" s="487">
        <f>F35*1</f>
        <v>1</v>
      </c>
      <c r="G39" s="355">
        <f ca="1">IF(ISERROR(OFFSET('HARGA SATUAN'!$I$6,MATCH(RAB!C39,'HARGA SATUAN'!$C$7:$C$1492,0),0)),0,OFFSET('HARGA SATUAN'!$I$6,MATCH(RAB!C39,'HARGA SATUAN'!$C$7:$C$1492,0),0))</f>
        <v>2300</v>
      </c>
      <c r="H39" s="356">
        <f t="shared" ref="H39" ca="1" si="21">IF(OR(D39="MDU",D39="MDU-KD"),(IF($O$3="RAB NON MDU","PLN KD",G39*F39)),0)</f>
        <v>0</v>
      </c>
      <c r="I39" s="356">
        <f t="shared" ref="I39" ca="1" si="22">IF(D39="HDW",G39*F39,0)</f>
        <v>2300</v>
      </c>
      <c r="J39" s="356">
        <f t="shared" ref="J39" ca="1" si="23">IF(D39="JASA",G39*F39,0)</f>
        <v>0</v>
      </c>
      <c r="K39" s="357">
        <f t="shared" ref="K39" ca="1" si="24">SUM(H39:J39)</f>
        <v>2300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508">
        <v>5</v>
      </c>
      <c r="C40" s="509" t="s">
        <v>632</v>
      </c>
      <c r="D40" s="353" t="str">
        <f ca="1">IF(ISERROR(OFFSET('HARGA SATUAN'!$D$6,MATCH(RAB!C40,'HARGA SATUAN'!$C$7:$C$1492,0),0)),"",OFFSET('HARGA SATUAN'!$D$6,MATCH(RAB!C40,'HARGA SATUAN'!$C$7:$C$1492,0),0))</f>
        <v>JASA</v>
      </c>
      <c r="E40" s="354" t="str">
        <f ca="1">IF(B40="+","Unit",IF(ISERROR(OFFSET('HARGA SATUAN'!$E$6,MATCH(RAB!C40,'HARGA SATUAN'!$C$7:$C$1492,0),0)),"",OFFSET('HARGA SATUAN'!$E$6,MATCH(RAB!C40,'HARGA SATUAN'!$C$7:$C$1492,0),0)))</f>
        <v>Unit</v>
      </c>
      <c r="F40" s="487">
        <f>F35*1</f>
        <v>1</v>
      </c>
      <c r="G40" s="355">
        <f ca="1">IF(ISERROR(OFFSET('HARGA SATUAN'!$I$6,MATCH(RAB!C40,'HARGA SATUAN'!$C$7:$C$1492,0),0)),0,OFFSET('HARGA SATUAN'!$I$6,MATCH(RAB!C40,'HARGA SATUAN'!$C$7:$C$1492,0),0))</f>
        <v>22700</v>
      </c>
      <c r="H40" s="356">
        <f t="shared" ref="H40" ca="1" si="25">IF(OR(D40="MDU",D40="MDU-KD"),(IF($O$3="RAB NON MDU","PLN KD",G40*F40)),0)</f>
        <v>0</v>
      </c>
      <c r="I40" s="356">
        <f t="shared" ref="I40" ca="1" si="26">IF(D40="HDW",G40*F40,0)</f>
        <v>0</v>
      </c>
      <c r="J40" s="356">
        <f t="shared" ref="J40" ca="1" si="27">IF(D40="JASA",G40*F40,0)</f>
        <v>22700</v>
      </c>
      <c r="K40" s="357">
        <f t="shared" ref="K40" ca="1" si="28">SUM(H40:J40)</f>
        <v>22700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84"/>
      <c r="C41" s="485"/>
      <c r="D41" s="353" t="str">
        <f ca="1">IF(ISERROR(OFFSET('HARGA SATUAN'!$D$6,MATCH(RAB!C41,'HARGA SATUAN'!$C$7:$C$1492,0),0)),"",OFFSET('HARGA SATUAN'!$D$6,MATCH(RAB!C41,'HARGA SATUAN'!$C$7:$C$1492,0),0))</f>
        <v/>
      </c>
      <c r="E41" s="354" t="str">
        <f ca="1">IF(B41="+","Unit",IF(ISERROR(OFFSET('HARGA SATUAN'!$E$6,MATCH(RAB!C41,'HARGA SATUAN'!$C$7:$C$1492,0),0)),"",OFFSET('HARGA SATUAN'!$E$6,MATCH(RAB!C41,'HARGA SATUAN'!$C$7:$C$1492,0),0)))</f>
        <v/>
      </c>
      <c r="F41" s="487"/>
      <c r="G41" s="355">
        <f ca="1">IF(ISERROR(OFFSET('HARGA SATUAN'!$I$6,MATCH(RAB!C41,'HARGA SATUAN'!$C$7:$C$1492,0),0)),0,OFFSET('HARGA SATUAN'!$I$6,MATCH(RAB!C41,'HARGA SATUAN'!$C$7:$C$1492,0),0))</f>
        <v>0</v>
      </c>
      <c r="H41" s="356">
        <f t="shared" ca="1" si="8"/>
        <v>0</v>
      </c>
      <c r="I41" s="356">
        <f t="shared" ca="1" si="9"/>
        <v>0</v>
      </c>
      <c r="J41" s="356">
        <f t="shared" ca="1" si="10"/>
        <v>0</v>
      </c>
      <c r="K41" s="357">
        <f t="shared" ca="1" si="11"/>
        <v>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484" t="s">
        <v>1035</v>
      </c>
      <c r="C42" s="505" t="s">
        <v>1610</v>
      </c>
      <c r="D42" s="353" t="str">
        <f ca="1">IF(ISERROR(OFFSET('HARGA SATUAN'!$D$6,MATCH(RAB!C42,'HARGA SATUAN'!$C$7:$C$1492,0),0)),"",OFFSET('HARGA SATUAN'!$D$6,MATCH(RAB!C42,'HARGA SATUAN'!$C$7:$C$1492,0),0))</f>
        <v/>
      </c>
      <c r="E42" s="354" t="str">
        <f ca="1">IF(B42="+","Unit",IF(ISERROR(OFFSET('HARGA SATUAN'!$E$6,MATCH(RAB!C42,'HARGA SATUAN'!$C$7:$C$1492,0),0)),"",OFFSET('HARGA SATUAN'!$E$6,MATCH(RAB!C42,'HARGA SATUAN'!$C$7:$C$1492,0),0)))</f>
        <v>Unit</v>
      </c>
      <c r="F42" s="504"/>
      <c r="G42" s="355">
        <f ca="1">IF(ISERROR(OFFSET('HARGA SATUAN'!$I$6,MATCH(RAB!C42,'HARGA SATUAN'!$C$7:$C$1492,0),0)),0,OFFSET('HARGA SATUAN'!$I$6,MATCH(RAB!C42,'HARGA SATUAN'!$C$7:$C$1492,0),0))</f>
        <v>0</v>
      </c>
      <c r="H42" s="356">
        <f t="shared" ca="1" si="8"/>
        <v>0</v>
      </c>
      <c r="I42" s="356">
        <f t="shared" ca="1" si="9"/>
        <v>0</v>
      </c>
      <c r="J42" s="356">
        <f t="shared" ca="1" si="10"/>
        <v>0</v>
      </c>
      <c r="K42" s="357">
        <f t="shared" ca="1" si="11"/>
        <v>0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484">
        <v>1</v>
      </c>
      <c r="C43" s="109" t="s">
        <v>1402</v>
      </c>
      <c r="D43" s="353" t="str">
        <f ca="1">IF(ISERROR(OFFSET('HARGA SATUAN'!$D$6,MATCH(RAB!C43,'HARGA SATUAN'!$C$7:$C$1492,0),0)),"",OFFSET('HARGA SATUAN'!$D$6,MATCH(RAB!C43,'HARGA SATUAN'!$C$7:$C$1492,0),0))</f>
        <v>MDU-KD</v>
      </c>
      <c r="E43" s="354" t="str">
        <f ca="1">IF(B43="+","Unit",IF(ISERROR(OFFSET('HARGA SATUAN'!$E$6,MATCH(RAB!C43,'HARGA SATUAN'!$C$7:$C$1492,0),0)),"",OFFSET('HARGA SATUAN'!$E$6,MATCH(RAB!C43,'HARGA SATUAN'!$C$7:$C$1492,0),0)))</f>
        <v>Mtr</v>
      </c>
      <c r="F43" s="504">
        <f>8*55</f>
        <v>440</v>
      </c>
      <c r="G43" s="355">
        <f ca="1">IF(ISERROR(OFFSET('HARGA SATUAN'!$I$6,MATCH(RAB!C43,'HARGA SATUAN'!$C$7:$C$1492,0),0)),0,OFFSET('HARGA SATUAN'!$I$6,MATCH(RAB!C43,'HARGA SATUAN'!$C$7:$C$1492,0),0))</f>
        <v>53300</v>
      </c>
      <c r="H43" s="356">
        <f t="shared" ca="1" si="8"/>
        <v>23452000</v>
      </c>
      <c r="I43" s="356">
        <f t="shared" ca="1" si="9"/>
        <v>0</v>
      </c>
      <c r="J43" s="356">
        <f t="shared" ca="1" si="10"/>
        <v>0</v>
      </c>
      <c r="K43" s="357">
        <f t="shared" ca="1" si="11"/>
        <v>23452000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484">
        <v>2</v>
      </c>
      <c r="C44" s="109" t="s">
        <v>347</v>
      </c>
      <c r="D44" s="353" t="str">
        <f ca="1">IF(ISERROR(OFFSET('HARGA SATUAN'!$D$6,MATCH(RAB!C44,'HARGA SATUAN'!$C$7:$C$1492,0),0)),"",OFFSET('HARGA SATUAN'!$D$6,MATCH(RAB!C44,'HARGA SATUAN'!$C$7:$C$1492,0),0))</f>
        <v>JASA</v>
      </c>
      <c r="E44" s="354" t="str">
        <f ca="1">IF(B44="+","Unit",IF(ISERROR(OFFSET('HARGA SATUAN'!$E$6,MATCH(RAB!C44,'HARGA SATUAN'!$C$7:$C$1492,0),0)),"",OFFSET('HARGA SATUAN'!$E$6,MATCH(RAB!C44,'HARGA SATUAN'!$C$7:$C$1492,0),0)))</f>
        <v>Per 50 m</v>
      </c>
      <c r="F44" s="504">
        <f>F43/50</f>
        <v>8.8000000000000007</v>
      </c>
      <c r="G44" s="355">
        <f ca="1">IF(ISERROR(OFFSET('HARGA SATUAN'!$I$6,MATCH(RAB!C44,'HARGA SATUAN'!$C$7:$C$1492,0),0)),0,OFFSET('HARGA SATUAN'!$I$6,MATCH(RAB!C44,'HARGA SATUAN'!$C$7:$C$1492,0),0))</f>
        <v>179000</v>
      </c>
      <c r="H44" s="356">
        <f t="shared" ca="1" si="8"/>
        <v>0</v>
      </c>
      <c r="I44" s="356">
        <f t="shared" ca="1" si="9"/>
        <v>0</v>
      </c>
      <c r="J44" s="356">
        <f t="shared" ca="1" si="10"/>
        <v>1575200.0000000002</v>
      </c>
      <c r="K44" s="357">
        <f t="shared" ca="1" si="11"/>
        <v>1575200.0000000002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489"/>
      <c r="C45" s="109"/>
      <c r="D45" s="353" t="str">
        <f ca="1">IF(ISERROR(OFFSET('HARGA SATUAN'!$D$6,MATCH(RAB!C45,'HARGA SATUAN'!$C$7:$C$1492,0),0)),"",OFFSET('HARGA SATUAN'!$D$6,MATCH(RAB!C45,'HARGA SATUAN'!$C$7:$C$1492,0),0))</f>
        <v/>
      </c>
      <c r="E45" s="354" t="str">
        <f ca="1">IF(B45="+","Unit",IF(ISERROR(OFFSET('HARGA SATUAN'!$E$6,MATCH(RAB!C45,'HARGA SATUAN'!$C$7:$C$1492,0),0)),"",OFFSET('HARGA SATUAN'!$E$6,MATCH(RAB!C45,'HARGA SATUAN'!$C$7:$C$1492,0),0)))</f>
        <v/>
      </c>
      <c r="F45" s="361"/>
      <c r="G45" s="355">
        <f ca="1">IF(ISERROR(OFFSET('HARGA SATUAN'!$I$6,MATCH(RAB!C45,'HARGA SATUAN'!$C$7:$C$1492,0),0)),0,OFFSET('HARGA SATUAN'!$I$6,MATCH(RAB!C45,'HARGA SATUAN'!$C$7:$C$1492,0),0))</f>
        <v>0</v>
      </c>
      <c r="H45" s="356">
        <f t="shared" ca="1" si="8"/>
        <v>0</v>
      </c>
      <c r="I45" s="356">
        <f t="shared" ca="1" si="9"/>
        <v>0</v>
      </c>
      <c r="J45" s="356">
        <f t="shared" ca="1" si="10"/>
        <v>0</v>
      </c>
      <c r="K45" s="357">
        <f t="shared" ca="1" si="11"/>
        <v>0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84" t="s">
        <v>526</v>
      </c>
      <c r="C46" s="485" t="s">
        <v>1607</v>
      </c>
      <c r="D46" s="353" t="str">
        <f ca="1">IF(ISERROR(OFFSET('HARGA SATUAN'!$D$6,MATCH(RAB!C46,'HARGA SATUAN'!$C$7:$C$1492,0),0)),"",OFFSET('HARGA SATUAN'!$D$6,MATCH(RAB!C46,'HARGA SATUAN'!$C$7:$C$1492,0),0))</f>
        <v/>
      </c>
      <c r="E46" s="354" t="str">
        <f ca="1">IF(B46="+","Unit",IF(ISERROR(OFFSET('HARGA SATUAN'!$E$6,MATCH(RAB!C46,'HARGA SATUAN'!$C$7:$C$1492,0),0)),"",OFFSET('HARGA SATUAN'!$E$6,MATCH(RAB!C46,'HARGA SATUAN'!$C$7:$C$1492,0),0)))</f>
        <v/>
      </c>
      <c r="F46" s="361"/>
      <c r="G46" s="355">
        <f ca="1">IF(ISERROR(OFFSET('HARGA SATUAN'!$I$6,MATCH(RAB!C46,'HARGA SATUAN'!$C$7:$C$1492,0),0)),0,OFFSET('HARGA SATUAN'!$I$6,MATCH(RAB!C46,'HARGA SATUAN'!$C$7:$C$1492,0),0))</f>
        <v>0</v>
      </c>
      <c r="H46" s="356">
        <f t="shared" ca="1" si="8"/>
        <v>0</v>
      </c>
      <c r="I46" s="356">
        <f t="shared" ca="1" si="9"/>
        <v>0</v>
      </c>
      <c r="J46" s="356">
        <f t="shared" ca="1" si="10"/>
        <v>0</v>
      </c>
      <c r="K46" s="357">
        <f t="shared" ca="1" si="11"/>
        <v>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84"/>
      <c r="C47" s="485"/>
      <c r="D47" s="353" t="str">
        <f ca="1">IF(ISERROR(OFFSET('HARGA SATUAN'!$D$6,MATCH(RAB!C47,'HARGA SATUAN'!$C$7:$C$1492,0),0)),"",OFFSET('HARGA SATUAN'!$D$6,MATCH(RAB!C47,'HARGA SATUAN'!$C$7:$C$1492,0),0))</f>
        <v/>
      </c>
      <c r="E47" s="354" t="str">
        <f ca="1">IF(B47="+","Unit",IF(ISERROR(OFFSET('HARGA SATUAN'!$E$6,MATCH(RAB!C47,'HARGA SATUAN'!$C$7:$C$1492,0),0)),"",OFFSET('HARGA SATUAN'!$E$6,MATCH(RAB!C47,'HARGA SATUAN'!$C$7:$C$1492,0),0)))</f>
        <v/>
      </c>
      <c r="F47" s="361"/>
      <c r="G47" s="355">
        <f ca="1">IF(ISERROR(OFFSET('HARGA SATUAN'!$I$6,MATCH(RAB!C47,'HARGA SATUAN'!$C$7:$C$1492,0),0)),0,OFFSET('HARGA SATUAN'!$I$6,MATCH(RAB!C47,'HARGA SATUAN'!$C$7:$C$1492,0),0))</f>
        <v>0</v>
      </c>
      <c r="H47" s="356">
        <f t="shared" ca="1" si="8"/>
        <v>0</v>
      </c>
      <c r="I47" s="356">
        <f t="shared" ca="1" si="9"/>
        <v>0</v>
      </c>
      <c r="J47" s="356">
        <f t="shared" ca="1" si="10"/>
        <v>0</v>
      </c>
      <c r="K47" s="357">
        <f t="shared" ca="1" si="11"/>
        <v>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93" t="s">
        <v>1035</v>
      </c>
      <c r="C48" s="494" t="s">
        <v>1631</v>
      </c>
      <c r="D48" s="353" t="str">
        <f ca="1">IF(ISERROR(OFFSET('HARGA SATUAN'!$D$6,MATCH(RAB!C48,'HARGA SATUAN'!$C$7:$C$1492,0),0)),"",OFFSET('HARGA SATUAN'!$D$6,MATCH(RAB!C48,'HARGA SATUAN'!$C$7:$C$1492,0),0))</f>
        <v/>
      </c>
      <c r="E48" s="354" t="str">
        <f ca="1">IF(B48="+","Unit",IF(ISERROR(OFFSET('HARGA SATUAN'!$E$6,MATCH(RAB!C48,'HARGA SATUAN'!$C$7:$C$1492,0),0)),"",OFFSET('HARGA SATUAN'!$E$6,MATCH(RAB!C48,'HARGA SATUAN'!$C$7:$C$1492,0),0)))</f>
        <v>Unit</v>
      </c>
      <c r="F48" s="487">
        <v>1</v>
      </c>
      <c r="G48" s="355">
        <f ca="1">IF(ISERROR(OFFSET('HARGA SATUAN'!$I$6,MATCH(RAB!C48,'HARGA SATUAN'!$C$7:$C$1492,0),0)),0,OFFSET('HARGA SATUAN'!$I$6,MATCH(RAB!C48,'HARGA SATUAN'!$C$7:$C$1492,0),0))</f>
        <v>0</v>
      </c>
      <c r="H48" s="356">
        <f t="shared" ref="H48:H64" ca="1" si="29">IF(OR(D48="MDU",D48="MDU-KD"),(IF($O$3="RAB NON MDU","PLN KD",G48*F48)),0)</f>
        <v>0</v>
      </c>
      <c r="I48" s="356">
        <f t="shared" ref="I48:I64" ca="1" si="30">IF(D48="HDW",G48*F48,0)</f>
        <v>0</v>
      </c>
      <c r="J48" s="356">
        <f t="shared" ref="J48:J64" ca="1" si="31">IF(D48="JASA",G48*F48,0)</f>
        <v>0</v>
      </c>
      <c r="K48" s="357">
        <f t="shared" ref="K48:K64" ca="1" si="32">SUM(H48:J48)</f>
        <v>0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93">
        <v>1</v>
      </c>
      <c r="C49" s="109" t="s">
        <v>532</v>
      </c>
      <c r="D49" s="353" t="str">
        <f ca="1">IF(ISERROR(OFFSET('HARGA SATUAN'!$D$6,MATCH(RAB!C49,'HARGA SATUAN'!$C$7:$C$1492,0),0)),"",OFFSET('HARGA SATUAN'!$D$6,MATCH(RAB!C49,'HARGA SATUAN'!$C$7:$C$1492,0),0))</f>
        <v>MDU-KD</v>
      </c>
      <c r="E49" s="354" t="str">
        <f ca="1">IF(B49="+","Unit",IF(ISERROR(OFFSET('HARGA SATUAN'!$E$6,MATCH(RAB!C49,'HARGA SATUAN'!$C$7:$C$1492,0),0)),"",OFFSET('HARGA SATUAN'!$E$6,MATCH(RAB!C49,'HARGA SATUAN'!$C$7:$C$1492,0),0)))</f>
        <v>Bh</v>
      </c>
      <c r="F49" s="487">
        <f>F48*1</f>
        <v>1</v>
      </c>
      <c r="G49" s="355">
        <f ca="1">IF(ISERROR(OFFSET('HARGA SATUAN'!$I$6,MATCH(RAB!C49,'HARGA SATUAN'!$C$7:$C$1492,0),0)),0,OFFSET('HARGA SATUAN'!$I$6,MATCH(RAB!C49,'HARGA SATUAN'!$C$7:$C$1492,0),0))</f>
        <v>27845400</v>
      </c>
      <c r="H49" s="356">
        <f t="shared" ca="1" si="29"/>
        <v>27845400</v>
      </c>
      <c r="I49" s="356">
        <f t="shared" ca="1" si="30"/>
        <v>0</v>
      </c>
      <c r="J49" s="356">
        <f t="shared" ca="1" si="31"/>
        <v>0</v>
      </c>
      <c r="K49" s="357">
        <f t="shared" ca="1" si="32"/>
        <v>27845400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3" customFormat="1">
      <c r="A50" s="333"/>
      <c r="B50" s="495">
        <v>2</v>
      </c>
      <c r="C50" s="496" t="s">
        <v>1611</v>
      </c>
      <c r="D50" s="353" t="str">
        <f ca="1">IF(ISERROR(OFFSET('HARGA SATUAN'!$D$6,MATCH(RAB!C50,'HARGA SATUAN'!$C$7:$C$1492,0),0)),"",OFFSET('HARGA SATUAN'!$D$6,MATCH(RAB!C50,'HARGA SATUAN'!$C$7:$C$1492,0),0))</f>
        <v/>
      </c>
      <c r="E50" s="354" t="str">
        <f ca="1">IF(B50="+","Unit",IF(ISERROR(OFFSET('HARGA SATUAN'!$E$6,MATCH(RAB!C50,'HARGA SATUAN'!$C$7:$C$1492,0),0)),"",OFFSET('HARGA SATUAN'!$E$6,MATCH(RAB!C50,'HARGA SATUAN'!$C$7:$C$1492,0),0)))</f>
        <v/>
      </c>
      <c r="F50" s="497"/>
      <c r="G50" s="355">
        <f ca="1">IF(ISERROR(OFFSET('HARGA SATUAN'!$I$6,MATCH(RAB!C50,'HARGA SATUAN'!$C$7:$C$1492,0),0)),0,OFFSET('HARGA SATUAN'!$I$6,MATCH(RAB!C50,'HARGA SATUAN'!$C$7:$C$1492,0),0))</f>
        <v>0</v>
      </c>
      <c r="H50" s="356">
        <f t="shared" ca="1" si="29"/>
        <v>0</v>
      </c>
      <c r="I50" s="356">
        <f t="shared" ca="1" si="30"/>
        <v>0</v>
      </c>
      <c r="J50" s="356">
        <f t="shared" ca="1" si="31"/>
        <v>0</v>
      </c>
      <c r="K50" s="357">
        <f t="shared" ca="1" si="32"/>
        <v>0</v>
      </c>
      <c r="L50" s="362"/>
      <c r="M50" s="362"/>
      <c r="N50" s="362"/>
      <c r="O50" s="358"/>
      <c r="P50" s="358"/>
      <c r="Q50" s="341"/>
      <c r="R50" s="333"/>
      <c r="S50" s="359"/>
      <c r="T50" s="338"/>
      <c r="U50" s="338"/>
      <c r="V50" s="338"/>
    </row>
    <row r="51" spans="1:22" s="363" customFormat="1">
      <c r="A51" s="333"/>
      <c r="B51" s="493"/>
      <c r="C51" s="496" t="s">
        <v>65</v>
      </c>
      <c r="D51" s="353" t="str">
        <f ca="1">IF(ISERROR(OFFSET('HARGA SATUAN'!$D$6,MATCH(RAB!C51,'HARGA SATUAN'!$C$7:$C$1492,0),0)),"",OFFSET('HARGA SATUAN'!$D$6,MATCH(RAB!C51,'HARGA SATUAN'!$C$7:$C$1492,0),0))</f>
        <v>MDU-KD</v>
      </c>
      <c r="E51" s="354" t="str">
        <f ca="1">IF(B51="+","Unit",IF(ISERROR(OFFSET('HARGA SATUAN'!$E$6,MATCH(RAB!C51,'HARGA SATUAN'!$C$7:$C$1492,0),0)),"",OFFSET('HARGA SATUAN'!$E$6,MATCH(RAB!C51,'HARGA SATUAN'!$C$7:$C$1492,0),0)))</f>
        <v>Mtr</v>
      </c>
      <c r="F51" s="487">
        <f>F48*(3*3)</f>
        <v>9</v>
      </c>
      <c r="G51" s="355">
        <f ca="1">IF(ISERROR(OFFSET('HARGA SATUAN'!$I$6,MATCH(RAB!C51,'HARGA SATUAN'!$C$7:$C$1492,0),0)),0,OFFSET('HARGA SATUAN'!$I$6,MATCH(RAB!C51,'HARGA SATUAN'!$C$7:$C$1492,0),0))</f>
        <v>14200</v>
      </c>
      <c r="H51" s="356">
        <f t="shared" ca="1" si="29"/>
        <v>127800</v>
      </c>
      <c r="I51" s="356">
        <f t="shared" ca="1" si="30"/>
        <v>0</v>
      </c>
      <c r="J51" s="356">
        <f t="shared" ca="1" si="31"/>
        <v>0</v>
      </c>
      <c r="K51" s="357">
        <f t="shared" ca="1" si="32"/>
        <v>127800</v>
      </c>
      <c r="L51" s="362"/>
      <c r="M51" s="362"/>
      <c r="N51" s="362"/>
      <c r="O51" s="358"/>
      <c r="P51" s="358"/>
      <c r="Q51" s="341"/>
      <c r="R51" s="333"/>
      <c r="S51" s="359"/>
      <c r="T51" s="338"/>
      <c r="U51" s="338"/>
      <c r="V51" s="338"/>
    </row>
    <row r="52" spans="1:22" s="363" customFormat="1">
      <c r="A52" s="333"/>
      <c r="B52" s="493"/>
      <c r="C52" s="109" t="s">
        <v>1632</v>
      </c>
      <c r="D52" s="353" t="str">
        <f ca="1">IF(ISERROR(OFFSET('HARGA SATUAN'!$D$6,MATCH(RAB!C52,'HARGA SATUAN'!$C$7:$C$1492,0),0)),"",OFFSET('HARGA SATUAN'!$D$6,MATCH(RAB!C52,'HARGA SATUAN'!$C$7:$C$1492,0),0))</f>
        <v/>
      </c>
      <c r="E52" s="354" t="str">
        <f ca="1">IF(B52="+","Unit",IF(ISERROR(OFFSET('HARGA SATUAN'!$E$6,MATCH(RAB!C52,'HARGA SATUAN'!$C$7:$C$1492,0),0)),"",OFFSET('HARGA SATUAN'!$E$6,MATCH(RAB!C52,'HARGA SATUAN'!$C$7:$C$1492,0),0)))</f>
        <v/>
      </c>
      <c r="F52" s="487">
        <f>F48*3</f>
        <v>3</v>
      </c>
      <c r="G52" s="355">
        <f ca="1">IF(ISERROR(OFFSET('HARGA SATUAN'!$I$6,MATCH(RAB!C52,'HARGA SATUAN'!$C$7:$C$1492,0),0)),0,OFFSET('HARGA SATUAN'!$I$6,MATCH(RAB!C52,'HARGA SATUAN'!$C$7:$C$1492,0),0))</f>
        <v>0</v>
      </c>
      <c r="H52" s="356">
        <f t="shared" ca="1" si="29"/>
        <v>0</v>
      </c>
      <c r="I52" s="356">
        <f t="shared" ca="1" si="30"/>
        <v>0</v>
      </c>
      <c r="J52" s="356">
        <f t="shared" ca="1" si="31"/>
        <v>0</v>
      </c>
      <c r="K52" s="357">
        <f t="shared" ca="1" si="32"/>
        <v>0</v>
      </c>
      <c r="L52" s="362"/>
      <c r="M52" s="362"/>
      <c r="N52" s="362"/>
      <c r="O52" s="358"/>
      <c r="P52" s="358"/>
      <c r="Q52" s="341"/>
      <c r="R52" s="333"/>
      <c r="S52" s="359"/>
      <c r="T52" s="338"/>
      <c r="U52" s="338"/>
      <c r="V52" s="338"/>
    </row>
    <row r="53" spans="1:22" s="363" customFormat="1">
      <c r="A53" s="333"/>
      <c r="B53" s="493">
        <v>3</v>
      </c>
      <c r="C53" s="109" t="s">
        <v>207</v>
      </c>
      <c r="D53" s="353" t="str">
        <f ca="1">IF(ISERROR(OFFSET('HARGA SATUAN'!$D$6,MATCH(RAB!C53,'HARGA SATUAN'!$C$7:$C$1492,0),0)),"",OFFSET('HARGA SATUAN'!$D$6,MATCH(RAB!C53,'HARGA SATUAN'!$C$7:$C$1492,0),0))</f>
        <v>HDW</v>
      </c>
      <c r="E53" s="354" t="str">
        <f ca="1">IF(B53="+","Unit",IF(ISERROR(OFFSET('HARGA SATUAN'!$E$6,MATCH(RAB!C53,'HARGA SATUAN'!$C$7:$C$1492,0),0)),"",OFFSET('HARGA SATUAN'!$E$6,MATCH(RAB!C53,'HARGA SATUAN'!$C$7:$C$1492,0),0)))</f>
        <v>Bh</v>
      </c>
      <c r="F53" s="487">
        <f>F48*3</f>
        <v>3</v>
      </c>
      <c r="G53" s="355">
        <f ca="1">IF(ISERROR(OFFSET('HARGA SATUAN'!$I$6,MATCH(RAB!C53,'HARGA SATUAN'!$C$7:$C$1492,0),0)),0,OFFSET('HARGA SATUAN'!$I$6,MATCH(RAB!C53,'HARGA SATUAN'!$C$7:$C$1492,0),0))</f>
        <v>87000</v>
      </c>
      <c r="H53" s="356">
        <f t="shared" ca="1" si="29"/>
        <v>0</v>
      </c>
      <c r="I53" s="356">
        <f t="shared" ca="1" si="30"/>
        <v>261000</v>
      </c>
      <c r="J53" s="356">
        <f t="shared" ca="1" si="31"/>
        <v>0</v>
      </c>
      <c r="K53" s="357">
        <f t="shared" ca="1" si="32"/>
        <v>261000</v>
      </c>
      <c r="L53" s="362"/>
      <c r="M53" s="362"/>
      <c r="N53" s="362"/>
      <c r="O53" s="358"/>
      <c r="P53" s="358"/>
      <c r="Q53" s="341"/>
      <c r="R53" s="333"/>
      <c r="S53" s="359"/>
      <c r="T53" s="338"/>
      <c r="U53" s="338"/>
      <c r="V53" s="338"/>
    </row>
    <row r="54" spans="1:22" s="363" customFormat="1">
      <c r="A54" s="333"/>
      <c r="B54" s="493">
        <v>4</v>
      </c>
      <c r="C54" s="494" t="s">
        <v>176</v>
      </c>
      <c r="D54" s="353" t="str">
        <f ca="1">IF(ISERROR(OFFSET('HARGA SATUAN'!$D$6,MATCH(RAB!C54,'HARGA SATUAN'!$C$7:$C$1492,0),0)),"",OFFSET('HARGA SATUAN'!$D$6,MATCH(RAB!C54,'HARGA SATUAN'!$C$7:$C$1492,0),0))</f>
        <v>HDW</v>
      </c>
      <c r="E54" s="354" t="str">
        <f ca="1">IF(B54="+","Unit",IF(ISERROR(OFFSET('HARGA SATUAN'!$E$6,MATCH(RAB!C54,'HARGA SATUAN'!$C$7:$C$1492,0),0)),"",OFFSET('HARGA SATUAN'!$E$6,MATCH(RAB!C54,'HARGA SATUAN'!$C$7:$C$1492,0),0)))</f>
        <v>Bh</v>
      </c>
      <c r="F54" s="487">
        <f>F48*3</f>
        <v>3</v>
      </c>
      <c r="G54" s="355">
        <f ca="1">IF(ISERROR(OFFSET('HARGA SATUAN'!$I$6,MATCH(RAB!C54,'HARGA SATUAN'!$C$7:$C$1492,0),0)),0,OFFSET('HARGA SATUAN'!$I$6,MATCH(RAB!C54,'HARGA SATUAN'!$C$7:$C$1492,0),0))</f>
        <v>404600</v>
      </c>
      <c r="H54" s="356">
        <f t="shared" ca="1" si="29"/>
        <v>0</v>
      </c>
      <c r="I54" s="356">
        <f t="shared" ca="1" si="30"/>
        <v>1213800</v>
      </c>
      <c r="J54" s="356">
        <f t="shared" ca="1" si="31"/>
        <v>0</v>
      </c>
      <c r="K54" s="357">
        <f t="shared" ca="1" si="32"/>
        <v>1213800</v>
      </c>
      <c r="L54" s="362"/>
      <c r="M54" s="362"/>
      <c r="N54" s="362"/>
      <c r="O54" s="358"/>
      <c r="P54" s="358"/>
      <c r="Q54" s="341"/>
      <c r="R54" s="333"/>
      <c r="S54" s="359"/>
      <c r="T54" s="338"/>
      <c r="U54" s="338"/>
      <c r="V54" s="338"/>
    </row>
    <row r="55" spans="1:22" s="363" customFormat="1">
      <c r="A55" s="333"/>
      <c r="B55" s="493">
        <v>5</v>
      </c>
      <c r="C55" s="494" t="s">
        <v>184</v>
      </c>
      <c r="D55" s="353" t="str">
        <f ca="1">IF(ISERROR(OFFSET('HARGA SATUAN'!$D$6,MATCH(RAB!C55,'HARGA SATUAN'!$C$7:$C$1492,0),0)),"",OFFSET('HARGA SATUAN'!$D$6,MATCH(RAB!C55,'HARGA SATUAN'!$C$7:$C$1492,0),0))</f>
        <v>HDW</v>
      </c>
      <c r="E55" s="354" t="str">
        <f ca="1">IF(B55="+","Unit",IF(ISERROR(OFFSET('HARGA SATUAN'!$E$6,MATCH(RAB!C55,'HARGA SATUAN'!$C$7:$C$1492,0),0)),"",OFFSET('HARGA SATUAN'!$E$6,MATCH(RAB!C55,'HARGA SATUAN'!$C$7:$C$1492,0),0)))</f>
        <v>Bh</v>
      </c>
      <c r="F55" s="487">
        <f>F48*3</f>
        <v>3</v>
      </c>
      <c r="G55" s="355">
        <f ca="1">IF(ISERROR(OFFSET('HARGA SATUAN'!$I$6,MATCH(RAB!C55,'HARGA SATUAN'!$C$7:$C$1492,0),0)),0,OFFSET('HARGA SATUAN'!$I$6,MATCH(RAB!C55,'HARGA SATUAN'!$C$7:$C$1492,0),0))</f>
        <v>15900</v>
      </c>
      <c r="H55" s="356">
        <f t="shared" ca="1" si="29"/>
        <v>0</v>
      </c>
      <c r="I55" s="356">
        <f t="shared" ca="1" si="30"/>
        <v>47700</v>
      </c>
      <c r="J55" s="356">
        <f t="shared" ca="1" si="31"/>
        <v>0</v>
      </c>
      <c r="K55" s="357">
        <f t="shared" ca="1" si="32"/>
        <v>47700</v>
      </c>
      <c r="L55" s="362"/>
      <c r="M55" s="362"/>
      <c r="N55" s="362"/>
      <c r="O55" s="358"/>
      <c r="P55" s="358"/>
      <c r="Q55" s="341"/>
      <c r="R55" s="333"/>
      <c r="S55" s="359"/>
      <c r="T55" s="338"/>
      <c r="U55" s="338"/>
      <c r="V55" s="338"/>
    </row>
    <row r="56" spans="1:22" s="363" customFormat="1">
      <c r="A56" s="333"/>
      <c r="B56" s="493">
        <v>6</v>
      </c>
      <c r="C56" s="109" t="s">
        <v>187</v>
      </c>
      <c r="D56" s="353" t="str">
        <f ca="1">IF(ISERROR(OFFSET('HARGA SATUAN'!$D$6,MATCH(RAB!C56,'HARGA SATUAN'!$C$7:$C$1492,0),0)),"",OFFSET('HARGA SATUAN'!$D$6,MATCH(RAB!C56,'HARGA SATUAN'!$C$7:$C$1492,0),0))</f>
        <v>HDW</v>
      </c>
      <c r="E56" s="354" t="str">
        <f ca="1">IF(B56="+","Unit",IF(ISERROR(OFFSET('HARGA SATUAN'!$E$6,MATCH(RAB!C56,'HARGA SATUAN'!$C$7:$C$1492,0),0)),"",OFFSET('HARGA SATUAN'!$E$6,MATCH(RAB!C56,'HARGA SATUAN'!$C$7:$C$1492,0),0)))</f>
        <v>Bh</v>
      </c>
      <c r="F56" s="487">
        <f>F48*13</f>
        <v>13</v>
      </c>
      <c r="G56" s="355">
        <f ca="1">IF(ISERROR(OFFSET('HARGA SATUAN'!$I$6,MATCH(RAB!C56,'HARGA SATUAN'!$C$7:$C$1492,0),0)),0,OFFSET('HARGA SATUAN'!$I$6,MATCH(RAB!C56,'HARGA SATUAN'!$C$7:$C$1492,0),0))</f>
        <v>17100</v>
      </c>
      <c r="H56" s="356">
        <f t="shared" ca="1" si="29"/>
        <v>0</v>
      </c>
      <c r="I56" s="356">
        <f t="shared" ca="1" si="30"/>
        <v>222300</v>
      </c>
      <c r="J56" s="356">
        <f t="shared" ca="1" si="31"/>
        <v>0</v>
      </c>
      <c r="K56" s="357">
        <f t="shared" ca="1" si="32"/>
        <v>222300</v>
      </c>
      <c r="L56" s="362"/>
      <c r="M56" s="362"/>
      <c r="N56" s="362"/>
      <c r="O56" s="358"/>
      <c r="P56" s="358"/>
      <c r="Q56" s="341"/>
      <c r="R56" s="333"/>
      <c r="S56" s="359"/>
      <c r="T56" s="338"/>
      <c r="U56" s="338"/>
      <c r="V56" s="338"/>
    </row>
    <row r="57" spans="1:22" s="363" customFormat="1">
      <c r="A57" s="333"/>
      <c r="B57" s="493">
        <v>7</v>
      </c>
      <c r="C57" s="494" t="s">
        <v>1633</v>
      </c>
      <c r="D57" s="353" t="str">
        <f ca="1">IF(ISERROR(OFFSET('HARGA SATUAN'!$D$6,MATCH(RAB!C57,'HARGA SATUAN'!$C$7:$C$1492,0),0)),"",OFFSET('HARGA SATUAN'!$D$6,MATCH(RAB!C57,'HARGA SATUAN'!$C$7:$C$1492,0),0))</f>
        <v/>
      </c>
      <c r="E57" s="354" t="str">
        <f ca="1">IF(B57="+","Unit",IF(ISERROR(OFFSET('HARGA SATUAN'!$E$6,MATCH(RAB!C57,'HARGA SATUAN'!$C$7:$C$1492,0),0)),"",OFFSET('HARGA SATUAN'!$E$6,MATCH(RAB!C57,'HARGA SATUAN'!$C$7:$C$1492,0),0)))</f>
        <v/>
      </c>
      <c r="F57" s="487">
        <f>F48*22</f>
        <v>22</v>
      </c>
      <c r="G57" s="355">
        <f ca="1">IF(ISERROR(OFFSET('HARGA SATUAN'!$I$6,MATCH(RAB!C57,'HARGA SATUAN'!$C$7:$C$1492,0),0)),0,OFFSET('HARGA SATUAN'!$I$6,MATCH(RAB!C57,'HARGA SATUAN'!$C$7:$C$1492,0),0))</f>
        <v>0</v>
      </c>
      <c r="H57" s="356">
        <f t="shared" ca="1" si="29"/>
        <v>0</v>
      </c>
      <c r="I57" s="356">
        <f t="shared" ca="1" si="30"/>
        <v>0</v>
      </c>
      <c r="J57" s="356">
        <f t="shared" ca="1" si="31"/>
        <v>0</v>
      </c>
      <c r="K57" s="357">
        <f t="shared" ca="1" si="32"/>
        <v>0</v>
      </c>
      <c r="L57" s="362"/>
      <c r="M57" s="362"/>
      <c r="N57" s="362"/>
      <c r="O57" s="358"/>
      <c r="P57" s="358"/>
      <c r="Q57" s="341"/>
      <c r="R57" s="333"/>
      <c r="S57" s="359"/>
      <c r="T57" s="338"/>
      <c r="U57" s="338"/>
      <c r="V57" s="338"/>
    </row>
    <row r="58" spans="1:22" s="363" customFormat="1">
      <c r="A58" s="333"/>
      <c r="B58" s="493">
        <v>8</v>
      </c>
      <c r="C58" s="494" t="s">
        <v>149</v>
      </c>
      <c r="D58" s="353" t="str">
        <f ca="1">IF(ISERROR(OFFSET('HARGA SATUAN'!$D$6,MATCH(RAB!C58,'HARGA SATUAN'!$C$7:$C$1492,0),0)),"",OFFSET('HARGA SATUAN'!$D$6,MATCH(RAB!C58,'HARGA SATUAN'!$C$7:$C$1492,0),0))</f>
        <v>HDW</v>
      </c>
      <c r="E58" s="354" t="str">
        <f ca="1">IF(B58="+","Unit",IF(ISERROR(OFFSET('HARGA SATUAN'!$E$6,MATCH(RAB!C58,'HARGA SATUAN'!$C$7:$C$1492,0),0)),"",OFFSET('HARGA SATUAN'!$E$6,MATCH(RAB!C58,'HARGA SATUAN'!$C$7:$C$1492,0),0)))</f>
        <v>Set</v>
      </c>
      <c r="F58" s="487">
        <f>F48*1</f>
        <v>1</v>
      </c>
      <c r="G58" s="355">
        <f ca="1">IF(ISERROR(OFFSET('HARGA SATUAN'!$I$6,MATCH(RAB!C58,'HARGA SATUAN'!$C$7:$C$1492,0),0)),0,OFFSET('HARGA SATUAN'!$I$6,MATCH(RAB!C58,'HARGA SATUAN'!$C$7:$C$1492,0),0))</f>
        <v>67800</v>
      </c>
      <c r="H58" s="356">
        <f t="shared" ca="1" si="29"/>
        <v>0</v>
      </c>
      <c r="I58" s="356">
        <f t="shared" ca="1" si="30"/>
        <v>67800</v>
      </c>
      <c r="J58" s="356">
        <f t="shared" ca="1" si="31"/>
        <v>0</v>
      </c>
      <c r="K58" s="357">
        <f t="shared" ca="1" si="32"/>
        <v>67800</v>
      </c>
      <c r="L58" s="362"/>
      <c r="M58" s="362"/>
      <c r="N58" s="362"/>
      <c r="O58" s="358"/>
      <c r="P58" s="358"/>
      <c r="Q58" s="341"/>
      <c r="R58" s="333"/>
      <c r="S58" s="359"/>
      <c r="T58" s="338"/>
      <c r="U58" s="338"/>
      <c r="V58" s="338"/>
    </row>
    <row r="59" spans="1:22" s="363" customFormat="1">
      <c r="A59" s="333"/>
      <c r="B59" s="493">
        <v>9</v>
      </c>
      <c r="C59" s="494" t="s">
        <v>32</v>
      </c>
      <c r="D59" s="353" t="str">
        <f ca="1">IF(ISERROR(OFFSET('HARGA SATUAN'!$D$6,MATCH(RAB!C59,'HARGA SATUAN'!$C$7:$C$1492,0),0)),"",OFFSET('HARGA SATUAN'!$D$6,MATCH(RAB!C59,'HARGA SATUAN'!$C$7:$C$1492,0),0))</f>
        <v>HDW</v>
      </c>
      <c r="E59" s="354" t="str">
        <f ca="1">IF(B59="+","Unit",IF(ISERROR(OFFSET('HARGA SATUAN'!$E$6,MATCH(RAB!C59,'HARGA SATUAN'!$C$7:$C$1492,0),0)),"",OFFSET('HARGA SATUAN'!$E$6,MATCH(RAB!C59,'HARGA SATUAN'!$C$7:$C$1492,0),0)))</f>
        <v>Mtr</v>
      </c>
      <c r="F59" s="487">
        <f>F48*3</f>
        <v>3</v>
      </c>
      <c r="G59" s="355">
        <f ca="1">IF(ISERROR(OFFSET('HARGA SATUAN'!$I$6,MATCH(RAB!C59,'HARGA SATUAN'!$C$7:$C$1492,0),0)),0,OFFSET('HARGA SATUAN'!$I$6,MATCH(RAB!C59,'HARGA SATUAN'!$C$7:$C$1492,0),0))</f>
        <v>30000</v>
      </c>
      <c r="H59" s="356">
        <f t="shared" ca="1" si="29"/>
        <v>0</v>
      </c>
      <c r="I59" s="356">
        <f t="shared" ca="1" si="30"/>
        <v>90000</v>
      </c>
      <c r="J59" s="356">
        <f t="shared" ca="1" si="31"/>
        <v>0</v>
      </c>
      <c r="K59" s="357">
        <f t="shared" ca="1" si="32"/>
        <v>90000</v>
      </c>
      <c r="L59" s="362"/>
      <c r="M59" s="362"/>
      <c r="N59" s="362"/>
      <c r="O59" s="358"/>
      <c r="P59" s="358"/>
      <c r="Q59" s="341"/>
      <c r="R59" s="333"/>
      <c r="S59" s="359"/>
      <c r="T59" s="338"/>
      <c r="U59" s="338"/>
      <c r="V59" s="338"/>
    </row>
    <row r="60" spans="1:22" s="363" customFormat="1">
      <c r="A60" s="333"/>
      <c r="B60" s="493">
        <v>10</v>
      </c>
      <c r="C60" s="494" t="s">
        <v>781</v>
      </c>
      <c r="D60" s="353" t="str">
        <f ca="1">IF(ISERROR(OFFSET('HARGA SATUAN'!$D$6,MATCH(RAB!C60,'HARGA SATUAN'!$C$7:$C$1492,0),0)),"",OFFSET('HARGA SATUAN'!$D$6,MATCH(RAB!C60,'HARGA SATUAN'!$C$7:$C$1492,0),0))</f>
        <v>JASA</v>
      </c>
      <c r="E60" s="354" t="str">
        <f ca="1">IF(B60="+","Unit",IF(ISERROR(OFFSET('HARGA SATUAN'!$E$6,MATCH(RAB!C60,'HARGA SATUAN'!$C$7:$C$1492,0),0)),"",OFFSET('HARGA SATUAN'!$E$6,MATCH(RAB!C60,'HARGA SATUAN'!$C$7:$C$1492,0),0)))</f>
        <v>Unit</v>
      </c>
      <c r="F60" s="487">
        <f>F48*5</f>
        <v>5</v>
      </c>
      <c r="G60" s="355">
        <f ca="1">IF(ISERROR(OFFSET('HARGA SATUAN'!$I$6,MATCH(RAB!C60,'HARGA SATUAN'!$C$7:$C$1492,0),0)),0,OFFSET('HARGA SATUAN'!$I$6,MATCH(RAB!C60,'HARGA SATUAN'!$C$7:$C$1492,0),0))</f>
        <v>346400</v>
      </c>
      <c r="H60" s="356">
        <f t="shared" ca="1" si="29"/>
        <v>0</v>
      </c>
      <c r="I60" s="356">
        <f t="shared" ca="1" si="30"/>
        <v>0</v>
      </c>
      <c r="J60" s="356">
        <f t="shared" ca="1" si="31"/>
        <v>1732000</v>
      </c>
      <c r="K60" s="357">
        <f t="shared" ca="1" si="32"/>
        <v>1732000</v>
      </c>
      <c r="L60" s="362"/>
      <c r="M60" s="362"/>
      <c r="N60" s="362"/>
      <c r="O60" s="358"/>
      <c r="P60" s="358"/>
      <c r="Q60" s="341"/>
      <c r="R60" s="333"/>
      <c r="S60" s="359"/>
      <c r="T60" s="338"/>
      <c r="U60" s="338"/>
      <c r="V60" s="338"/>
    </row>
    <row r="61" spans="1:22" s="363" customFormat="1">
      <c r="A61" s="333"/>
      <c r="B61" s="484"/>
      <c r="C61" s="485"/>
      <c r="D61" s="353" t="str">
        <f ca="1">IF(ISERROR(OFFSET('HARGA SATUAN'!$D$6,MATCH(RAB!C61,'HARGA SATUAN'!$C$7:$C$1492,0),0)),"",OFFSET('HARGA SATUAN'!$D$6,MATCH(RAB!C61,'HARGA SATUAN'!$C$7:$C$1492,0),0))</f>
        <v/>
      </c>
      <c r="E61" s="354" t="str">
        <f ca="1">IF(B61="+","Unit",IF(ISERROR(OFFSET('HARGA SATUAN'!$E$6,MATCH(RAB!C61,'HARGA SATUAN'!$C$7:$C$1492,0),0)),"",OFFSET('HARGA SATUAN'!$E$6,MATCH(RAB!C61,'HARGA SATUAN'!$C$7:$C$1492,0),0)))</f>
        <v/>
      </c>
      <c r="F61" s="361"/>
      <c r="G61" s="355">
        <f ca="1">IF(ISERROR(OFFSET('HARGA SATUAN'!$I$6,MATCH(RAB!C61,'HARGA SATUAN'!$C$7:$C$1492,0),0)),0,OFFSET('HARGA SATUAN'!$I$6,MATCH(RAB!C61,'HARGA SATUAN'!$C$7:$C$1492,0),0))</f>
        <v>0</v>
      </c>
      <c r="H61" s="356">
        <f t="shared" ca="1" si="29"/>
        <v>0</v>
      </c>
      <c r="I61" s="356">
        <f t="shared" ca="1" si="30"/>
        <v>0</v>
      </c>
      <c r="J61" s="356">
        <f t="shared" ca="1" si="31"/>
        <v>0</v>
      </c>
      <c r="K61" s="357">
        <f t="shared" ca="1" si="32"/>
        <v>0</v>
      </c>
      <c r="L61" s="362"/>
      <c r="M61" s="362"/>
      <c r="N61" s="362"/>
      <c r="O61" s="358"/>
      <c r="P61" s="358"/>
      <c r="Q61" s="341"/>
      <c r="R61" s="333"/>
      <c r="S61" s="359"/>
      <c r="T61" s="338"/>
      <c r="U61" s="338"/>
      <c r="V61" s="338"/>
    </row>
    <row r="62" spans="1:22" s="363" customFormat="1">
      <c r="A62" s="333"/>
      <c r="B62" s="495" t="s">
        <v>1035</v>
      </c>
      <c r="C62" s="498" t="s">
        <v>1612</v>
      </c>
      <c r="D62" s="353" t="str">
        <f ca="1">IF(ISERROR(OFFSET('HARGA SATUAN'!$D$6,MATCH(RAB!C62,'HARGA SATUAN'!$C$7:$C$1492,0),0)),"",OFFSET('HARGA SATUAN'!$D$6,MATCH(RAB!C62,'HARGA SATUAN'!$C$7:$C$1492,0),0))</f>
        <v/>
      </c>
      <c r="E62" s="354" t="str">
        <f ca="1">IF(B62="+","Unit",IF(ISERROR(OFFSET('HARGA SATUAN'!$E$6,MATCH(RAB!C62,'HARGA SATUAN'!$C$7:$C$1492,0),0)),"",OFFSET('HARGA SATUAN'!$E$6,MATCH(RAB!C62,'HARGA SATUAN'!$C$7:$C$1492,0),0)))</f>
        <v>Unit</v>
      </c>
      <c r="F62" s="487">
        <v>2</v>
      </c>
      <c r="G62" s="355">
        <f ca="1">IF(ISERROR(OFFSET('HARGA SATUAN'!$I$6,MATCH(RAB!C62,'HARGA SATUAN'!$C$7:$C$1492,0),0)),0,OFFSET('HARGA SATUAN'!$I$6,MATCH(RAB!C62,'HARGA SATUAN'!$C$7:$C$1492,0),0))</f>
        <v>0</v>
      </c>
      <c r="H62" s="356">
        <f t="shared" ca="1" si="29"/>
        <v>0</v>
      </c>
      <c r="I62" s="356">
        <f t="shared" ca="1" si="30"/>
        <v>0</v>
      </c>
      <c r="J62" s="356">
        <f t="shared" ca="1" si="31"/>
        <v>0</v>
      </c>
      <c r="K62" s="357">
        <f t="shared" ca="1" si="32"/>
        <v>0</v>
      </c>
      <c r="L62" s="362"/>
      <c r="M62" s="362"/>
      <c r="N62" s="362"/>
      <c r="O62" s="358"/>
      <c r="P62" s="358"/>
      <c r="Q62" s="341"/>
      <c r="R62" s="333"/>
      <c r="S62" s="359"/>
      <c r="T62" s="338"/>
      <c r="U62" s="338"/>
      <c r="V62" s="338"/>
    </row>
    <row r="63" spans="1:22" s="363" customFormat="1">
      <c r="A63" s="333"/>
      <c r="B63" s="495">
        <v>1</v>
      </c>
      <c r="C63" s="499" t="s">
        <v>29</v>
      </c>
      <c r="D63" s="353" t="str">
        <f ca="1">IF(ISERROR(OFFSET('HARGA SATUAN'!$D$6,MATCH(RAB!C63,'HARGA SATUAN'!$C$7:$C$1492,0),0)),"",OFFSET('HARGA SATUAN'!$D$6,MATCH(RAB!C63,'HARGA SATUAN'!$C$7:$C$1492,0),0))</f>
        <v>HDW</v>
      </c>
      <c r="E63" s="354" t="str">
        <f ca="1">IF(B63="+","Unit",IF(ISERROR(OFFSET('HARGA SATUAN'!$E$6,MATCH(RAB!C63,'HARGA SATUAN'!$C$7:$C$1492,0),0)),"",OFFSET('HARGA SATUAN'!$E$6,MATCH(RAB!C63,'HARGA SATUAN'!$C$7:$C$1492,0),0)))</f>
        <v>Bh</v>
      </c>
      <c r="F63" s="487">
        <f>F62*1</f>
        <v>2</v>
      </c>
      <c r="G63" s="355">
        <f ca="1">IF(ISERROR(OFFSET('HARGA SATUAN'!$I$6,MATCH(RAB!C63,'HARGA SATUAN'!$C$7:$C$1492,0),0)),0,OFFSET('HARGA SATUAN'!$I$6,MATCH(RAB!C63,'HARGA SATUAN'!$C$7:$C$1492,0),0))</f>
        <v>185200</v>
      </c>
      <c r="H63" s="356">
        <f t="shared" ca="1" si="29"/>
        <v>0</v>
      </c>
      <c r="I63" s="356">
        <f t="shared" ca="1" si="30"/>
        <v>370400</v>
      </c>
      <c r="J63" s="356">
        <f t="shared" ca="1" si="31"/>
        <v>0</v>
      </c>
      <c r="K63" s="357">
        <f t="shared" ca="1" si="32"/>
        <v>370400</v>
      </c>
      <c r="L63" s="362"/>
      <c r="M63" s="362"/>
      <c r="N63" s="362"/>
      <c r="O63" s="358"/>
      <c r="P63" s="358"/>
      <c r="Q63" s="341"/>
      <c r="R63" s="333"/>
      <c r="S63" s="359"/>
      <c r="T63" s="338"/>
      <c r="U63" s="338"/>
      <c r="V63" s="338"/>
    </row>
    <row r="64" spans="1:22" s="363" customFormat="1">
      <c r="A64" s="333"/>
      <c r="B64" s="493">
        <v>2</v>
      </c>
      <c r="C64" s="494" t="s">
        <v>30</v>
      </c>
      <c r="D64" s="353" t="str">
        <f ca="1">IF(ISERROR(OFFSET('HARGA SATUAN'!$D$6,MATCH(RAB!C64,'HARGA SATUAN'!$C$7:$C$1492,0),0)),"",OFFSET('HARGA SATUAN'!$D$6,MATCH(RAB!C64,'HARGA SATUAN'!$C$7:$C$1492,0),0))</f>
        <v>HDW</v>
      </c>
      <c r="E64" s="354" t="str">
        <f ca="1">IF(B64="+","Unit",IF(ISERROR(OFFSET('HARGA SATUAN'!$E$6,MATCH(RAB!C64,'HARGA SATUAN'!$C$7:$C$1492,0),0)),"",OFFSET('HARGA SATUAN'!$E$6,MATCH(RAB!C64,'HARGA SATUAN'!$C$7:$C$1492,0),0)))</f>
        <v>Bh</v>
      </c>
      <c r="F64" s="487">
        <f>F62*1</f>
        <v>2</v>
      </c>
      <c r="G64" s="355">
        <f ca="1">IF(ISERROR(OFFSET('HARGA SATUAN'!$I$6,MATCH(RAB!C64,'HARGA SATUAN'!$C$7:$C$1492,0),0)),0,OFFSET('HARGA SATUAN'!$I$6,MATCH(RAB!C64,'HARGA SATUAN'!$C$7:$C$1492,0),0))</f>
        <v>47459</v>
      </c>
      <c r="H64" s="356">
        <f t="shared" ca="1" si="29"/>
        <v>0</v>
      </c>
      <c r="I64" s="356">
        <f t="shared" ca="1" si="30"/>
        <v>94918</v>
      </c>
      <c r="J64" s="356">
        <f t="shared" ca="1" si="31"/>
        <v>0</v>
      </c>
      <c r="K64" s="357">
        <f t="shared" ca="1" si="32"/>
        <v>94918</v>
      </c>
      <c r="L64" s="362"/>
      <c r="M64" s="362"/>
      <c r="N64" s="362"/>
      <c r="O64" s="358"/>
      <c r="P64" s="358"/>
      <c r="Q64" s="341"/>
      <c r="R64" s="333"/>
      <c r="S64" s="359"/>
      <c r="T64" s="338"/>
      <c r="U64" s="338"/>
      <c r="V64" s="338"/>
    </row>
    <row r="65" spans="1:22" s="363" customFormat="1">
      <c r="A65" s="333"/>
      <c r="B65" s="493">
        <v>3</v>
      </c>
      <c r="C65" s="494" t="s">
        <v>31</v>
      </c>
      <c r="D65" s="353" t="str">
        <f ca="1">IF(ISERROR(OFFSET('HARGA SATUAN'!$D$6,MATCH(RAB!C65,'HARGA SATUAN'!$C$7:$C$1492,0),0)),"",OFFSET('HARGA SATUAN'!$D$6,MATCH(RAB!C65,'HARGA SATUAN'!$C$7:$C$1492,0),0))</f>
        <v>HDW</v>
      </c>
      <c r="E65" s="354" t="str">
        <f ca="1">IF(B65="+","Unit",IF(ISERROR(OFFSET('HARGA SATUAN'!$E$6,MATCH(RAB!C65,'HARGA SATUAN'!$C$7:$C$1492,0),0)),"",OFFSET('HARGA SATUAN'!$E$6,MATCH(RAB!C65,'HARGA SATUAN'!$C$7:$C$1492,0),0)))</f>
        <v>Bh</v>
      </c>
      <c r="F65" s="487">
        <f>F62*1</f>
        <v>2</v>
      </c>
      <c r="G65" s="355">
        <f ca="1">IF(ISERROR(OFFSET('HARGA SATUAN'!$I$6,MATCH(RAB!C65,'HARGA SATUAN'!$C$7:$C$1492,0),0)),0,OFFSET('HARGA SATUAN'!$I$6,MATCH(RAB!C65,'HARGA SATUAN'!$C$7:$C$1492,0),0))</f>
        <v>4880</v>
      </c>
      <c r="H65" s="356">
        <f t="shared" ref="H65:H74" ca="1" si="33">IF(OR(D65="MDU",D65="MDU-KD"),(IF($O$3="RAB NON MDU","PLN KD",G65*F65)),0)</f>
        <v>0</v>
      </c>
      <c r="I65" s="356">
        <f t="shared" ref="I65:I74" ca="1" si="34">IF(D65="HDW",G65*F65,0)</f>
        <v>9760</v>
      </c>
      <c r="J65" s="356">
        <f t="shared" ref="J65:J74" ca="1" si="35">IF(D65="JASA",G65*F65,0)</f>
        <v>0</v>
      </c>
      <c r="K65" s="357">
        <f t="shared" ref="K65:K74" ca="1" si="36">SUM(H65:J65)</f>
        <v>9760</v>
      </c>
      <c r="L65" s="362"/>
      <c r="M65" s="362"/>
      <c r="N65" s="362"/>
      <c r="O65" s="358"/>
      <c r="P65" s="358"/>
      <c r="Q65" s="341"/>
      <c r="R65" s="333"/>
      <c r="S65" s="359"/>
      <c r="T65" s="338"/>
      <c r="U65" s="338"/>
      <c r="V65" s="338"/>
    </row>
    <row r="66" spans="1:22" s="363" customFormat="1">
      <c r="A66" s="333"/>
      <c r="B66" s="493">
        <v>4</v>
      </c>
      <c r="C66" s="494" t="s">
        <v>32</v>
      </c>
      <c r="D66" s="353" t="str">
        <f ca="1">IF(ISERROR(OFFSET('HARGA SATUAN'!$D$6,MATCH(RAB!C66,'HARGA SATUAN'!$C$7:$C$1492,0),0)),"",OFFSET('HARGA SATUAN'!$D$6,MATCH(RAB!C66,'HARGA SATUAN'!$C$7:$C$1492,0),0))</f>
        <v>HDW</v>
      </c>
      <c r="E66" s="354" t="str">
        <f ca="1">IF(B66="+","Unit",IF(ISERROR(OFFSET('HARGA SATUAN'!$E$6,MATCH(RAB!C66,'HARGA SATUAN'!$C$7:$C$1492,0),0)),"",OFFSET('HARGA SATUAN'!$E$6,MATCH(RAB!C66,'HARGA SATUAN'!$C$7:$C$1492,0),0)))</f>
        <v>Mtr</v>
      </c>
      <c r="F66" s="487">
        <f>F62*10</f>
        <v>20</v>
      </c>
      <c r="G66" s="355">
        <f ca="1">IF(ISERROR(OFFSET('HARGA SATUAN'!$I$6,MATCH(RAB!C66,'HARGA SATUAN'!$C$7:$C$1492,0),0)),0,OFFSET('HARGA SATUAN'!$I$6,MATCH(RAB!C66,'HARGA SATUAN'!$C$7:$C$1492,0),0))</f>
        <v>30000</v>
      </c>
      <c r="H66" s="356">
        <f t="shared" ca="1" si="33"/>
        <v>0</v>
      </c>
      <c r="I66" s="356">
        <f t="shared" ca="1" si="34"/>
        <v>600000</v>
      </c>
      <c r="J66" s="356">
        <f t="shared" ca="1" si="35"/>
        <v>0</v>
      </c>
      <c r="K66" s="357">
        <f t="shared" ca="1" si="36"/>
        <v>600000</v>
      </c>
      <c r="L66" s="362"/>
      <c r="M66" s="362"/>
      <c r="N66" s="362"/>
      <c r="O66" s="358"/>
      <c r="P66" s="358"/>
      <c r="Q66" s="341"/>
      <c r="R66" s="333"/>
      <c r="S66" s="359"/>
      <c r="T66" s="338"/>
      <c r="U66" s="338"/>
      <c r="V66" s="338"/>
    </row>
    <row r="67" spans="1:22" s="363" customFormat="1">
      <c r="A67" s="333"/>
      <c r="B67" s="493">
        <v>5</v>
      </c>
      <c r="C67" s="494" t="s">
        <v>33</v>
      </c>
      <c r="D67" s="353" t="str">
        <f ca="1">IF(ISERROR(OFFSET('HARGA SATUAN'!$D$6,MATCH(RAB!C67,'HARGA SATUAN'!$C$7:$C$1492,0),0)),"",OFFSET('HARGA SATUAN'!$D$6,MATCH(RAB!C67,'HARGA SATUAN'!$C$7:$C$1492,0),0))</f>
        <v>HDW</v>
      </c>
      <c r="E67" s="354" t="str">
        <f ca="1">IF(B67="+","Unit",IF(ISERROR(OFFSET('HARGA SATUAN'!$E$6,MATCH(RAB!C67,'HARGA SATUAN'!$C$7:$C$1492,0),0)),"",OFFSET('HARGA SATUAN'!$E$6,MATCH(RAB!C67,'HARGA SATUAN'!$C$7:$C$1492,0),0)))</f>
        <v>Bh</v>
      </c>
      <c r="F67" s="487">
        <f>F62*2</f>
        <v>4</v>
      </c>
      <c r="G67" s="355">
        <f ca="1">IF(ISERROR(OFFSET('HARGA SATUAN'!$I$6,MATCH(RAB!C67,'HARGA SATUAN'!$C$7:$C$1492,0),0)),0,OFFSET('HARGA SATUAN'!$I$6,MATCH(RAB!C67,'HARGA SATUAN'!$C$7:$C$1492,0),0))</f>
        <v>9500</v>
      </c>
      <c r="H67" s="356">
        <f t="shared" ca="1" si="33"/>
        <v>0</v>
      </c>
      <c r="I67" s="356">
        <f t="shared" ca="1" si="34"/>
        <v>38000</v>
      </c>
      <c r="J67" s="356">
        <f t="shared" ca="1" si="35"/>
        <v>0</v>
      </c>
      <c r="K67" s="357">
        <f t="shared" ca="1" si="36"/>
        <v>38000</v>
      </c>
      <c r="L67" s="362"/>
      <c r="M67" s="362"/>
      <c r="N67" s="362"/>
      <c r="O67" s="358"/>
      <c r="P67" s="358"/>
      <c r="Q67" s="341"/>
      <c r="R67" s="333"/>
      <c r="S67" s="359"/>
      <c r="T67" s="338"/>
      <c r="U67" s="338"/>
      <c r="V67" s="338"/>
    </row>
    <row r="68" spans="1:22" s="363" customFormat="1">
      <c r="A68" s="333"/>
      <c r="B68" s="493">
        <v>6</v>
      </c>
      <c r="C68" s="494" t="s">
        <v>34</v>
      </c>
      <c r="D68" s="353" t="str">
        <f ca="1">IF(ISERROR(OFFSET('HARGA SATUAN'!$D$6,MATCH(RAB!C68,'HARGA SATUAN'!$C$7:$C$1492,0),0)),"",OFFSET('HARGA SATUAN'!$D$6,MATCH(RAB!C68,'HARGA SATUAN'!$C$7:$C$1492,0),0))</f>
        <v>HDW</v>
      </c>
      <c r="E68" s="354" t="str">
        <f ca="1">IF(B68="+","Unit",IF(ISERROR(OFFSET('HARGA SATUAN'!$E$6,MATCH(RAB!C68,'HARGA SATUAN'!$C$7:$C$1492,0),0)),"",OFFSET('HARGA SATUAN'!$E$6,MATCH(RAB!C68,'HARGA SATUAN'!$C$7:$C$1492,0),0)))</f>
        <v>Bh</v>
      </c>
      <c r="F68" s="487">
        <f>F62*5.5</f>
        <v>11</v>
      </c>
      <c r="G68" s="355">
        <f ca="1">IF(ISERROR(OFFSET('HARGA SATUAN'!$I$6,MATCH(RAB!C68,'HARGA SATUAN'!$C$7:$C$1492,0),0)),0,OFFSET('HARGA SATUAN'!$I$6,MATCH(RAB!C68,'HARGA SATUAN'!$C$7:$C$1492,0),0))</f>
        <v>6100</v>
      </c>
      <c r="H68" s="356">
        <f t="shared" ca="1" si="33"/>
        <v>0</v>
      </c>
      <c r="I68" s="356">
        <f t="shared" ca="1" si="34"/>
        <v>67100</v>
      </c>
      <c r="J68" s="356">
        <f t="shared" ca="1" si="35"/>
        <v>0</v>
      </c>
      <c r="K68" s="357">
        <f t="shared" ca="1" si="36"/>
        <v>67100</v>
      </c>
      <c r="L68" s="362"/>
      <c r="M68" s="362"/>
      <c r="N68" s="362"/>
      <c r="O68" s="358"/>
      <c r="P68" s="358"/>
      <c r="Q68" s="341"/>
      <c r="R68" s="333"/>
      <c r="S68" s="359"/>
      <c r="T68" s="338"/>
      <c r="U68" s="338"/>
      <c r="V68" s="338"/>
    </row>
    <row r="69" spans="1:22" s="363" customFormat="1">
      <c r="A69" s="333"/>
      <c r="B69" s="493">
        <v>7</v>
      </c>
      <c r="C69" s="494" t="s">
        <v>35</v>
      </c>
      <c r="D69" s="353" t="str">
        <f ca="1">IF(ISERROR(OFFSET('HARGA SATUAN'!$D$6,MATCH(RAB!C69,'HARGA SATUAN'!$C$7:$C$1492,0),0)),"",OFFSET('HARGA SATUAN'!$D$6,MATCH(RAB!C69,'HARGA SATUAN'!$C$7:$C$1492,0),0))</f>
        <v>HDW</v>
      </c>
      <c r="E69" s="354" t="str">
        <f ca="1">IF(B69="+","Unit",IF(ISERROR(OFFSET('HARGA SATUAN'!$E$6,MATCH(RAB!C69,'HARGA SATUAN'!$C$7:$C$1492,0),0)),"",OFFSET('HARGA SATUAN'!$E$6,MATCH(RAB!C69,'HARGA SATUAN'!$C$7:$C$1492,0),0)))</f>
        <v>Bh</v>
      </c>
      <c r="F69" s="487">
        <f>F62*6</f>
        <v>12</v>
      </c>
      <c r="G69" s="355">
        <f ca="1">IF(ISERROR(OFFSET('HARGA SATUAN'!$I$6,MATCH(RAB!C69,'HARGA SATUAN'!$C$7:$C$1492,0),0)),0,OFFSET('HARGA SATUAN'!$I$6,MATCH(RAB!C69,'HARGA SATUAN'!$C$7:$C$1492,0),0))</f>
        <v>2300</v>
      </c>
      <c r="H69" s="356">
        <f t="shared" ca="1" si="33"/>
        <v>0</v>
      </c>
      <c r="I69" s="356">
        <f t="shared" ca="1" si="34"/>
        <v>27600</v>
      </c>
      <c r="J69" s="356">
        <f t="shared" ca="1" si="35"/>
        <v>0</v>
      </c>
      <c r="K69" s="357">
        <f t="shared" ca="1" si="36"/>
        <v>27600</v>
      </c>
      <c r="L69" s="362"/>
      <c r="M69" s="362"/>
      <c r="N69" s="362"/>
      <c r="O69" s="358"/>
      <c r="P69" s="358"/>
      <c r="Q69" s="341"/>
      <c r="R69" s="333"/>
      <c r="S69" s="359"/>
      <c r="T69" s="338"/>
      <c r="U69" s="338"/>
      <c r="V69" s="338"/>
    </row>
    <row r="70" spans="1:22" s="363" customFormat="1">
      <c r="A70" s="333"/>
      <c r="B70" s="493">
        <v>8</v>
      </c>
      <c r="C70" s="494" t="s">
        <v>1613</v>
      </c>
      <c r="D70" s="353" t="str">
        <f ca="1">IF(ISERROR(OFFSET('HARGA SATUAN'!$D$6,MATCH(RAB!C70,'HARGA SATUAN'!$C$7:$C$1492,0),0)),"",OFFSET('HARGA SATUAN'!$D$6,MATCH(RAB!C70,'HARGA SATUAN'!$C$7:$C$1492,0),0))</f>
        <v>HDW</v>
      </c>
      <c r="E70" s="354" t="str">
        <f ca="1">IF(B70="+","Unit",IF(ISERROR(OFFSET('HARGA SATUAN'!$E$6,MATCH(RAB!C70,'HARGA SATUAN'!$C$7:$C$1492,0),0)),"",OFFSET('HARGA SATUAN'!$E$6,MATCH(RAB!C70,'HARGA SATUAN'!$C$7:$C$1492,0),0)))</f>
        <v>Mtr</v>
      </c>
      <c r="F70" s="487">
        <f>F62*4.8</f>
        <v>9.6</v>
      </c>
      <c r="G70" s="355">
        <f ca="1">IF(ISERROR(OFFSET('HARGA SATUAN'!$I$6,MATCH(RAB!C70,'HARGA SATUAN'!$C$7:$C$1492,0),0)),0,OFFSET('HARGA SATUAN'!$I$6,MATCH(RAB!C70,'HARGA SATUAN'!$C$7:$C$1492,0),0))</f>
        <v>23310</v>
      </c>
      <c r="H70" s="356">
        <f t="shared" ca="1" si="33"/>
        <v>0</v>
      </c>
      <c r="I70" s="356">
        <f t="shared" ca="1" si="34"/>
        <v>223776</v>
      </c>
      <c r="J70" s="356">
        <f t="shared" ca="1" si="35"/>
        <v>0</v>
      </c>
      <c r="K70" s="357">
        <f t="shared" ca="1" si="36"/>
        <v>223776</v>
      </c>
      <c r="L70" s="362"/>
      <c r="M70" s="362"/>
      <c r="N70" s="362"/>
      <c r="O70" s="358"/>
      <c r="P70" s="358"/>
      <c r="Q70" s="341"/>
      <c r="R70" s="333"/>
      <c r="S70" s="359"/>
      <c r="T70" s="338"/>
      <c r="U70" s="338"/>
      <c r="V70" s="338"/>
    </row>
    <row r="71" spans="1:22" s="363" customFormat="1">
      <c r="A71" s="333"/>
      <c r="B71" s="493">
        <v>9</v>
      </c>
      <c r="C71" s="494" t="s">
        <v>736</v>
      </c>
      <c r="D71" s="353" t="str">
        <f ca="1">IF(ISERROR(OFFSET('HARGA SATUAN'!$D$6,MATCH(RAB!C71,'HARGA SATUAN'!$C$7:$C$1492,0),0)),"",OFFSET('HARGA SATUAN'!$D$6,MATCH(RAB!C71,'HARGA SATUAN'!$C$7:$C$1492,0),0))</f>
        <v>JASA</v>
      </c>
      <c r="E71" s="354" t="str">
        <f ca="1">IF(B71="+","Unit",IF(ISERROR(OFFSET('HARGA SATUAN'!$E$6,MATCH(RAB!C71,'HARGA SATUAN'!$C$7:$C$1492,0),0)),"",OFFSET('HARGA SATUAN'!$E$6,MATCH(RAB!C71,'HARGA SATUAN'!$C$7:$C$1492,0),0)))</f>
        <v>Unit</v>
      </c>
      <c r="F71" s="487">
        <f>F62*1</f>
        <v>2</v>
      </c>
      <c r="G71" s="355">
        <f ca="1">IF(ISERROR(OFFSET('HARGA SATUAN'!$I$6,MATCH(RAB!C71,'HARGA SATUAN'!$C$7:$C$1492,0),0)),0,OFFSET('HARGA SATUAN'!$I$6,MATCH(RAB!C71,'HARGA SATUAN'!$C$7:$C$1492,0),0))</f>
        <v>65400</v>
      </c>
      <c r="H71" s="356">
        <f t="shared" ca="1" si="33"/>
        <v>0</v>
      </c>
      <c r="I71" s="356">
        <f t="shared" ca="1" si="34"/>
        <v>0</v>
      </c>
      <c r="J71" s="356">
        <f t="shared" ca="1" si="35"/>
        <v>130800</v>
      </c>
      <c r="K71" s="357">
        <f t="shared" ca="1" si="36"/>
        <v>130800</v>
      </c>
      <c r="L71" s="362"/>
      <c r="M71" s="362"/>
      <c r="N71" s="362"/>
      <c r="O71" s="358"/>
      <c r="P71" s="358"/>
      <c r="Q71" s="341"/>
      <c r="R71" s="333"/>
      <c r="S71" s="359"/>
      <c r="T71" s="338"/>
      <c r="U71" s="338"/>
      <c r="V71" s="338"/>
    </row>
    <row r="72" spans="1:22" s="363" customFormat="1">
      <c r="A72" s="333"/>
      <c r="B72" s="484"/>
      <c r="C72" s="485"/>
      <c r="D72" s="353" t="str">
        <f ca="1">IF(ISERROR(OFFSET('HARGA SATUAN'!$D$6,MATCH(RAB!C72,'HARGA SATUAN'!$C$7:$C$1492,0),0)),"",OFFSET('HARGA SATUAN'!$D$6,MATCH(RAB!C72,'HARGA SATUAN'!$C$7:$C$1492,0),0))</f>
        <v/>
      </c>
      <c r="E72" s="354" t="str">
        <f ca="1">IF(B72="+","Unit",IF(ISERROR(OFFSET('HARGA SATUAN'!$E$6,MATCH(RAB!C72,'HARGA SATUAN'!$C$7:$C$1492,0),0)),"",OFFSET('HARGA SATUAN'!$E$6,MATCH(RAB!C72,'HARGA SATUAN'!$C$7:$C$1492,0),0)))</f>
        <v/>
      </c>
      <c r="F72" s="361"/>
      <c r="G72" s="355">
        <f ca="1">IF(ISERROR(OFFSET('HARGA SATUAN'!$I$6,MATCH(RAB!C72,'HARGA SATUAN'!$C$7:$C$1492,0),0)),0,OFFSET('HARGA SATUAN'!$I$6,MATCH(RAB!C72,'HARGA SATUAN'!$C$7:$C$1492,0),0))</f>
        <v>0</v>
      </c>
      <c r="H72" s="356">
        <f t="shared" ca="1" si="33"/>
        <v>0</v>
      </c>
      <c r="I72" s="356">
        <f t="shared" ca="1" si="34"/>
        <v>0</v>
      </c>
      <c r="J72" s="356">
        <f t="shared" ca="1" si="35"/>
        <v>0</v>
      </c>
      <c r="K72" s="357">
        <f t="shared" ca="1" si="36"/>
        <v>0</v>
      </c>
      <c r="L72" s="362"/>
      <c r="M72" s="362"/>
      <c r="N72" s="362"/>
      <c r="O72" s="358"/>
      <c r="P72" s="358"/>
      <c r="Q72" s="341"/>
      <c r="R72" s="333"/>
      <c r="S72" s="359"/>
      <c r="T72" s="338"/>
      <c r="U72" s="338"/>
      <c r="V72" s="338"/>
    </row>
    <row r="73" spans="1:22" s="360" customFormat="1">
      <c r="A73" s="333"/>
      <c r="B73" s="481" t="s">
        <v>526</v>
      </c>
      <c r="C73" s="482" t="s">
        <v>1608</v>
      </c>
      <c r="D73" s="353" t="str">
        <f ca="1">IF(ISERROR(OFFSET('HARGA SATUAN'!$D$6,MATCH(RAB!C73,'HARGA SATUAN'!$C$7:$C$1492,0),0)),"",OFFSET('HARGA SATUAN'!$D$6,MATCH(RAB!C73,'HARGA SATUAN'!$C$7:$C$1492,0),0))</f>
        <v/>
      </c>
      <c r="E73" s="354" t="str">
        <f ca="1">IF(B73="+","Unit",IF(ISERROR(OFFSET('HARGA SATUAN'!$E$6,MATCH(RAB!C73,'HARGA SATUAN'!$C$7:$C$1492,0),0)),"",OFFSET('HARGA SATUAN'!$E$6,MATCH(RAB!C73,'HARGA SATUAN'!$C$7:$C$1492,0),0)))</f>
        <v/>
      </c>
      <c r="F73" s="361"/>
      <c r="G73" s="355">
        <f ca="1">IF(ISERROR(OFFSET('HARGA SATUAN'!$I$6,MATCH(RAB!C73,'HARGA SATUAN'!$C$7:$C$1492,0),0)),0,OFFSET('HARGA SATUAN'!$I$6,MATCH(RAB!C73,'HARGA SATUAN'!$C$7:$C$1492,0),0))</f>
        <v>0</v>
      </c>
      <c r="H73" s="356">
        <f t="shared" ca="1" si="33"/>
        <v>0</v>
      </c>
      <c r="I73" s="356">
        <f t="shared" ca="1" si="34"/>
        <v>0</v>
      </c>
      <c r="J73" s="356">
        <f t="shared" ca="1" si="35"/>
        <v>0</v>
      </c>
      <c r="K73" s="357">
        <f t="shared" ca="1" si="36"/>
        <v>0</v>
      </c>
      <c r="L73" s="339"/>
      <c r="M73" s="339"/>
      <c r="N73" s="362"/>
      <c r="O73" s="341"/>
      <c r="P73" s="386"/>
      <c r="Q73" s="341"/>
    </row>
    <row r="74" spans="1:22" s="360" customFormat="1">
      <c r="A74" s="333"/>
      <c r="B74" s="481"/>
      <c r="C74" s="482"/>
      <c r="D74" s="353" t="str">
        <f ca="1">IF(ISERROR(OFFSET('HARGA SATUAN'!$D$6,MATCH(RAB!C74,'HARGA SATUAN'!$C$7:$C$1492,0),0)),"",OFFSET('HARGA SATUAN'!$D$6,MATCH(RAB!C74,'HARGA SATUAN'!$C$7:$C$1492,0),0))</f>
        <v/>
      </c>
      <c r="E74" s="354" t="str">
        <f ca="1">IF(B74="+","Unit",IF(ISERROR(OFFSET('HARGA SATUAN'!$E$6,MATCH(RAB!C74,'HARGA SATUAN'!$C$7:$C$1492,0),0)),"",OFFSET('HARGA SATUAN'!$E$6,MATCH(RAB!C74,'HARGA SATUAN'!$C$7:$C$1492,0),0)))</f>
        <v/>
      </c>
      <c r="F74" s="361"/>
      <c r="G74" s="355">
        <f ca="1">IF(ISERROR(OFFSET('HARGA SATUAN'!$I$6,MATCH(RAB!C74,'HARGA SATUAN'!$C$7:$C$1492,0),0)),0,OFFSET('HARGA SATUAN'!$I$6,MATCH(RAB!C74,'HARGA SATUAN'!$C$7:$C$1492,0),0))</f>
        <v>0</v>
      </c>
      <c r="H74" s="356">
        <f t="shared" ca="1" si="33"/>
        <v>0</v>
      </c>
      <c r="I74" s="356">
        <f t="shared" ca="1" si="34"/>
        <v>0</v>
      </c>
      <c r="J74" s="356">
        <f t="shared" ca="1" si="35"/>
        <v>0</v>
      </c>
      <c r="K74" s="357">
        <f t="shared" ca="1" si="36"/>
        <v>0</v>
      </c>
      <c r="L74" s="339"/>
      <c r="M74" s="339"/>
      <c r="N74" s="362"/>
      <c r="O74" s="341"/>
      <c r="P74" s="386"/>
      <c r="Q74" s="341"/>
    </row>
    <row r="75" spans="1:22" s="360" customFormat="1">
      <c r="A75" s="333"/>
      <c r="B75" s="488" t="s">
        <v>1035</v>
      </c>
      <c r="C75" s="490" t="s">
        <v>1635</v>
      </c>
      <c r="D75" s="353" t="str">
        <f ca="1">IF(ISERROR(OFFSET('HARGA SATUAN'!$D$6,MATCH(RAB!C75,'HARGA SATUAN'!$C$7:$C$1492,0),0)),"",OFFSET('HARGA SATUAN'!$D$6,MATCH(RAB!C75,'HARGA SATUAN'!$C$7:$C$1492,0),0))</f>
        <v/>
      </c>
      <c r="E75" s="354" t="str">
        <f ca="1">IF(B75="+","Unit",IF(ISERROR(OFFSET('HARGA SATUAN'!$E$6,MATCH(RAB!C75,'HARGA SATUAN'!$C$7:$C$1492,0),0)),"",OFFSET('HARGA SATUAN'!$E$6,MATCH(RAB!C75,'HARGA SATUAN'!$C$7:$C$1492,0),0)))</f>
        <v>Unit</v>
      </c>
      <c r="F75" s="503">
        <v>1</v>
      </c>
      <c r="G75" s="355">
        <f ca="1">IF(ISERROR(OFFSET('HARGA SATUAN'!$I$6,MATCH(RAB!C75,'HARGA SATUAN'!$C$7:$C$1492,0),0)),0,OFFSET('HARGA SATUAN'!$I$6,MATCH(RAB!C75,'HARGA SATUAN'!$C$7:$C$1492,0),0))</f>
        <v>0</v>
      </c>
      <c r="H75" s="356">
        <f t="shared" ref="H75:H79" ca="1" si="37">IF(OR(D75="MDU",D75="MDU-KD"),(IF($O$3="RAB NON MDU","PLN KD",G75*F75)),0)</f>
        <v>0</v>
      </c>
      <c r="I75" s="356">
        <f t="shared" ref="I75:I79" ca="1" si="38">IF(D75="HDW",G75*F75,0)</f>
        <v>0</v>
      </c>
      <c r="J75" s="356">
        <f t="shared" ref="J75:J79" ca="1" si="39">IF(D75="JASA",G75*F75,0)</f>
        <v>0</v>
      </c>
      <c r="K75" s="357">
        <f t="shared" ref="K75:K79" ca="1" si="40">SUM(H75:J75)</f>
        <v>0</v>
      </c>
      <c r="L75" s="339"/>
      <c r="M75" s="339"/>
      <c r="N75" s="362"/>
      <c r="O75" s="341"/>
      <c r="P75" s="386"/>
      <c r="Q75" s="341"/>
    </row>
    <row r="76" spans="1:22" s="360" customFormat="1">
      <c r="A76" s="333"/>
      <c r="B76" s="501">
        <v>1</v>
      </c>
      <c r="C76" s="109" t="s">
        <v>482</v>
      </c>
      <c r="D76" s="353" t="str">
        <f ca="1">IF(ISERROR(OFFSET('HARGA SATUAN'!$D$6,MATCH(RAB!C76,'HARGA SATUAN'!$C$7:$C$1492,0),0)),"",OFFSET('HARGA SATUAN'!$D$6,MATCH(RAB!C76,'HARGA SATUAN'!$C$7:$C$1492,0),0))</f>
        <v>MDU-KD</v>
      </c>
      <c r="E76" s="354" t="str">
        <f ca="1">IF(B76="+","Unit",IF(ISERROR(OFFSET('HARGA SATUAN'!$E$6,MATCH(RAB!C76,'HARGA SATUAN'!$C$7:$C$1492,0),0)),"",OFFSET('HARGA SATUAN'!$E$6,MATCH(RAB!C76,'HARGA SATUAN'!$C$7:$C$1492,0),0)))</f>
        <v>Bh</v>
      </c>
      <c r="F76" s="503">
        <f>F75*1</f>
        <v>1</v>
      </c>
      <c r="G76" s="355">
        <f ca="1">IF(ISERROR(OFFSET('HARGA SATUAN'!$I$6,MATCH(RAB!C76,'HARGA SATUAN'!$C$7:$C$1492,0),0)),0,OFFSET('HARGA SATUAN'!$I$6,MATCH(RAB!C76,'HARGA SATUAN'!$C$7:$C$1492,0),0))</f>
        <v>327600</v>
      </c>
      <c r="H76" s="356">
        <f t="shared" ca="1" si="37"/>
        <v>327600</v>
      </c>
      <c r="I76" s="356">
        <f t="shared" ca="1" si="38"/>
        <v>0</v>
      </c>
      <c r="J76" s="356">
        <f t="shared" ca="1" si="39"/>
        <v>0</v>
      </c>
      <c r="K76" s="357">
        <f t="shared" ca="1" si="40"/>
        <v>327600</v>
      </c>
      <c r="L76" s="339"/>
      <c r="M76" s="339"/>
      <c r="N76" s="362"/>
      <c r="O76" s="341"/>
      <c r="P76" s="386"/>
      <c r="Q76" s="341"/>
    </row>
    <row r="77" spans="1:22" s="360" customFormat="1">
      <c r="A77" s="333"/>
      <c r="B77" s="501">
        <v>2</v>
      </c>
      <c r="C77" s="506" t="s">
        <v>493</v>
      </c>
      <c r="D77" s="353" t="str">
        <f ca="1">IF(ISERROR(OFFSET('HARGA SATUAN'!$D$6,MATCH(RAB!C77,'HARGA SATUAN'!$C$7:$C$1492,0),0)),"",OFFSET('HARGA SATUAN'!$D$6,MATCH(RAB!C77,'HARGA SATUAN'!$C$7:$C$1492,0),0))</f>
        <v>MDU-KD</v>
      </c>
      <c r="E77" s="354" t="str">
        <f ca="1">IF(B77="+","Unit",IF(ISERROR(OFFSET('HARGA SATUAN'!$E$6,MATCH(RAB!C77,'HARGA SATUAN'!$C$7:$C$1492,0),0)),"",OFFSET('HARGA SATUAN'!$E$6,MATCH(RAB!C77,'HARGA SATUAN'!$C$7:$C$1492,0),0)))</f>
        <v>Bh</v>
      </c>
      <c r="F77" s="503">
        <f>F75*1</f>
        <v>1</v>
      </c>
      <c r="G77" s="355">
        <f ca="1">IF(ISERROR(OFFSET('HARGA SATUAN'!$I$6,MATCH(RAB!C77,'HARGA SATUAN'!$C$7:$C$1492,0),0)),0,OFFSET('HARGA SATUAN'!$I$6,MATCH(RAB!C77,'HARGA SATUAN'!$C$7:$C$1492,0),0))</f>
        <v>39000</v>
      </c>
      <c r="H77" s="356">
        <f t="shared" ca="1" si="37"/>
        <v>39000</v>
      </c>
      <c r="I77" s="356">
        <f t="shared" ca="1" si="38"/>
        <v>0</v>
      </c>
      <c r="J77" s="356">
        <f t="shared" ca="1" si="39"/>
        <v>0</v>
      </c>
      <c r="K77" s="357">
        <f t="shared" ca="1" si="40"/>
        <v>39000</v>
      </c>
      <c r="L77" s="339"/>
      <c r="M77" s="339"/>
      <c r="N77" s="362"/>
      <c r="O77" s="341"/>
      <c r="P77" s="386"/>
      <c r="Q77" s="341"/>
    </row>
    <row r="78" spans="1:22" s="360" customFormat="1">
      <c r="A78" s="333"/>
      <c r="B78" s="501">
        <v>3</v>
      </c>
      <c r="C78" s="506" t="s">
        <v>74</v>
      </c>
      <c r="D78" s="353" t="str">
        <f ca="1">IF(ISERROR(OFFSET('HARGA SATUAN'!$D$6,MATCH(RAB!C78,'HARGA SATUAN'!$C$7:$C$1492,0),0)),"",OFFSET('HARGA SATUAN'!$D$6,MATCH(RAB!C78,'HARGA SATUAN'!$C$7:$C$1492,0),0))</f>
        <v>MDU-KD</v>
      </c>
      <c r="E78" s="354" t="str">
        <f ca="1">IF(B78="+","Unit",IF(ISERROR(OFFSET('HARGA SATUAN'!$E$6,MATCH(RAB!C78,'HARGA SATUAN'!$C$7:$C$1492,0),0)),"",OFFSET('HARGA SATUAN'!$E$6,MATCH(RAB!C78,'HARGA SATUAN'!$C$7:$C$1492,0),0)))</f>
        <v>Mtr</v>
      </c>
      <c r="F78" s="503">
        <f>F75*1</f>
        <v>1</v>
      </c>
      <c r="G78" s="355">
        <f ca="1">IF(ISERROR(OFFSET('HARGA SATUAN'!$I$6,MATCH(RAB!C78,'HARGA SATUAN'!$C$7:$C$1492,0),0)),0,OFFSET('HARGA SATUAN'!$I$6,MATCH(RAB!C78,'HARGA SATUAN'!$C$7:$C$1492,0),0))</f>
        <v>6600</v>
      </c>
      <c r="H78" s="356">
        <f t="shared" ca="1" si="37"/>
        <v>6600</v>
      </c>
      <c r="I78" s="356">
        <f t="shared" ca="1" si="38"/>
        <v>0</v>
      </c>
      <c r="J78" s="356">
        <f t="shared" ca="1" si="39"/>
        <v>0</v>
      </c>
      <c r="K78" s="357">
        <f t="shared" ca="1" si="40"/>
        <v>6600</v>
      </c>
      <c r="L78" s="339"/>
      <c r="M78" s="339"/>
      <c r="N78" s="362"/>
      <c r="O78" s="341"/>
      <c r="P78" s="386"/>
      <c r="Q78" s="341"/>
    </row>
    <row r="79" spans="1:22" s="360" customFormat="1">
      <c r="A79" s="333"/>
      <c r="B79" s="501">
        <v>4</v>
      </c>
      <c r="C79" s="506" t="s">
        <v>798</v>
      </c>
      <c r="D79" s="353" t="str">
        <f ca="1">IF(ISERROR(OFFSET('HARGA SATUAN'!$D$6,MATCH(RAB!C79,'HARGA SATUAN'!$C$7:$C$1492,0),0)),"",OFFSET('HARGA SATUAN'!$D$6,MATCH(RAB!C79,'HARGA SATUAN'!$C$7:$C$1492,0),0))</f>
        <v>JASA</v>
      </c>
      <c r="E79" s="354" t="str">
        <f ca="1">IF(B79="+","Unit",IF(ISERROR(OFFSET('HARGA SATUAN'!$E$6,MATCH(RAB!C79,'HARGA SATUAN'!$C$7:$C$1492,0),0)),"",OFFSET('HARGA SATUAN'!$E$6,MATCH(RAB!C79,'HARGA SATUAN'!$C$7:$C$1492,0),0)))</f>
        <v>Unit</v>
      </c>
      <c r="F79" s="503">
        <f>F75*35</f>
        <v>35</v>
      </c>
      <c r="G79" s="355">
        <f ca="1">IF(ISERROR(OFFSET('HARGA SATUAN'!$I$6,MATCH(RAB!C79,'HARGA SATUAN'!$C$7:$C$1492,0),0)),0,OFFSET('HARGA SATUAN'!$I$6,MATCH(RAB!C79,'HARGA SATUAN'!$C$7:$C$1492,0),0))</f>
        <v>54400</v>
      </c>
      <c r="H79" s="356">
        <f t="shared" ca="1" si="37"/>
        <v>0</v>
      </c>
      <c r="I79" s="356">
        <f t="shared" ca="1" si="38"/>
        <v>0</v>
      </c>
      <c r="J79" s="356">
        <f t="shared" ca="1" si="39"/>
        <v>1904000</v>
      </c>
      <c r="K79" s="357">
        <f t="shared" ca="1" si="40"/>
        <v>1904000</v>
      </c>
      <c r="L79" s="339"/>
      <c r="M79" s="339"/>
      <c r="N79" s="362"/>
      <c r="O79" s="341"/>
      <c r="P79" s="386"/>
      <c r="Q79" s="341"/>
    </row>
    <row r="80" spans="1:22">
      <c r="B80" s="364"/>
      <c r="C80" s="492"/>
      <c r="D80" s="353"/>
      <c r="E80" s="354"/>
      <c r="F80" s="361"/>
      <c r="G80" s="355"/>
      <c r="H80" s="356"/>
      <c r="I80" s="356"/>
      <c r="J80" s="356"/>
      <c r="K80" s="357"/>
    </row>
    <row r="81" spans="2:13">
      <c r="B81" s="489"/>
      <c r="C81" s="491"/>
      <c r="D81" s="353" t="str">
        <f ca="1">IF(ISERROR(OFFSET('HARGA SATUAN'!$D$6,MATCH(RAB!C81,'HARGA SATUAN'!$C$7:$C$1492,0),0)),"",OFFSET('HARGA SATUAN'!$D$6,MATCH(RAB!C81,'HARGA SATUAN'!$C$7:$C$1492,0),0))</f>
        <v/>
      </c>
      <c r="E81" s="354" t="str">
        <f ca="1">IF(B81="+","Unit",IF(ISERROR(OFFSET('HARGA SATUAN'!$E$6,MATCH(RAB!C81,'HARGA SATUAN'!$C$7:$C$1492,0),0)),"",OFFSET('HARGA SATUAN'!$E$6,MATCH(RAB!C81,'HARGA SATUAN'!$C$7:$C$1492,0),0)))</f>
        <v/>
      </c>
      <c r="F81" s="500"/>
      <c r="G81" s="355">
        <f ca="1">IF(ISERROR(OFFSET('HARGA SATUAN'!$I$6,MATCH(RAB!C81,'HARGA SATUAN'!$C$7:$C$1492,0),0)),0,OFFSET('HARGA SATUAN'!$I$6,MATCH(RAB!C81,'HARGA SATUAN'!$C$7:$C$1492,0),0))</f>
        <v>0</v>
      </c>
      <c r="H81" s="356">
        <f t="shared" ref="H81:H85" ca="1" si="41">IF(OR(D81="MDU",D81="MDU-KD"),(IF($O$3="RAB NON MDU","PLN KD",G81*F81)),0)</f>
        <v>0</v>
      </c>
      <c r="I81" s="356">
        <f t="shared" ref="I81:I85" ca="1" si="42">IF(D81="HDW",G81*F81,0)</f>
        <v>0</v>
      </c>
      <c r="J81" s="356">
        <f t="shared" ref="J81:J85" ca="1" si="43">IF(D81="JASA",G81*F81,0)</f>
        <v>0</v>
      </c>
      <c r="K81" s="357">
        <f t="shared" ref="K81:K85" ca="1" si="44">SUM(H81:J81)</f>
        <v>0</v>
      </c>
    </row>
    <row r="82" spans="2:13">
      <c r="B82" s="481" t="s">
        <v>530</v>
      </c>
      <c r="C82" s="482" t="s">
        <v>1608</v>
      </c>
      <c r="D82" s="353" t="str">
        <f ca="1">IF(ISERROR(OFFSET('HARGA SATUAN'!$D$6,MATCH(RAB!C82,'HARGA SATUAN'!$C$7:$C$1492,0),0)),"",OFFSET('HARGA SATUAN'!$D$6,MATCH(RAB!C82,'HARGA SATUAN'!$C$7:$C$1492,0),0))</f>
        <v/>
      </c>
      <c r="E82" s="354" t="str">
        <f ca="1">IF(B82="+","Unit",IF(ISERROR(OFFSET('HARGA SATUAN'!$E$6,MATCH(RAB!C82,'HARGA SATUAN'!$C$7:$C$1492,0),0)),"",OFFSET('HARGA SATUAN'!$E$6,MATCH(RAB!C82,'HARGA SATUAN'!$C$7:$C$1492,0),0)))</f>
        <v/>
      </c>
      <c r="F82" s="361"/>
      <c r="G82" s="355">
        <f ca="1">IF(ISERROR(OFFSET('HARGA SATUAN'!$I$6,MATCH(RAB!C82,'HARGA SATUAN'!$C$7:$C$1492,0),0)),0,OFFSET('HARGA SATUAN'!$I$6,MATCH(RAB!C82,'HARGA SATUAN'!$C$7:$C$1492,0),0))</f>
        <v>0</v>
      </c>
      <c r="H82" s="356">
        <f t="shared" ca="1" si="41"/>
        <v>0</v>
      </c>
      <c r="I82" s="356">
        <f t="shared" ca="1" si="42"/>
        <v>0</v>
      </c>
      <c r="J82" s="356">
        <f t="shared" ca="1" si="43"/>
        <v>0</v>
      </c>
      <c r="K82" s="357">
        <f t="shared" ca="1" si="44"/>
        <v>0</v>
      </c>
    </row>
    <row r="83" spans="2:13">
      <c r="B83" s="364">
        <v>1</v>
      </c>
      <c r="C83" s="109" t="s">
        <v>798</v>
      </c>
      <c r="D83" s="353" t="str">
        <f ca="1">IF(ISERROR(OFFSET('HARGA SATUAN'!$D$6,MATCH(RAB!C83,'HARGA SATUAN'!$C$7:$C$1492,0),0)),"",OFFSET('HARGA SATUAN'!$D$6,MATCH(RAB!C83,'HARGA SATUAN'!$C$7:$C$1492,0),0))</f>
        <v>JASA</v>
      </c>
      <c r="E83" s="354" t="str">
        <f ca="1">IF(B83="+","Unit",IF(ISERROR(OFFSET('HARGA SATUAN'!$E$6,MATCH(RAB!C83,'HARGA SATUAN'!$C$7:$C$1492,0),0)),"",OFFSET('HARGA SATUAN'!$E$6,MATCH(RAB!C83,'HARGA SATUAN'!$C$7:$C$1492,0),0)))</f>
        <v>Unit</v>
      </c>
      <c r="F83" s="361">
        <v>1</v>
      </c>
      <c r="G83" s="355">
        <f ca="1">IF(ISERROR(OFFSET('HARGA SATUAN'!$I$6,MATCH(RAB!C83,'HARGA SATUAN'!$C$7:$C$1492,0),0)),0,OFFSET('HARGA SATUAN'!$I$6,MATCH(RAB!C83,'HARGA SATUAN'!$C$7:$C$1492,0),0))</f>
        <v>54400</v>
      </c>
      <c r="H83" s="356">
        <f t="shared" ca="1" si="41"/>
        <v>0</v>
      </c>
      <c r="I83" s="356">
        <f t="shared" ca="1" si="42"/>
        <v>0</v>
      </c>
      <c r="J83" s="356">
        <f t="shared" ca="1" si="43"/>
        <v>54400</v>
      </c>
      <c r="K83" s="357">
        <f t="shared" ca="1" si="44"/>
        <v>54400</v>
      </c>
    </row>
    <row r="84" spans="2:13">
      <c r="B84" s="364"/>
      <c r="C84" s="486"/>
      <c r="D84" s="353" t="str">
        <f ca="1">IF(ISERROR(OFFSET('HARGA SATUAN'!$D$6,MATCH(RAB!C84,'HARGA SATUAN'!$C$7:$C$1492,0),0)),"",OFFSET('HARGA SATUAN'!$D$6,MATCH(RAB!C84,'HARGA SATUAN'!$C$7:$C$1492,0),0))</f>
        <v/>
      </c>
      <c r="E84" s="354" t="str">
        <f ca="1">IF(B84="+","Unit",IF(ISERROR(OFFSET('HARGA SATUAN'!$E$6,MATCH(RAB!C84,'HARGA SATUAN'!$C$7:$C$1492,0),0)),"",OFFSET('HARGA SATUAN'!$E$6,MATCH(RAB!C84,'HARGA SATUAN'!$C$7:$C$1492,0),0)))</f>
        <v/>
      </c>
      <c r="F84" s="361"/>
      <c r="G84" s="355">
        <f ca="1">IF(ISERROR(OFFSET('HARGA SATUAN'!$I$6,MATCH(RAB!C84,'HARGA SATUAN'!$C$7:$C$1492,0),0)),0,OFFSET('HARGA SATUAN'!$I$6,MATCH(RAB!C84,'HARGA SATUAN'!$C$7:$C$1492,0),0))</f>
        <v>0</v>
      </c>
      <c r="H84" s="356">
        <f t="shared" ca="1" si="41"/>
        <v>0</v>
      </c>
      <c r="I84" s="356">
        <f t="shared" ca="1" si="42"/>
        <v>0</v>
      </c>
      <c r="J84" s="356">
        <f t="shared" ca="1" si="43"/>
        <v>0</v>
      </c>
      <c r="K84" s="357">
        <f t="shared" ca="1" si="44"/>
        <v>0</v>
      </c>
    </row>
    <row r="85" spans="2:13">
      <c r="B85" s="365"/>
      <c r="C85" s="366" t="s">
        <v>475</v>
      </c>
      <c r="D85" s="353" t="str">
        <f ca="1">IF(ISERROR(OFFSET('HARGA SATUAN'!$D$6,MATCH(RAB!C85,'HARGA SATUAN'!$C$7:$C$1492,0),0)),"",OFFSET('HARGA SATUAN'!$D$6,MATCH(RAB!C85,'HARGA SATUAN'!$C$7:$C$1492,0),0))</f>
        <v/>
      </c>
      <c r="E85" s="354" t="str">
        <f ca="1">IF(B85="+","Unit",IF(ISERROR(OFFSET('HARGA SATUAN'!$E$6,MATCH(RAB!C85,'HARGA SATUAN'!$C$7:$C$1492,0),0)),"",OFFSET('HARGA SATUAN'!$E$6,MATCH(RAB!C85,'HARGA SATUAN'!$C$7:$C$1492,0),0)))</f>
        <v/>
      </c>
      <c r="F85" s="361"/>
      <c r="G85" s="355">
        <f ca="1">IF(ISERROR(OFFSET('HARGA SATUAN'!$I$6,MATCH(RAB!C85,'HARGA SATUAN'!$C$7:$C$1492,0),0)),0,OFFSET('HARGA SATUAN'!$I$6,MATCH(RAB!C85,'HARGA SATUAN'!$C$7:$C$1492,0),0))</f>
        <v>0</v>
      </c>
      <c r="H85" s="356">
        <f t="shared" ca="1" si="41"/>
        <v>0</v>
      </c>
      <c r="I85" s="356">
        <f t="shared" ca="1" si="42"/>
        <v>0</v>
      </c>
      <c r="J85" s="356">
        <f t="shared" ca="1" si="43"/>
        <v>0</v>
      </c>
      <c r="K85" s="357">
        <f t="shared" ca="1" si="44"/>
        <v>0</v>
      </c>
    </row>
    <row r="86" spans="2:13">
      <c r="B86" s="368">
        <v>1</v>
      </c>
      <c r="C86" s="369" t="s">
        <v>1091</v>
      </c>
      <c r="D86" s="370" t="str">
        <f ca="1">IF(ISERROR(OFFSET('HARGA SATUAN'!$D$6,MATCH(RAB!C86,'HARGA SATUAN'!$C$7:$C$1492,0),0)),"",OFFSET('HARGA SATUAN'!$D$6,MATCH(RAB!C86,'HARGA SATUAN'!$C$7:$C$1492,0),0))</f>
        <v>JASA</v>
      </c>
      <c r="E86" s="371" t="str">
        <f ca="1">IF(ISERROR(OFFSET('HARGA SATUAN'!$E$6,MATCH(RAB!C86,'HARGA SATUAN'!$C$7:$C$1492,0),0)),"",OFFSET('HARGA SATUAN'!$E$6,MATCH(RAB!C86,'HARGA SATUAN'!$C$7:$C$1492,0),0))</f>
        <v>Lot</v>
      </c>
      <c r="F86" s="372">
        <v>1</v>
      </c>
      <c r="G86" s="373">
        <f ca="1">IF(ISERROR(OFFSET('HARGA SATUAN'!$I$6,MATCH(RAB!C86,'HARGA SATUAN'!$C$7:$C$1492,0),0)),0,OFFSET('HARGA SATUAN'!$I$6,MATCH(RAB!C86,'HARGA SATUAN'!$C$7:$C$1492,0),0))</f>
        <v>2.5000000000000001E-2</v>
      </c>
      <c r="H86" s="374">
        <f ca="1">(SUM(H14:H85))*2.5%</f>
        <v>1294960</v>
      </c>
      <c r="I86" s="374">
        <f ca="1">(SUM(I14:I85))*2.5%</f>
        <v>109766.50600000001</v>
      </c>
      <c r="J86" s="374">
        <f ca="1">(SUM(J14:J85))*2.5%</f>
        <v>143142.5</v>
      </c>
      <c r="K86" s="374">
        <f ca="1">(SUM(K14:K85))*2.5%</f>
        <v>1547869.0060000001</v>
      </c>
    </row>
    <row r="87" spans="2:13">
      <c r="B87" s="375"/>
      <c r="C87" s="376"/>
      <c r="D87" s="353" t="str">
        <f ca="1">IF(ISERROR(OFFSET('HARGA SATUAN'!$D$6,MATCH(RAB!C87,'HARGA SATUAN'!$C$7:$C$1492,0),0)),"",OFFSET('HARGA SATUAN'!$D$6,MATCH(RAB!C87,'HARGA SATUAN'!$C$7:$C$1492,0),0))</f>
        <v/>
      </c>
      <c r="E87" s="354" t="str">
        <f ca="1">IF(ISERROR(OFFSET('HARGA SATUAN'!$E$6,MATCH(RAB!C87,'HARGA SATUAN'!$C$7:$C$1492,0),0)),"",OFFSET('HARGA SATUAN'!$E$6,MATCH(RAB!C87,'HARGA SATUAN'!$C$7:$C$1492,0),0))</f>
        <v/>
      </c>
      <c r="F87" s="367"/>
      <c r="G87" s="355" t="str">
        <f ca="1">IF(ISERROR(OFFSET('HARGA SATUAN'!$I$6,MATCH(RAB!C87,'HARGA SATUAN'!$C$7:$C$1492,0),0)),"",OFFSET('HARGA SATUAN'!$I$6,MATCH(RAB!C87,'HARGA SATUAN'!$C$7:$C$1492,0),0))</f>
        <v/>
      </c>
      <c r="H87" s="356">
        <f ca="1">IF(OR(D87="MDU",D87="MDU-KD"),IF(G87="PLN",0,G87*F87),0)</f>
        <v>0</v>
      </c>
      <c r="I87" s="356">
        <f ca="1">IF(D87="HDW",IF(G87="PLN",0,G87*F87),0)</f>
        <v>0</v>
      </c>
      <c r="J87" s="356">
        <f ca="1">IF(D87="JASA",IF(G87="PLN",0,G87*F87),0)</f>
        <v>0</v>
      </c>
      <c r="K87" s="357">
        <f ca="1">SUM(H87:J87)</f>
        <v>0</v>
      </c>
    </row>
    <row r="88" spans="2:13" ht="15.75" thickBot="1">
      <c r="B88" s="377"/>
      <c r="C88" s="378"/>
      <c r="D88" s="379"/>
      <c r="E88" s="380"/>
      <c r="F88" s="380"/>
      <c r="G88" s="380"/>
      <c r="H88" s="381"/>
      <c r="I88" s="381"/>
      <c r="J88" s="381"/>
      <c r="K88" s="382"/>
    </row>
    <row r="89" spans="2:13">
      <c r="B89" s="383"/>
      <c r="C89" s="628" t="s">
        <v>1008</v>
      </c>
      <c r="D89" s="628"/>
      <c r="E89" s="628"/>
      <c r="F89" s="628"/>
      <c r="G89" s="384" t="s">
        <v>9</v>
      </c>
      <c r="H89" s="385">
        <f ca="1">SUM(H14:H87)</f>
        <v>53093360</v>
      </c>
      <c r="I89" s="385">
        <f ca="1">SUM(I14:I87)</f>
        <v>4500426.7460000003</v>
      </c>
      <c r="J89" s="385">
        <f ca="1">SUM(J14:J87)</f>
        <v>5868842.5</v>
      </c>
      <c r="K89" s="385">
        <f ca="1">SUM(K14:K87)</f>
        <v>63462629.245999992</v>
      </c>
    </row>
    <row r="90" spans="2:13">
      <c r="B90" s="387"/>
      <c r="C90" s="611" t="s">
        <v>1457</v>
      </c>
      <c r="D90" s="611"/>
      <c r="E90" s="611"/>
      <c r="F90" s="611"/>
      <c r="G90" s="388" t="s">
        <v>9</v>
      </c>
      <c r="H90" s="389">
        <f ca="1">H89*0.11</f>
        <v>5840269.5999999996</v>
      </c>
      <c r="I90" s="389">
        <f ca="1">I89*0.11</f>
        <v>495046.94206000003</v>
      </c>
      <c r="J90" s="389">
        <f ca="1">J89*0.11</f>
        <v>645572.67500000005</v>
      </c>
      <c r="K90" s="389">
        <f ca="1">K89*0.11</f>
        <v>6980889.2170599988</v>
      </c>
    </row>
    <row r="91" spans="2:13" ht="15.75" thickBot="1">
      <c r="B91" s="387"/>
      <c r="C91" s="609" t="s">
        <v>463</v>
      </c>
      <c r="D91" s="609"/>
      <c r="E91" s="609"/>
      <c r="F91" s="609"/>
      <c r="G91" s="390" t="s">
        <v>9</v>
      </c>
      <c r="H91" s="391">
        <f ca="1">SUM(H89:H90)</f>
        <v>58933629.600000001</v>
      </c>
      <c r="I91" s="391">
        <f ca="1">SUM(I89:I90)</f>
        <v>4995473.6880600005</v>
      </c>
      <c r="J91" s="390">
        <f ca="1">SUM(J89:J90)</f>
        <v>6514415.1749999998</v>
      </c>
      <c r="K91" s="390">
        <f ca="1">SUM(K89:K90)</f>
        <v>70443518.463059992</v>
      </c>
      <c r="M91" s="469"/>
    </row>
    <row r="92" spans="2:13">
      <c r="B92" s="612" t="str">
        <f ca="1">"Terbilang : "&amp;PROPER(IF(K91=0,"nol",IF(K91&lt;0,"minus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IF(--MID(TEXT(ABS(K91),"000000000000000"),1,3)=0,"",MID(TEXT(ABS(K91),"000000000000000"),1,1)&amp;" ratus "&amp;MID(TEXT(ABS(K91),"000000000000000"),2,1)&amp;" puluh "&amp;MID(TEXT(ABS(K91),"000000000000000"),3,1)&amp;" trilyun ")&amp; IF(--MID(TEXT(ABS(K91),"000000000000000"),4,3)=0,"",MID(TEXT(ABS(K91),"000000000000000"),4,1)&amp;" ratus "&amp;MID(TEXT(ABS(K91),"000000000000000"),5,1)&amp;" puluh "&amp;MID(TEXT(ABS(K91),"000000000000000"),6,1)&amp;" milyar ")&amp; IF(--MID(TEXT(ABS(K91),"000000000000000"),7,3)=0,"",MID(TEXT(ABS(K91),"000000000000000"),7,1)&amp;" ratus "&amp;MID(TEXT(ABS(K91),"000000000000000"),8,1)&amp;" puluh "&amp;MID(TEXT(ABS(K91),"000000000000000"),9,1)&amp;" juta ")&amp; IF(--MID(TEXT(ABS(K91),"000000000000000"),10,3)=0,"",IF(--MID(TEXT(ABS(K91),"000000000000000"),10,3)=1,"*",MID(TEXT(ABS(K91),"000000000000000"),10,1)&amp;" ratus "&amp;MID(TEXT(ABS(K91),"000000000000000"),11,1)&amp;" puluh ")&amp;MID(TEXT(ABS(K91),"000000000000000"),12,1)&amp;" ribu ")&amp; IF(--MID(TEXT(ABS(K91),"000000000000000"),13,3)=0,"",MID(TEXT(ABS(K91),"000000000000000"),13,1)&amp;" ratus "&amp;MID(TEXT(ABS(K91),"000000000000000"),14,1)&amp;" puluh "&amp;MID(TEXT(ABS(K91),"000000000000000"),15,1)),1,"satu"),2,"dua"),3,"tiga"),4,"empat"),5,"lima"),6,"enam"),7,"tujuh"),8,"delapan"),9,"sembilan"),"0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Juta Empat Ratus Empat Puluh Tiga Ribu Lima Ratus Delapan Belas Rupiah</v>
      </c>
      <c r="C92" s="613"/>
      <c r="D92" s="613"/>
      <c r="E92" s="613"/>
      <c r="F92" s="613"/>
      <c r="G92" s="613"/>
      <c r="H92" s="613"/>
      <c r="I92" s="613"/>
      <c r="J92" s="613"/>
      <c r="K92" s="614"/>
    </row>
    <row r="93" spans="2:13">
      <c r="B93" s="615"/>
      <c r="C93" s="616"/>
      <c r="D93" s="616"/>
      <c r="E93" s="616"/>
      <c r="F93" s="616"/>
      <c r="G93" s="616"/>
      <c r="H93" s="616"/>
      <c r="I93" s="616"/>
      <c r="J93" s="616"/>
      <c r="K93" s="617"/>
    </row>
    <row r="94" spans="2:13" ht="15.75" thickBot="1">
      <c r="B94" s="392" t="str">
        <f>"Harga yang dipakai adalah "&amp;'HARGA SATUAN'!I5&amp;""</f>
        <v>Harga yang dipakai adalah RAB HSS 2023</v>
      </c>
      <c r="C94" s="393"/>
      <c r="D94" s="394"/>
      <c r="E94" s="394"/>
      <c r="F94" s="394"/>
      <c r="G94" s="395"/>
      <c r="H94" s="395"/>
      <c r="I94" s="395"/>
      <c r="J94" s="395"/>
      <c r="K94" s="396"/>
    </row>
    <row r="95" spans="2:13">
      <c r="C95" s="397"/>
      <c r="E95" s="399"/>
      <c r="F95" s="399"/>
      <c r="G95" s="399"/>
    </row>
    <row r="96" spans="2:13">
      <c r="C96" s="334"/>
      <c r="E96" s="399"/>
      <c r="F96" s="399"/>
      <c r="G96" s="399"/>
      <c r="H96" s="618"/>
      <c r="I96" s="618"/>
      <c r="J96" s="619"/>
      <c r="K96" s="619"/>
    </row>
    <row r="97" spans="3:11">
      <c r="C97" s="334"/>
      <c r="E97" s="399"/>
      <c r="F97" s="399"/>
      <c r="G97" s="399"/>
      <c r="H97" s="400"/>
      <c r="I97" s="608" t="s">
        <v>1636</v>
      </c>
      <c r="J97" s="608"/>
      <c r="K97" s="608"/>
    </row>
    <row r="98" spans="3:11">
      <c r="C98" s="334"/>
      <c r="E98" s="399"/>
      <c r="F98" s="399"/>
      <c r="G98" s="399"/>
      <c r="H98" s="400"/>
      <c r="I98" s="608" t="s">
        <v>1621</v>
      </c>
      <c r="J98" s="608"/>
      <c r="K98" s="608"/>
    </row>
    <row r="99" spans="3:11">
      <c r="C99" s="334"/>
      <c r="E99" s="399"/>
      <c r="F99" s="399"/>
      <c r="G99" s="399"/>
      <c r="H99" s="401"/>
      <c r="I99" s="402"/>
      <c r="J99" s="402"/>
      <c r="K99" s="402"/>
    </row>
    <row r="100" spans="3:11">
      <c r="C100" s="334"/>
      <c r="E100" s="399"/>
      <c r="F100" s="399"/>
      <c r="G100" s="399"/>
      <c r="H100" s="401"/>
      <c r="I100" s="401"/>
      <c r="J100" s="401"/>
      <c r="K100" s="401"/>
    </row>
    <row r="101" spans="3:11">
      <c r="C101" s="334"/>
      <c r="E101" s="399"/>
      <c r="F101" s="399"/>
      <c r="G101" s="399"/>
      <c r="H101" s="401"/>
      <c r="I101" s="401"/>
      <c r="J101" s="401"/>
      <c r="K101" s="401"/>
    </row>
    <row r="102" spans="3:11">
      <c r="C102" s="334"/>
      <c r="E102" s="399"/>
      <c r="F102" s="399"/>
      <c r="G102" s="399"/>
      <c r="H102" s="401"/>
      <c r="I102" s="401"/>
      <c r="J102" s="401"/>
      <c r="K102" s="401"/>
    </row>
    <row r="103" spans="3:11">
      <c r="C103" s="334"/>
      <c r="E103" s="399"/>
      <c r="F103" s="399"/>
      <c r="G103" s="399"/>
      <c r="H103" s="403"/>
      <c r="I103" s="608" t="s">
        <v>1637</v>
      </c>
      <c r="J103" s="608"/>
      <c r="K103" s="608"/>
    </row>
    <row r="104" spans="3:11">
      <c r="C104" s="397"/>
      <c r="E104" s="399"/>
      <c r="F104" s="399"/>
      <c r="G104" s="399"/>
      <c r="H104" s="401"/>
      <c r="I104" s="401"/>
      <c r="J104" s="401"/>
      <c r="K104" s="401"/>
    </row>
    <row r="105" spans="3:11">
      <c r="C105" s="397"/>
      <c r="E105" s="399"/>
      <c r="F105" s="399"/>
      <c r="G105" s="399"/>
      <c r="H105" s="401"/>
      <c r="I105" s="401"/>
      <c r="J105" s="401"/>
      <c r="K105" s="401"/>
    </row>
    <row r="106" spans="3:11">
      <c r="C106" s="397"/>
      <c r="E106" s="399"/>
      <c r="F106" s="399"/>
      <c r="G106" s="399"/>
      <c r="H106" s="401"/>
      <c r="I106" s="401"/>
      <c r="J106" s="401"/>
      <c r="K106" s="401"/>
    </row>
  </sheetData>
  <sheetProtection sort="0" autoFilter="0"/>
  <protectedRanges>
    <protectedRange sqref="B80:B81 B83:B84" name="Range1_1"/>
    <protectedRange sqref="F61 F72:F74 F45:F47 F14:F27 F80:F85" name="Range1_1_2_2"/>
    <protectedRange sqref="C61 C72 C45:C47" name="Range1_1_3"/>
    <protectedRange sqref="C80" name="Range1_6_1"/>
    <protectedRange sqref="B57:C60 B48:C48 B49 B56 B53:C55 B52 B50:C51" name="Range1_1_1_1_1"/>
    <protectedRange sqref="B62:C71" name="Range1_1_1_1_2"/>
    <protectedRange sqref="C56" name="Range1_1_3_2"/>
    <protectedRange sqref="B75:C75 B77:C78 B76 B79" name="Range1_6"/>
    <protectedRange sqref="C79" name="Range1_1_3_3"/>
    <protectedRange sqref="C52" name="Range1_1_3_4"/>
    <protectedRange sqref="C18" name="Range1_1_2_1_1"/>
    <protectedRange sqref="C19:C26 C28:C42" name="Range1_10_1"/>
    <protectedRange sqref="C27" name="Range1_1_2"/>
    <protectedRange sqref="F28:F44" name="Range1_1_2_2_3"/>
    <protectedRange sqref="C49" name="Range1_1_3_7"/>
    <protectedRange sqref="C76" name="Range1_1_3_8"/>
    <protectedRange sqref="C83" name="Range1_1_3_12"/>
    <protectedRange sqref="C43" name="Range1_1_3_5"/>
    <protectedRange sqref="C44" name="Range1_1_3_9"/>
  </protectedRanges>
  <mergeCells count="22">
    <mergeCell ref="O3:P4"/>
    <mergeCell ref="B4:K4"/>
    <mergeCell ref="C89:F89"/>
    <mergeCell ref="B11:B13"/>
    <mergeCell ref="C11:C13"/>
    <mergeCell ref="D11:D13"/>
    <mergeCell ref="E11:E13"/>
    <mergeCell ref="F11:F13"/>
    <mergeCell ref="G11:G13"/>
    <mergeCell ref="I12:I13"/>
    <mergeCell ref="I98:K98"/>
    <mergeCell ref="I103:K103"/>
    <mergeCell ref="C91:F91"/>
    <mergeCell ref="G6:K6"/>
    <mergeCell ref="I97:K97"/>
    <mergeCell ref="C90:F90"/>
    <mergeCell ref="B92:K93"/>
    <mergeCell ref="H96:K96"/>
    <mergeCell ref="H11:K11"/>
    <mergeCell ref="H12:H13"/>
    <mergeCell ref="J12:J13"/>
    <mergeCell ref="K12:K13"/>
  </mergeCells>
  <phoneticPr fontId="140" type="noConversion"/>
  <conditionalFormatting sqref="C45:C47 C15 C84 C17:C18 C81">
    <cfRule type="cellIs" dxfId="36" priority="66" operator="equal">
      <formula>0</formula>
    </cfRule>
  </conditionalFormatting>
  <conditionalFormatting sqref="C61 C72">
    <cfRule type="cellIs" dxfId="35" priority="587" operator="equal">
      <formula>0</formula>
    </cfRule>
  </conditionalFormatting>
  <conditionalFormatting sqref="C52:C53">
    <cfRule type="cellIs" dxfId="34" priority="57" operator="equal">
      <formula>0</formula>
    </cfRule>
  </conditionalFormatting>
  <conditionalFormatting sqref="C56">
    <cfRule type="cellIs" dxfId="33" priority="60" operator="equal">
      <formula>0</formula>
    </cfRule>
  </conditionalFormatting>
  <conditionalFormatting sqref="E1:E3 G1:G13 E5:E13 H12:I12 O13 E86:G86 H86:K88 E87:H87 E88:F88 E27:K27 E75:E79 G75:K79 E14:K17 E45:K74 S14:V33 S41:V72 E80:K85">
    <cfRule type="cellIs" dxfId="32" priority="1167" stopIfTrue="1" operator="equal">
      <formula>0</formula>
    </cfRule>
  </conditionalFormatting>
  <conditionalFormatting sqref="E28:E33 G28:K33 E18:K20 E21:E26 G21:K26 G41:K44 E41:E44">
    <cfRule type="cellIs" dxfId="31" priority="54" stopIfTrue="1" operator="equal">
      <formula>0</formula>
    </cfRule>
  </conditionalFormatting>
  <conditionalFormatting sqref="G87:G65553 E92:E65553">
    <cfRule type="cellIs" dxfId="30" priority="301" stopIfTrue="1" operator="equal">
      <formula>0</formula>
    </cfRule>
  </conditionalFormatting>
  <conditionalFormatting sqref="C27">
    <cfRule type="cellIs" dxfId="29" priority="36" operator="equal">
      <formula>0</formula>
    </cfRule>
  </conditionalFormatting>
  <conditionalFormatting sqref="F28:F33 F41:F44">
    <cfRule type="cellIs" dxfId="28" priority="34" stopIfTrue="1" operator="equal">
      <formula>0</formula>
    </cfRule>
  </conditionalFormatting>
  <conditionalFormatting sqref="F21:F26">
    <cfRule type="cellIs" dxfId="27" priority="33" stopIfTrue="1" operator="equal">
      <formula>0</formula>
    </cfRule>
  </conditionalFormatting>
  <conditionalFormatting sqref="C49">
    <cfRule type="cellIs" dxfId="26" priority="32" operator="equal">
      <formula>0</formula>
    </cfRule>
  </conditionalFormatting>
  <conditionalFormatting sqref="F75:F79">
    <cfRule type="cellIs" dxfId="25" priority="30" stopIfTrue="1" operator="equal">
      <formula>0</formula>
    </cfRule>
  </conditionalFormatting>
  <conditionalFormatting sqref="C76">
    <cfRule type="cellIs" dxfId="24" priority="29" operator="equal">
      <formula>0</formula>
    </cfRule>
  </conditionalFormatting>
  <conditionalFormatting sqref="C83">
    <cfRule type="cellIs" dxfId="23" priority="25" operator="equal">
      <formula>0</formula>
    </cfRule>
  </conditionalFormatting>
  <conditionalFormatting sqref="C43">
    <cfRule type="cellIs" dxfId="22" priority="23" operator="equal">
      <formula>0</formula>
    </cfRule>
  </conditionalFormatting>
  <conditionalFormatting sqref="C44">
    <cfRule type="cellIs" dxfId="21" priority="22" operator="equal">
      <formula>0</formula>
    </cfRule>
  </conditionalFormatting>
  <conditionalFormatting sqref="S40:V40">
    <cfRule type="cellIs" dxfId="20" priority="21" stopIfTrue="1" operator="equal">
      <formula>0</formula>
    </cfRule>
  </conditionalFormatting>
  <conditionalFormatting sqref="E40 G40:K40">
    <cfRule type="cellIs" dxfId="19" priority="20" stopIfTrue="1" operator="equal">
      <formula>0</formula>
    </cfRule>
  </conditionalFormatting>
  <conditionalFormatting sqref="F40">
    <cfRule type="cellIs" dxfId="18" priority="19" stopIfTrue="1" operator="equal">
      <formula>0</formula>
    </cfRule>
  </conditionalFormatting>
  <conditionalFormatting sqref="S39:V39">
    <cfRule type="cellIs" dxfId="17" priority="18" stopIfTrue="1" operator="equal">
      <formula>0</formula>
    </cfRule>
  </conditionalFormatting>
  <conditionalFormatting sqref="G39:K39 E39">
    <cfRule type="cellIs" dxfId="16" priority="17" stopIfTrue="1" operator="equal">
      <formula>0</formula>
    </cfRule>
  </conditionalFormatting>
  <conditionalFormatting sqref="F39">
    <cfRule type="cellIs" dxfId="15" priority="16" stopIfTrue="1" operator="equal">
      <formula>0</formula>
    </cfRule>
  </conditionalFormatting>
  <conditionalFormatting sqref="S38:V38">
    <cfRule type="cellIs" dxfId="14" priority="15" stopIfTrue="1" operator="equal">
      <formula>0</formula>
    </cfRule>
  </conditionalFormatting>
  <conditionalFormatting sqref="E38 G38:K38">
    <cfRule type="cellIs" dxfId="13" priority="14" stopIfTrue="1" operator="equal">
      <formula>0</formula>
    </cfRule>
  </conditionalFormatting>
  <conditionalFormatting sqref="F38">
    <cfRule type="cellIs" dxfId="12" priority="13" stopIfTrue="1" operator="equal">
      <formula>0</formula>
    </cfRule>
  </conditionalFormatting>
  <conditionalFormatting sqref="S37:V37">
    <cfRule type="cellIs" dxfId="11" priority="12" stopIfTrue="1" operator="equal">
      <formula>0</formula>
    </cfRule>
  </conditionalFormatting>
  <conditionalFormatting sqref="G37:K37 E37">
    <cfRule type="cellIs" dxfId="10" priority="11" stopIfTrue="1" operator="equal">
      <formula>0</formula>
    </cfRule>
  </conditionalFormatting>
  <conditionalFormatting sqref="F37">
    <cfRule type="cellIs" dxfId="9" priority="10" stopIfTrue="1" operator="equal">
      <formula>0</formula>
    </cfRule>
  </conditionalFormatting>
  <conditionalFormatting sqref="S36:V36">
    <cfRule type="cellIs" dxfId="8" priority="9" stopIfTrue="1" operator="equal">
      <formula>0</formula>
    </cfRule>
  </conditionalFormatting>
  <conditionalFormatting sqref="E36 G36:K36">
    <cfRule type="cellIs" dxfId="7" priority="8" stopIfTrue="1" operator="equal">
      <formula>0</formula>
    </cfRule>
  </conditionalFormatting>
  <conditionalFormatting sqref="F36">
    <cfRule type="cellIs" dxfId="6" priority="7" stopIfTrue="1" operator="equal">
      <formula>0</formula>
    </cfRule>
  </conditionalFormatting>
  <conditionalFormatting sqref="S35:V35">
    <cfRule type="cellIs" dxfId="5" priority="6" stopIfTrue="1" operator="equal">
      <formula>0</formula>
    </cfRule>
  </conditionalFormatting>
  <conditionalFormatting sqref="G35:K35 E35">
    <cfRule type="cellIs" dxfId="4" priority="5" stopIfTrue="1" operator="equal">
      <formula>0</formula>
    </cfRule>
  </conditionalFormatting>
  <conditionalFormatting sqref="F35">
    <cfRule type="cellIs" dxfId="3" priority="4" stopIfTrue="1" operator="equal">
      <formula>0</formula>
    </cfRule>
  </conditionalFormatting>
  <conditionalFormatting sqref="S34:V34">
    <cfRule type="cellIs" dxfId="2" priority="3" stopIfTrue="1" operator="equal">
      <formula>0</formula>
    </cfRule>
  </conditionalFormatting>
  <conditionalFormatting sqref="E34 G34:K34">
    <cfRule type="cellIs" dxfId="1" priority="2" stopIfTrue="1" operator="equal">
      <formula>0</formula>
    </cfRule>
  </conditionalFormatting>
  <conditionalFormatting sqref="F34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48:F60 C50:C51 F62:F71 F21:F26 H14:K8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9" zoomScale="85" zoomScaleNormal="115" zoomScaleSheetLayoutView="85" workbookViewId="0">
      <selection activeCell="AB55" sqref="A1:AD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7" t="s">
        <v>1439</v>
      </c>
      <c r="X2" s="638"/>
      <c r="Y2" s="638"/>
      <c r="Z2" s="638"/>
      <c r="AA2" s="638"/>
      <c r="AB2" s="638"/>
      <c r="AC2" s="638"/>
      <c r="AD2" s="639"/>
    </row>
    <row r="3" spans="3:30">
      <c r="C3" s="238"/>
      <c r="W3" s="640"/>
      <c r="X3" s="641"/>
      <c r="Y3" s="641"/>
      <c r="Z3" s="641"/>
      <c r="AA3" s="641"/>
      <c r="AB3" s="641"/>
      <c r="AC3" s="641"/>
      <c r="AD3" s="642"/>
    </row>
    <row r="4" spans="3:30">
      <c r="C4" s="238"/>
      <c r="E4" s="235" t="str">
        <f>PETA!C6</f>
        <v>Koordinat : -6.896577, 110.613538</v>
      </c>
      <c r="W4" s="239" t="s">
        <v>987</v>
      </c>
      <c r="AD4" s="240"/>
    </row>
    <row r="5" spans="3:30">
      <c r="C5" s="238"/>
      <c r="W5" s="241" t="s">
        <v>991</v>
      </c>
      <c r="X5" s="643" t="s">
        <v>990</v>
      </c>
      <c r="Y5" s="643"/>
      <c r="Z5" s="643"/>
      <c r="AA5" s="643" t="s">
        <v>988</v>
      </c>
      <c r="AB5" s="643"/>
      <c r="AC5" s="643" t="s">
        <v>989</v>
      </c>
      <c r="AD5" s="644"/>
    </row>
    <row r="6" spans="3:30">
      <c r="C6" s="238"/>
      <c r="W6" s="241">
        <v>1</v>
      </c>
      <c r="X6" s="643" t="s">
        <v>993</v>
      </c>
      <c r="Y6" s="643"/>
      <c r="Z6" s="643"/>
      <c r="AA6" s="643"/>
      <c r="AB6" s="643"/>
      <c r="AC6" s="643"/>
      <c r="AD6" s="644"/>
    </row>
    <row r="7" spans="3:30">
      <c r="C7" s="238"/>
      <c r="E7" s="475"/>
      <c r="W7" s="241">
        <v>2</v>
      </c>
      <c r="X7" s="643" t="s">
        <v>994</v>
      </c>
      <c r="Y7" s="643"/>
      <c r="Z7" s="643"/>
      <c r="AA7" s="643"/>
      <c r="AB7" s="643"/>
      <c r="AC7" s="643"/>
      <c r="AD7" s="644"/>
    </row>
    <row r="8" spans="3:30">
      <c r="C8" s="238"/>
      <c r="W8" s="241">
        <v>3</v>
      </c>
      <c r="X8" s="643" t="s">
        <v>995</v>
      </c>
      <c r="Y8" s="643"/>
      <c r="Z8" s="643"/>
      <c r="AA8" s="643"/>
      <c r="AB8" s="643"/>
      <c r="AC8" s="643"/>
      <c r="AD8" s="644"/>
    </row>
    <row r="9" spans="3:30">
      <c r="C9" s="238"/>
      <c r="W9" s="241">
        <v>4</v>
      </c>
      <c r="X9" s="643" t="s">
        <v>996</v>
      </c>
      <c r="Y9" s="643"/>
      <c r="Z9" s="643"/>
      <c r="AA9" s="643"/>
      <c r="AB9" s="643"/>
      <c r="AC9" s="643"/>
      <c r="AD9" s="644"/>
    </row>
    <row r="10" spans="3:30">
      <c r="C10" s="238"/>
      <c r="W10" s="241">
        <v>5</v>
      </c>
      <c r="X10" s="643" t="s">
        <v>997</v>
      </c>
      <c r="Y10" s="643"/>
      <c r="Z10" s="643"/>
      <c r="AA10" s="643"/>
      <c r="AB10" s="643"/>
      <c r="AC10" s="643"/>
      <c r="AD10" s="644"/>
    </row>
    <row r="11" spans="3:30">
      <c r="C11" s="238"/>
      <c r="W11" s="241">
        <v>6</v>
      </c>
      <c r="X11" s="643" t="s">
        <v>998</v>
      </c>
      <c r="Y11" s="643"/>
      <c r="Z11" s="643"/>
      <c r="AA11" s="643"/>
      <c r="AB11" s="643"/>
      <c r="AC11" s="643"/>
      <c r="AD11" s="644"/>
    </row>
    <row r="12" spans="3:30">
      <c r="C12" s="238"/>
      <c r="W12" s="241">
        <v>7</v>
      </c>
      <c r="X12" s="643" t="s">
        <v>999</v>
      </c>
      <c r="Y12" s="643"/>
      <c r="Z12" s="643"/>
      <c r="AA12" s="643"/>
      <c r="AB12" s="643"/>
      <c r="AC12" s="643"/>
      <c r="AD12" s="644"/>
    </row>
    <row r="13" spans="3:30" ht="12.75" customHeight="1">
      <c r="C13" s="238"/>
      <c r="W13" s="241">
        <v>8</v>
      </c>
      <c r="X13" s="643" t="s">
        <v>1000</v>
      </c>
      <c r="Y13" s="643"/>
      <c r="Z13" s="643"/>
      <c r="AA13" s="643"/>
      <c r="AB13" s="643"/>
      <c r="AC13" s="643"/>
      <c r="AD13" s="644"/>
    </row>
    <row r="14" spans="3:30">
      <c r="C14" s="238"/>
      <c r="W14" s="241">
        <v>9</v>
      </c>
      <c r="X14" s="643" t="s">
        <v>1001</v>
      </c>
      <c r="Y14" s="643"/>
      <c r="Z14" s="643"/>
      <c r="AA14" s="643"/>
      <c r="AB14" s="643"/>
      <c r="AC14" s="643"/>
      <c r="AD14" s="644"/>
    </row>
    <row r="15" spans="3:30">
      <c r="C15" s="238"/>
      <c r="W15" s="241">
        <v>10</v>
      </c>
      <c r="X15" s="643" t="s">
        <v>1010</v>
      </c>
      <c r="Y15" s="643"/>
      <c r="Z15" s="643"/>
      <c r="AA15" s="643"/>
      <c r="AB15" s="643"/>
      <c r="AC15" s="643"/>
      <c r="AD15" s="644"/>
    </row>
    <row r="16" spans="3:30">
      <c r="C16" s="238"/>
      <c r="W16" s="241">
        <v>11</v>
      </c>
      <c r="X16" s="643" t="s">
        <v>1455</v>
      </c>
      <c r="Y16" s="643"/>
      <c r="Z16" s="643"/>
      <c r="AA16" s="643"/>
      <c r="AB16" s="643"/>
      <c r="AC16" s="643"/>
      <c r="AD16" s="644"/>
    </row>
    <row r="17" spans="3:30">
      <c r="C17" s="238"/>
      <c r="S17" s="242"/>
      <c r="W17" s="241">
        <v>12</v>
      </c>
      <c r="X17" s="643" t="s">
        <v>1011</v>
      </c>
      <c r="Y17" s="643"/>
      <c r="Z17" s="643"/>
      <c r="AA17" s="643"/>
      <c r="AB17" s="643"/>
      <c r="AC17" s="643"/>
      <c r="AD17" s="644"/>
    </row>
    <row r="18" spans="3:30">
      <c r="C18" s="243"/>
      <c r="D18" s="244"/>
      <c r="E18" s="244"/>
      <c r="W18" s="241">
        <v>13</v>
      </c>
      <c r="X18" s="643"/>
      <c r="Y18" s="643"/>
      <c r="Z18" s="643"/>
      <c r="AA18" s="643"/>
      <c r="AB18" s="643"/>
      <c r="AC18" s="643"/>
      <c r="AD18" s="644"/>
    </row>
    <row r="19" spans="3:30">
      <c r="C19" s="238"/>
      <c r="W19" s="245"/>
      <c r="X19" s="645"/>
      <c r="Y19" s="645"/>
      <c r="Z19" s="645"/>
      <c r="AA19" s="645"/>
      <c r="AB19" s="645"/>
      <c r="AC19" s="645"/>
      <c r="AD19" s="646"/>
    </row>
    <row r="20" spans="3:30">
      <c r="C20" s="238"/>
      <c r="W20" s="647" t="s">
        <v>992</v>
      </c>
      <c r="X20" s="648"/>
      <c r="Y20" s="648"/>
      <c r="Z20" s="648"/>
      <c r="AA20" s="648"/>
      <c r="AB20" s="648"/>
      <c r="AC20" s="648"/>
      <c r="AD20" s="649"/>
    </row>
    <row r="21" spans="3:30">
      <c r="C21" s="238"/>
      <c r="W21" s="650" t="s">
        <v>985</v>
      </c>
      <c r="X21" s="651"/>
      <c r="Y21" s="651"/>
      <c r="Z21" s="652"/>
      <c r="AA21" s="653" t="s">
        <v>986</v>
      </c>
      <c r="AB21" s="654"/>
      <c r="AC21" s="654"/>
      <c r="AD21" s="655"/>
    </row>
    <row r="22" spans="3:30">
      <c r="C22" s="238"/>
      <c r="W22" s="656" t="s">
        <v>1626</v>
      </c>
      <c r="X22" s="657"/>
      <c r="Y22" s="479"/>
      <c r="Z22" s="480"/>
      <c r="AA22" s="658"/>
      <c r="AB22" s="659"/>
      <c r="AC22" s="248"/>
      <c r="AD22" s="249"/>
    </row>
    <row r="23" spans="3:30">
      <c r="C23" s="238"/>
      <c r="W23" s="656" t="s">
        <v>1612</v>
      </c>
      <c r="X23" s="657"/>
      <c r="Y23" s="479"/>
      <c r="Z23" s="480"/>
      <c r="AA23" s="660"/>
      <c r="AB23" s="661"/>
      <c r="AC23" s="248"/>
      <c r="AD23" s="249"/>
    </row>
    <row r="24" spans="3:30">
      <c r="C24" s="238"/>
      <c r="W24" s="662" t="s">
        <v>1627</v>
      </c>
      <c r="X24" s="663"/>
      <c r="Y24" s="479"/>
      <c r="Z24" s="480"/>
      <c r="AA24" s="664"/>
      <c r="AB24" s="665"/>
      <c r="AC24" s="248"/>
      <c r="AD24" s="249"/>
    </row>
    <row r="25" spans="3:30">
      <c r="C25" s="238"/>
      <c r="W25" s="477" t="s">
        <v>1628</v>
      </c>
      <c r="X25" s="478"/>
      <c r="Y25" s="479"/>
      <c r="Z25" s="480"/>
      <c r="AA25" s="660"/>
      <c r="AB25" s="661"/>
      <c r="AC25" s="248"/>
      <c r="AD25" s="249"/>
    </row>
    <row r="26" spans="3:30">
      <c r="C26" s="238"/>
      <c r="W26" s="662" t="s">
        <v>1629</v>
      </c>
      <c r="X26" s="663"/>
      <c r="Y26" s="479"/>
      <c r="Z26" s="480"/>
      <c r="AA26" s="660"/>
      <c r="AB26" s="661"/>
      <c r="AC26" s="248"/>
      <c r="AD26" s="249"/>
    </row>
    <row r="27" spans="3:30">
      <c r="C27" s="238"/>
      <c r="W27" s="662" t="s">
        <v>1630</v>
      </c>
      <c r="X27" s="663"/>
      <c r="Y27" s="479"/>
      <c r="Z27" s="480"/>
      <c r="AA27" s="666"/>
      <c r="AB27" s="667"/>
      <c r="AC27" s="248"/>
      <c r="AD27" s="249"/>
    </row>
    <row r="28" spans="3:30">
      <c r="C28" s="238"/>
      <c r="W28" s="662"/>
      <c r="X28" s="663"/>
      <c r="Y28" s="479"/>
      <c r="Z28" s="480"/>
      <c r="AA28" s="666"/>
      <c r="AB28" s="667"/>
      <c r="AC28" s="248"/>
      <c r="AD28" s="249"/>
    </row>
    <row r="29" spans="3:30">
      <c r="C29" s="238"/>
      <c r="W29" s="662"/>
      <c r="X29" s="663"/>
      <c r="Y29" s="479"/>
      <c r="Z29" s="480"/>
      <c r="AA29" s="666"/>
      <c r="AB29" s="667"/>
      <c r="AC29" s="248"/>
      <c r="AD29" s="249"/>
    </row>
    <row r="30" spans="3:30" ht="11.25" customHeight="1">
      <c r="C30" s="238"/>
      <c r="W30" s="477"/>
      <c r="X30" s="478"/>
      <c r="Y30" s="479"/>
      <c r="Z30" s="480"/>
      <c r="AA30" s="666"/>
      <c r="AB30" s="667"/>
      <c r="AC30" s="248"/>
      <c r="AD30" s="249"/>
    </row>
    <row r="31" spans="3:30">
      <c r="C31" s="238"/>
      <c r="U31" s="250"/>
      <c r="W31" s="662"/>
      <c r="X31" s="663"/>
      <c r="Y31" s="479"/>
      <c r="Z31" s="480"/>
      <c r="AA31" s="666"/>
      <c r="AB31" s="667"/>
      <c r="AC31" s="248"/>
      <c r="AD31" s="249"/>
    </row>
    <row r="32" spans="3:30">
      <c r="C32" s="238"/>
      <c r="U32" s="250"/>
      <c r="W32" s="656"/>
      <c r="X32" s="657"/>
      <c r="Y32" s="246"/>
      <c r="Z32" s="480"/>
      <c r="AA32" s="666"/>
      <c r="AB32" s="667"/>
      <c r="AC32" s="248"/>
      <c r="AD32" s="249"/>
    </row>
    <row r="33" spans="3:30">
      <c r="C33" s="238"/>
      <c r="W33" s="662"/>
      <c r="X33" s="663"/>
      <c r="Y33" s="479"/>
      <c r="Z33" s="480"/>
      <c r="AA33" s="668"/>
      <c r="AB33" s="668"/>
      <c r="AC33" s="248"/>
      <c r="AD33" s="249"/>
    </row>
    <row r="34" spans="3:30">
      <c r="C34" s="238"/>
      <c r="W34" s="477"/>
      <c r="X34" s="478"/>
      <c r="Y34" s="246"/>
      <c r="Z34" s="480"/>
      <c r="AA34" s="668"/>
      <c r="AB34" s="668"/>
      <c r="AC34" s="248"/>
      <c r="AD34" s="249"/>
    </row>
    <row r="35" spans="3:30">
      <c r="C35" s="238"/>
      <c r="W35" s="662"/>
      <c r="X35" s="663"/>
      <c r="Y35" s="246"/>
      <c r="Z35" s="247"/>
      <c r="AA35" s="668"/>
      <c r="AB35" s="668"/>
      <c r="AC35" s="248"/>
      <c r="AD35" s="249"/>
    </row>
    <row r="36" spans="3:30">
      <c r="C36" s="238"/>
      <c r="W36" s="662"/>
      <c r="X36" s="663"/>
      <c r="Y36" s="479"/>
      <c r="Z36" s="480"/>
      <c r="AA36" s="668"/>
      <c r="AB36" s="668"/>
      <c r="AC36" s="248"/>
      <c r="AD36" s="249"/>
    </row>
    <row r="37" spans="3:30" ht="12.75" customHeight="1">
      <c r="C37" s="238"/>
      <c r="W37" s="669"/>
      <c r="X37" s="670"/>
      <c r="Y37" s="246"/>
      <c r="Z37" s="480"/>
      <c r="AA37" s="671"/>
      <c r="AB37" s="671"/>
      <c r="AC37" s="251"/>
      <c r="AD37" s="252"/>
    </row>
    <row r="38" spans="3:30" ht="12.75" customHeight="1">
      <c r="C38" s="238"/>
      <c r="W38" s="669"/>
      <c r="X38" s="670"/>
      <c r="Y38" s="253"/>
      <c r="Z38" s="247"/>
      <c r="AA38" s="672"/>
      <c r="AB38" s="673"/>
      <c r="AC38" s="251"/>
      <c r="AD38" s="252"/>
    </row>
    <row r="39" spans="3:30" ht="12" customHeight="1">
      <c r="C39" s="238"/>
      <c r="W39" s="669"/>
      <c r="X39" s="670"/>
      <c r="Y39" s="253"/>
      <c r="Z39" s="254"/>
      <c r="AA39" s="674"/>
      <c r="AB39" s="675"/>
      <c r="AC39" s="251"/>
      <c r="AD39" s="252"/>
    </row>
    <row r="40" spans="3:30" ht="12" customHeight="1">
      <c r="C40" s="238"/>
      <c r="W40" s="676"/>
      <c r="X40" s="677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78"/>
      <c r="X41" s="679"/>
      <c r="Y41" s="257"/>
      <c r="Z41" s="258"/>
      <c r="AA41" s="674"/>
      <c r="AB41" s="675"/>
      <c r="AC41" s="251"/>
      <c r="AD41" s="252"/>
    </row>
    <row r="42" spans="3:30" ht="12" customHeight="1">
      <c r="C42" s="238"/>
      <c r="W42" s="680" t="s">
        <v>1456</v>
      </c>
      <c r="X42" s="681"/>
      <c r="Y42" s="681"/>
      <c r="Z42" s="681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82" t="s">
        <v>11</v>
      </c>
      <c r="X44" s="683"/>
      <c r="Y44" s="643"/>
      <c r="Z44" s="643"/>
      <c r="AA44" s="643"/>
      <c r="AB44" s="643"/>
      <c r="AC44" s="643"/>
      <c r="AD44" s="644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82" t="s">
        <v>984</v>
      </c>
      <c r="X45" s="683"/>
      <c r="Y45" s="643">
        <v>1</v>
      </c>
      <c r="Z45" s="643"/>
      <c r="AA45" s="643"/>
      <c r="AB45" s="643" t="s">
        <v>12</v>
      </c>
      <c r="AC45" s="643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82" t="s">
        <v>15</v>
      </c>
      <c r="X46" s="683"/>
      <c r="Y46" s="684"/>
      <c r="Z46" s="684"/>
      <c r="AA46" s="684"/>
      <c r="AB46" s="643" t="s">
        <v>16</v>
      </c>
      <c r="AC46" s="643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89" t="s">
        <v>17</v>
      </c>
      <c r="X47" s="689"/>
      <c r="Y47" s="689"/>
      <c r="Z47" s="689"/>
      <c r="AA47" s="689"/>
      <c r="AB47" s="689"/>
      <c r="AC47" s="689"/>
      <c r="AD47" s="690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91" t="str">
        <f>RAB!G6</f>
        <v>TNK AKHADINA</v>
      </c>
      <c r="X48" s="692"/>
      <c r="Y48" s="692"/>
      <c r="Z48" s="692"/>
      <c r="AA48" s="692"/>
      <c r="AB48" s="692"/>
      <c r="AC48" s="692"/>
      <c r="AD48" s="693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92"/>
      <c r="X49" s="692"/>
      <c r="Y49" s="692"/>
      <c r="Z49" s="692"/>
      <c r="AA49" s="692"/>
      <c r="AB49" s="692"/>
      <c r="AC49" s="692"/>
      <c r="AD49" s="693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92"/>
      <c r="X50" s="692"/>
      <c r="Y50" s="692"/>
      <c r="Z50" s="692"/>
      <c r="AA50" s="692"/>
      <c r="AB50" s="692"/>
      <c r="AC50" s="692"/>
      <c r="AD50" s="693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94"/>
      <c r="X51" s="694"/>
      <c r="Y51" s="694"/>
      <c r="Z51" s="694"/>
      <c r="AA51" s="694"/>
      <c r="AB51" s="694"/>
      <c r="AC51" s="694"/>
      <c r="AD51" s="695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82" t="s">
        <v>18</v>
      </c>
      <c r="X52" s="683"/>
      <c r="Y52" s="643" t="s">
        <v>1622</v>
      </c>
      <c r="Z52" s="643"/>
      <c r="AA52" s="643"/>
      <c r="AB52" s="643"/>
      <c r="AC52" s="643"/>
      <c r="AD52" s="644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82" t="s">
        <v>19</v>
      </c>
      <c r="X53" s="683"/>
      <c r="Y53" s="643" t="s">
        <v>1623</v>
      </c>
      <c r="Z53" s="643"/>
      <c r="AA53" s="643"/>
      <c r="AB53" s="643"/>
      <c r="AC53" s="643"/>
      <c r="AD53" s="644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82" t="s">
        <v>20</v>
      </c>
      <c r="X54" s="683"/>
      <c r="Y54" s="687" t="s">
        <v>1624</v>
      </c>
      <c r="Z54" s="687"/>
      <c r="AA54" s="687"/>
      <c r="AB54" s="643"/>
      <c r="AC54" s="643"/>
      <c r="AD54" s="644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85" t="s">
        <v>21</v>
      </c>
      <c r="X55" s="686"/>
      <c r="Y55" s="687" t="s">
        <v>1625</v>
      </c>
      <c r="Z55" s="687"/>
      <c r="AA55" s="687"/>
      <c r="AB55" s="687"/>
      <c r="AC55" s="687"/>
      <c r="AD55" s="688"/>
    </row>
  </sheetData>
  <mergeCells count="108"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36:X36"/>
    <mergeCell ref="AA36:AB36"/>
    <mergeCell ref="W37:X37"/>
    <mergeCell ref="AA37:AB37"/>
    <mergeCell ref="W38:X38"/>
    <mergeCell ref="AA38:AB38"/>
    <mergeCell ref="W39:X39"/>
    <mergeCell ref="AA39:AB39"/>
    <mergeCell ref="W40:X40"/>
    <mergeCell ref="AA30:AB30"/>
    <mergeCell ref="W31:X31"/>
    <mergeCell ref="AA31:AB31"/>
    <mergeCell ref="W32:X32"/>
    <mergeCell ref="AA32:AB32"/>
    <mergeCell ref="W33:X33"/>
    <mergeCell ref="AA33:AB33"/>
    <mergeCell ref="AA34:AB34"/>
    <mergeCell ref="W35:X35"/>
    <mergeCell ref="AA35:AB3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16" zoomScale="55" zoomScaleNormal="55" zoomScaleSheetLayoutView="55" workbookViewId="0">
      <selection activeCell="S45" sqref="S45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6" t="s">
        <v>1528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217"/>
      <c r="AE4" s="216"/>
      <c r="AF4" s="216"/>
    </row>
    <row r="5" spans="2:32" ht="13.5" customHeight="1">
      <c r="B5" s="215"/>
      <c r="C5" s="215"/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1"/>
      <c r="AD5" s="217"/>
      <c r="AE5" s="216"/>
      <c r="AF5" s="216"/>
    </row>
    <row r="6" spans="2:32" ht="12.75" customHeight="1">
      <c r="B6" s="215"/>
      <c r="C6" s="215"/>
      <c r="D6" s="699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0"/>
      <c r="Q6" s="700"/>
      <c r="R6" s="700"/>
      <c r="S6" s="700"/>
      <c r="T6" s="700"/>
      <c r="U6" s="700"/>
      <c r="V6" s="700"/>
      <c r="W6" s="700"/>
      <c r="X6" s="700"/>
      <c r="Y6" s="700"/>
      <c r="Z6" s="700"/>
      <c r="AA6" s="700"/>
      <c r="AB6" s="700"/>
      <c r="AC6" s="701"/>
      <c r="AE6" s="216"/>
      <c r="AF6" s="216"/>
    </row>
    <row r="7" spans="2:32" ht="12.75" customHeight="1" thickBot="1">
      <c r="B7" s="215"/>
      <c r="C7" s="215"/>
      <c r="D7" s="702"/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D10" s="507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W55" sqref="A1:W55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0" t="s">
        <v>1527</v>
      </c>
      <c r="D3" s="700"/>
      <c r="E3" s="700"/>
      <c r="F3" s="700"/>
      <c r="G3" s="700"/>
      <c r="H3" s="700"/>
      <c r="I3" s="700"/>
      <c r="J3" s="700"/>
      <c r="K3" s="700"/>
      <c r="L3" s="700"/>
      <c r="M3" s="700"/>
      <c r="N3" s="700"/>
      <c r="O3" s="700"/>
      <c r="P3" s="700"/>
      <c r="Q3" s="700"/>
      <c r="R3" s="700"/>
      <c r="S3" s="700"/>
      <c r="T3" s="700"/>
      <c r="U3" s="700"/>
      <c r="V3" s="700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705" t="s">
        <v>1620</v>
      </c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182"/>
      <c r="Y6" s="417"/>
      <c r="Z6" s="417"/>
      <c r="AA6" s="417"/>
      <c r="AB6" s="418"/>
      <c r="AC6" s="418"/>
    </row>
    <row r="7" spans="1:29" ht="18" customHeight="1">
      <c r="A7" s="181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Administrator</cp:lastModifiedBy>
  <cp:lastPrinted>2023-10-23T07:36:26Z</cp:lastPrinted>
  <dcterms:created xsi:type="dcterms:W3CDTF">2011-02-06T11:57:38Z</dcterms:created>
  <dcterms:modified xsi:type="dcterms:W3CDTF">2023-10-23T07:37:03Z</dcterms:modified>
</cp:coreProperties>
</file>