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MUHAMMAD NGALIM\"/>
    </mc:Choice>
  </mc:AlternateContent>
  <xr:revisionPtr revIDLastSave="0" documentId="8_{F512F8E9-D94E-4AE0-8B86-F519ABEFE4CE}" xr6:coauthVersionLast="47" xr6:coauthVersionMax="47" xr10:uidLastSave="{00000000-0000-0000-0000-000000000000}"/>
  <bookViews>
    <workbookView xWindow="-120" yWindow="-120" windowWidth="24240" windowHeight="1314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8" i="11" l="1"/>
  <c r="F35" i="11"/>
  <c r="F34" i="11"/>
  <c r="F33" i="11"/>
  <c r="F32" i="11"/>
  <c r="F31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E35" i="11"/>
  <c r="G35" i="11"/>
  <c r="D36" i="11"/>
  <c r="H36" i="11" s="1"/>
  <c r="E36" i="11"/>
  <c r="G36" i="11"/>
  <c r="G18" i="11"/>
  <c r="D18" i="11"/>
  <c r="E18" i="11"/>
  <c r="J24" i="11" l="1"/>
  <c r="I26" i="11"/>
  <c r="I24" i="11"/>
  <c r="K24" i="11" s="1"/>
  <c r="I30" i="11"/>
  <c r="I34" i="11"/>
  <c r="J28" i="11"/>
  <c r="I22" i="11"/>
  <c r="J36" i="11"/>
  <c r="H22" i="11"/>
  <c r="I36" i="11"/>
  <c r="H34" i="11"/>
  <c r="I33" i="11"/>
  <c r="J32" i="11"/>
  <c r="H30" i="11"/>
  <c r="I29" i="11"/>
  <c r="I32" i="11"/>
  <c r="I28" i="11"/>
  <c r="H26" i="11"/>
  <c r="I25" i="11"/>
  <c r="J35" i="11"/>
  <c r="I35" i="11"/>
  <c r="I31" i="11"/>
  <c r="I27" i="11"/>
  <c r="I23" i="11"/>
  <c r="H35" i="11"/>
  <c r="J33" i="11"/>
  <c r="H31" i="11"/>
  <c r="J29" i="11"/>
  <c r="H27" i="11"/>
  <c r="J25" i="11"/>
  <c r="H23" i="11"/>
  <c r="J18" i="11"/>
  <c r="I18" i="11"/>
  <c r="H18" i="11"/>
  <c r="F76" i="11"/>
  <c r="F75" i="11"/>
  <c r="F74" i="11"/>
  <c r="F73" i="11"/>
  <c r="F72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E76" i="11"/>
  <c r="G76" i="11"/>
  <c r="D77" i="11"/>
  <c r="H77" i="11" s="1"/>
  <c r="E77" i="11"/>
  <c r="G77" i="11"/>
  <c r="F42" i="11"/>
  <c r="F41" i="11"/>
  <c r="F40" i="11"/>
  <c r="F39" i="11"/>
  <c r="F38" i="11"/>
  <c r="D40" i="11"/>
  <c r="H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H44" i="11" s="1"/>
  <c r="E44" i="11"/>
  <c r="G44" i="11"/>
  <c r="D37" i="11"/>
  <c r="H37" i="11" s="1"/>
  <c r="E37" i="11"/>
  <c r="G37" i="11"/>
  <c r="D38" i="11"/>
  <c r="J38" i="11" s="1"/>
  <c r="E38" i="11"/>
  <c r="G38" i="11"/>
  <c r="D39" i="11"/>
  <c r="H39" i="11" s="1"/>
  <c r="E39" i="11"/>
  <c r="G39" i="11"/>
  <c r="F109" i="11"/>
  <c r="F108" i="11"/>
  <c r="F107" i="11"/>
  <c r="F106" i="11"/>
  <c r="F118" i="11"/>
  <c r="F117" i="11"/>
  <c r="F116" i="11"/>
  <c r="F115" i="11"/>
  <c r="F114" i="11"/>
  <c r="F113" i="11"/>
  <c r="F112" i="11"/>
  <c r="F90" i="11"/>
  <c r="F89" i="11"/>
  <c r="F88" i="11"/>
  <c r="F87" i="11"/>
  <c r="F86" i="11"/>
  <c r="F85" i="11"/>
  <c r="F84" i="11"/>
  <c r="F83" i="11"/>
  <c r="F82" i="11"/>
  <c r="F81" i="11"/>
  <c r="F79" i="11"/>
  <c r="K28" i="11" l="1"/>
  <c r="K26" i="11"/>
  <c r="K30" i="11"/>
  <c r="K22" i="11"/>
  <c r="K33" i="11"/>
  <c r="K34" i="11"/>
  <c r="K32" i="11"/>
  <c r="K36" i="11"/>
  <c r="K29" i="11"/>
  <c r="K23" i="11"/>
  <c r="K25" i="11"/>
  <c r="K27" i="11"/>
  <c r="K35" i="11"/>
  <c r="K18" i="11"/>
  <c r="K31" i="11"/>
  <c r="H75" i="11"/>
  <c r="I74" i="11"/>
  <c r="J73" i="11"/>
  <c r="J76" i="11"/>
  <c r="I71" i="11"/>
  <c r="I40" i="11"/>
  <c r="I77" i="11"/>
  <c r="I75" i="11"/>
  <c r="I73" i="11"/>
  <c r="H71" i="11"/>
  <c r="I76" i="11"/>
  <c r="I72" i="11"/>
  <c r="J77" i="11"/>
  <c r="H76" i="11"/>
  <c r="J74" i="11"/>
  <c r="H72" i="11"/>
  <c r="K72" i="11" s="1"/>
  <c r="J44" i="11"/>
  <c r="I44" i="11"/>
  <c r="I43" i="11"/>
  <c r="J42" i="11"/>
  <c r="J40" i="11"/>
  <c r="I42" i="11"/>
  <c r="I41" i="11"/>
  <c r="H43" i="11"/>
  <c r="H41" i="11"/>
  <c r="J39" i="11"/>
  <c r="I38" i="11"/>
  <c r="J37" i="11"/>
  <c r="I37" i="11"/>
  <c r="I39" i="11"/>
  <c r="H38" i="11"/>
  <c r="K73" i="11" l="1"/>
  <c r="K71" i="11"/>
  <c r="K75" i="11"/>
  <c r="K74" i="11"/>
  <c r="K40" i="11"/>
  <c r="K76" i="11"/>
  <c r="K43" i="11"/>
  <c r="K77" i="11"/>
  <c r="K44" i="11"/>
  <c r="K42" i="11"/>
  <c r="K41" i="11"/>
  <c r="K38" i="11"/>
  <c r="K37" i="11"/>
  <c r="K39" i="11"/>
  <c r="G110" i="11" l="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D110" i="11"/>
  <c r="H110" i="11" s="1"/>
  <c r="E110" i="11"/>
  <c r="D111" i="11"/>
  <c r="J111" i="11" s="1"/>
  <c r="E111" i="11"/>
  <c r="D112" i="11"/>
  <c r="E112" i="11"/>
  <c r="D113" i="11"/>
  <c r="H113" i="11" s="1"/>
  <c r="E113" i="11"/>
  <c r="D114" i="11"/>
  <c r="H114" i="11" s="1"/>
  <c r="E114" i="11"/>
  <c r="D115" i="11"/>
  <c r="J115" i="11" s="1"/>
  <c r="E115" i="11"/>
  <c r="D116" i="11"/>
  <c r="E116" i="11"/>
  <c r="D117" i="11"/>
  <c r="H117" i="11" s="1"/>
  <c r="E117" i="11"/>
  <c r="D118" i="11"/>
  <c r="H118" i="11" s="1"/>
  <c r="E118" i="11"/>
  <c r="D119" i="11"/>
  <c r="J119" i="11" s="1"/>
  <c r="E119" i="11"/>
  <c r="D120" i="11"/>
  <c r="J120" i="11" s="1"/>
  <c r="E120" i="11"/>
  <c r="D121" i="11"/>
  <c r="I121" i="11" s="1"/>
  <c r="E121" i="11"/>
  <c r="D122" i="11"/>
  <c r="H122" i="11" s="1"/>
  <c r="E122" i="11"/>
  <c r="F67" i="11"/>
  <c r="F66" i="11"/>
  <c r="F65" i="11"/>
  <c r="F64" i="11"/>
  <c r="F61" i="11"/>
  <c r="F60" i="11"/>
  <c r="F59" i="11"/>
  <c r="F58" i="11"/>
  <c r="F55" i="11"/>
  <c r="F54" i="11"/>
  <c r="F53" i="11"/>
  <c r="F52" i="11"/>
  <c r="F51" i="11"/>
  <c r="F50" i="11"/>
  <c r="D48" i="11"/>
  <c r="H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F46" i="11"/>
  <c r="I116" i="11" l="1"/>
  <c r="I112" i="11"/>
  <c r="I118" i="11"/>
  <c r="J110" i="11"/>
  <c r="H121" i="11"/>
  <c r="J114" i="11"/>
  <c r="H112" i="11"/>
  <c r="I110" i="11"/>
  <c r="J118" i="11"/>
  <c r="H116" i="11"/>
  <c r="I114" i="11"/>
  <c r="I120" i="11"/>
  <c r="I119" i="11"/>
  <c r="I115" i="11"/>
  <c r="I111" i="11"/>
  <c r="J122" i="11"/>
  <c r="H120" i="11"/>
  <c r="H119" i="11"/>
  <c r="J117" i="11"/>
  <c r="H115" i="11"/>
  <c r="J113" i="11"/>
  <c r="H111" i="11"/>
  <c r="I122" i="11"/>
  <c r="J121" i="11"/>
  <c r="I117" i="11"/>
  <c r="J116" i="11"/>
  <c r="I113" i="11"/>
  <c r="J112" i="11"/>
  <c r="I60" i="11"/>
  <c r="I54" i="11"/>
  <c r="I56" i="11"/>
  <c r="J48" i="11"/>
  <c r="I66" i="11"/>
  <c r="I48" i="11"/>
  <c r="J61" i="11"/>
  <c r="I58" i="11"/>
  <c r="H56" i="11"/>
  <c r="I55" i="11"/>
  <c r="I50" i="11"/>
  <c r="I69" i="11"/>
  <c r="I62" i="11"/>
  <c r="I64" i="11"/>
  <c r="H52" i="11"/>
  <c r="I51" i="11"/>
  <c r="I52" i="11"/>
  <c r="I67" i="11"/>
  <c r="J66" i="11"/>
  <c r="H64" i="11"/>
  <c r="I63" i="11"/>
  <c r="J62" i="11"/>
  <c r="H60" i="11"/>
  <c r="I59" i="11"/>
  <c r="J58" i="11"/>
  <c r="J54" i="11"/>
  <c r="K54" i="11" s="1"/>
  <c r="J50" i="11"/>
  <c r="H69" i="11"/>
  <c r="I70" i="11"/>
  <c r="I65" i="11"/>
  <c r="I61" i="11"/>
  <c r="I57" i="11"/>
  <c r="I53" i="11"/>
  <c r="I49" i="11"/>
  <c r="H70" i="11"/>
  <c r="J68" i="11"/>
  <c r="J67" i="11"/>
  <c r="H65" i="11"/>
  <c r="K65" i="11" s="1"/>
  <c r="J63" i="11"/>
  <c r="H61" i="11"/>
  <c r="J59" i="11"/>
  <c r="H57" i="11"/>
  <c r="J55" i="11"/>
  <c r="H53" i="11"/>
  <c r="J51" i="11"/>
  <c r="H49" i="11"/>
  <c r="I68" i="11"/>
  <c r="K49" i="11" l="1"/>
  <c r="K119" i="11"/>
  <c r="K114" i="11"/>
  <c r="K116" i="11"/>
  <c r="K60" i="11"/>
  <c r="K113" i="11"/>
  <c r="K122" i="11"/>
  <c r="K111" i="11"/>
  <c r="K120" i="11"/>
  <c r="K118" i="11"/>
  <c r="K117" i="11"/>
  <c r="K112" i="11"/>
  <c r="K110" i="11"/>
  <c r="K121" i="11"/>
  <c r="K115" i="11"/>
  <c r="K48" i="11"/>
  <c r="K53" i="11"/>
  <c r="K56" i="11"/>
  <c r="K64" i="11"/>
  <c r="K55" i="11"/>
  <c r="K63" i="11"/>
  <c r="K70" i="11"/>
  <c r="K68" i="11"/>
  <c r="K52" i="11"/>
  <c r="K66" i="11"/>
  <c r="K50" i="11"/>
  <c r="K58" i="11"/>
  <c r="K51" i="11"/>
  <c r="K69" i="11"/>
  <c r="K57" i="11"/>
  <c r="K62" i="11"/>
  <c r="K59" i="11"/>
  <c r="K67" i="11"/>
  <c r="K61" i="11"/>
  <c r="D45" i="11" l="1"/>
  <c r="E45" i="11"/>
  <c r="G45" i="11"/>
  <c r="J46" i="11"/>
  <c r="D47" i="11"/>
  <c r="H47" i="11" s="1"/>
  <c r="E47" i="11"/>
  <c r="G47" i="11"/>
  <c r="D104" i="11"/>
  <c r="D105" i="11"/>
  <c r="D106" i="11"/>
  <c r="D107" i="11"/>
  <c r="D108" i="11"/>
  <c r="D109" i="11"/>
  <c r="D19" i="11"/>
  <c r="J19" i="11" s="1"/>
  <c r="E19" i="11"/>
  <c r="G19" i="11"/>
  <c r="D21" i="11"/>
  <c r="H21" i="11" s="1"/>
  <c r="E21" i="11"/>
  <c r="G21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G91" i="11"/>
  <c r="D91" i="11"/>
  <c r="J91" i="11" s="1"/>
  <c r="E91" i="11"/>
  <c r="H45" i="11" l="1"/>
  <c r="J47" i="11"/>
  <c r="I47" i="11"/>
  <c r="I46" i="11"/>
  <c r="J45" i="11"/>
  <c r="I45" i="11"/>
  <c r="H46" i="11"/>
  <c r="J21" i="11"/>
  <c r="I21" i="11"/>
  <c r="I19" i="11"/>
  <c r="H19" i="11"/>
  <c r="I15" i="11"/>
  <c r="H15" i="11"/>
  <c r="I17" i="11"/>
  <c r="H17" i="11"/>
  <c r="I16" i="11"/>
  <c r="H16" i="11"/>
  <c r="I91" i="11"/>
  <c r="H91" i="11"/>
  <c r="K47" i="11" l="1"/>
  <c r="K46" i="11"/>
  <c r="K45" i="11"/>
  <c r="K21" i="11"/>
  <c r="K19" i="11"/>
  <c r="K15" i="11"/>
  <c r="K17" i="11"/>
  <c r="K91" i="11"/>
  <c r="K16" i="11"/>
  <c r="F101" i="11" l="1"/>
  <c r="F100" i="11"/>
  <c r="F99" i="11"/>
  <c r="F98" i="11"/>
  <c r="F97" i="11"/>
  <c r="F96" i="11"/>
  <c r="F95" i="11"/>
  <c r="F94" i="11"/>
  <c r="F93" i="11"/>
  <c r="D92" i="11"/>
  <c r="H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J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H99" i="11" s="1"/>
  <c r="E99" i="11"/>
  <c r="G99" i="11"/>
  <c r="D100" i="11"/>
  <c r="H100" i="11" s="1"/>
  <c r="E100" i="11"/>
  <c r="G100" i="11"/>
  <c r="D101" i="11"/>
  <c r="E101" i="11"/>
  <c r="G101" i="11"/>
  <c r="D102" i="11"/>
  <c r="J102" i="11" s="1"/>
  <c r="E102" i="11"/>
  <c r="G102" i="11"/>
  <c r="D78" i="11"/>
  <c r="J78" i="11" s="1"/>
  <c r="E78" i="11"/>
  <c r="G78" i="11"/>
  <c r="D79" i="11"/>
  <c r="I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E83" i="11"/>
  <c r="G83" i="11"/>
  <c r="D84" i="11"/>
  <c r="J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D89" i="11"/>
  <c r="J89" i="11" s="1"/>
  <c r="E89" i="11"/>
  <c r="G89" i="11"/>
  <c r="D90" i="11"/>
  <c r="E90" i="11"/>
  <c r="G90" i="11"/>
  <c r="G6" i="11"/>
  <c r="D103" i="11"/>
  <c r="J103" i="11" s="1"/>
  <c r="E103" i="11"/>
  <c r="G103" i="11"/>
  <c r="H104" i="11"/>
  <c r="E104" i="11"/>
  <c r="G104" i="11"/>
  <c r="E105" i="11"/>
  <c r="G105" i="11"/>
  <c r="J106" i="11"/>
  <c r="E106" i="11"/>
  <c r="G106" i="11"/>
  <c r="J107" i="11"/>
  <c r="E107" i="11"/>
  <c r="G107" i="11"/>
  <c r="E108" i="11"/>
  <c r="G108" i="11"/>
  <c r="H109" i="11"/>
  <c r="E109" i="11"/>
  <c r="G109" i="11"/>
  <c r="D20" i="60"/>
  <c r="I83" i="11" l="1"/>
  <c r="J90" i="11"/>
  <c r="J101" i="11"/>
  <c r="J100" i="11"/>
  <c r="J92" i="11"/>
  <c r="I96" i="11"/>
  <c r="I92" i="11"/>
  <c r="I98" i="11"/>
  <c r="H98" i="11"/>
  <c r="H94" i="11"/>
  <c r="I94" i="11"/>
  <c r="I102" i="11"/>
  <c r="I100" i="11"/>
  <c r="I99" i="11"/>
  <c r="J79" i="11"/>
  <c r="H102" i="11"/>
  <c r="H96" i="11"/>
  <c r="I95" i="11"/>
  <c r="I101" i="11"/>
  <c r="H101" i="11"/>
  <c r="J99" i="11"/>
  <c r="H97" i="11"/>
  <c r="J95" i="11"/>
  <c r="H93" i="11"/>
  <c r="I97" i="11"/>
  <c r="I93" i="11"/>
  <c r="I87" i="11"/>
  <c r="J83" i="11"/>
  <c r="H83" i="11"/>
  <c r="H87" i="11"/>
  <c r="J88" i="11"/>
  <c r="H84" i="11"/>
  <c r="I81" i="11"/>
  <c r="I80" i="11"/>
  <c r="I88" i="11"/>
  <c r="I84" i="11"/>
  <c r="H79" i="11"/>
  <c r="H89" i="11"/>
  <c r="H85" i="11"/>
  <c r="H80" i="11"/>
  <c r="I85" i="11"/>
  <c r="H81" i="11"/>
  <c r="I89" i="11"/>
  <c r="I86" i="11"/>
  <c r="I78" i="11"/>
  <c r="H90" i="11"/>
  <c r="H86" i="11"/>
  <c r="H82" i="11"/>
  <c r="H78" i="11"/>
  <c r="I90" i="11"/>
  <c r="I82" i="11"/>
  <c r="H105" i="11"/>
  <c r="H108" i="11"/>
  <c r="J109" i="11"/>
  <c r="J108" i="11"/>
  <c r="I106" i="11"/>
  <c r="H106" i="11"/>
  <c r="J105" i="11"/>
  <c r="J104" i="11"/>
  <c r="I104" i="11"/>
  <c r="I108" i="11"/>
  <c r="H107" i="11"/>
  <c r="H103" i="11"/>
  <c r="I107" i="11"/>
  <c r="I103" i="11"/>
  <c r="I109" i="11"/>
  <c r="I105" i="11"/>
  <c r="D14" i="11"/>
  <c r="J14" i="11" s="1"/>
  <c r="E14" i="11"/>
  <c r="G14" i="11"/>
  <c r="K19" i="60"/>
  <c r="D19" i="60"/>
  <c r="K81" i="11" l="1"/>
  <c r="K98" i="11"/>
  <c r="K86" i="11"/>
  <c r="K92" i="11"/>
  <c r="K96" i="11"/>
  <c r="K83" i="11"/>
  <c r="K100" i="11"/>
  <c r="K88" i="11"/>
  <c r="K99" i="11"/>
  <c r="K87" i="11"/>
  <c r="K94" i="11"/>
  <c r="K84" i="11"/>
  <c r="K80" i="11"/>
  <c r="K79" i="11"/>
  <c r="K102" i="11"/>
  <c r="K95" i="11"/>
  <c r="K93" i="11"/>
  <c r="K101" i="11"/>
  <c r="K97" i="11"/>
  <c r="K85" i="11"/>
  <c r="K89" i="11"/>
  <c r="K90" i="11"/>
  <c r="K78" i="11"/>
  <c r="K82" i="11"/>
  <c r="K104" i="11"/>
  <c r="K106" i="11"/>
  <c r="K108" i="11"/>
  <c r="K109" i="11"/>
  <c r="K105" i="11"/>
  <c r="K103" i="11"/>
  <c r="K10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2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3" i="11"/>
  <c r="D124" i="11"/>
  <c r="H124" i="11" s="1"/>
  <c r="E12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2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24" i="11"/>
  <c r="I12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2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26" i="11"/>
  <c r="H127" i="11" s="1"/>
  <c r="I126" i="11"/>
  <c r="I12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8" i="11"/>
  <c r="I128" i="11"/>
  <c r="F364" i="29"/>
  <c r="F69" i="39"/>
  <c r="F72" i="39"/>
  <c r="F367" i="29"/>
  <c r="J123" i="11"/>
  <c r="K12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26" i="11" l="1"/>
  <c r="K127" i="11" s="1"/>
  <c r="K128" i="11" s="1"/>
  <c r="B12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26" i="11"/>
  <c r="J12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<sst xmlns="http://schemas.openxmlformats.org/spreadsheetml/2006/main" count="4787" uniqueCount="1642">
  <si>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</si>
  <si>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</si>
  <si>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</si>
  <si>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</si>
  <si>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</si>
  <si>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</si>
  <si>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</si>
  <si>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</si>
  <si>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</si>
  <si>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</si>
  <si>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</si>
  <si>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</si>
  <si>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</si>
  <si>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</si>
  <si>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</si>
  <si>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</si>
  <si>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</si>
  <si>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</si>
  <si>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</si>
  <si>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</si>
  <si>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</si>
  <si>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</si>
  <si>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</si>
  <si>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</si>
  <si>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</si>
  <si>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</si>
  <si>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</si>
  <si>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</si>
  <si>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</si>
  <si>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</si>
  <si>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</si>
  <si>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</si>
  <si>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</si>
  <si>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</si>
  <si>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</si>
  <si>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</si>
  <si>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</si>
  <si>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</si>
  <si>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</si>
  <si>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</si>
  <si>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</si>
  <si>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</si>
  <si>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</si>
  <si>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</si>
  <si>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</si>
  <si>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</si>
  <si>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</si>
  <si>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</si>
  <si>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</si>
  <si>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</si>
  <si>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</si>
  <si>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</si>
  <si>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</si>
  <si>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</si>
  <si>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</si>
  <si>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</si>
  <si>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</si>
  <si>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</si>
  <si>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</si>
  <si>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</si>
  <si>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</si>
  <si>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</si>
  <si>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</si>
  <si>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</si>
  <si>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</si>
  <si>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</si>
  <si>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</si>
  <si>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</si>
  <si>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</si>
  <si>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</si>
  <si>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</si>
  <si>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</si>
  <si>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</si>
  <si>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</si>
  <si>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</si>
  <si>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</si>
  <si>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</si>
  <si>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</si>
  <si>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</si>
  <si>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</si>
  <si>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</si>
  <si>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</si>
  <si>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</si>
  <si>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</si>
  <si>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</si>
  <si>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</si>
  <si>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</si>
  <si>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</si>
  <si>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</si>
  <si>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</si>
  <si>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</si>
  <si>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</si>
  <si>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</si>
  <si>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</si>
  <si>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</si>
  <si>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</si>
  <si>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</si>
  <si>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</si>
  <si>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</si>
  <si>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</si>
  <si>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</si>
  <si>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</si>
  <si>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</si>
  <si>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</si>
  <si>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</si>
  <si>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</si>
  <si>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</si>
  <si>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</si>
  <si>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</si>
  <si>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</si>
  <si>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</si>
  <si>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</si>
  <si>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</si>
  <si>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</si>
  <si>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</si>
  <si>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</si>
  <si>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</si>
  <si>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</si>
  <si>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</si>
  <si>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</si>
  <si>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</si>
  <si>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</si>
  <si>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</si>
  <si>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</si>
  <si>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</si>
  <si>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</si>
  <si>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</si>
  <si>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</si>
  <si>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</si>
  <si>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</si>
  <si>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</si>
  <si>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</si>
  <si>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</si>
  <si>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</si>
  <si>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</si>
  <si>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</si>
  <si>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</si>
  <si>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</si>
  <si>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</si>
  <si>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</si>
  <si>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</si>
  <si>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</si>
  <si>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</si>
  <si>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</si>
  <si>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</si>
  <si>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</si>
  <si>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</si>
  <si>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</si>
  <si>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</si>
  <si>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</si>
  <si>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</si>
  <si>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</si>
  <si>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</si>
  <si>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</si>
  <si>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</si>
  <si>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</si>
  <si>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</si>
  <si>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</si>
  <si>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</si>
  <si>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</si>
  <si>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</si>
  <si>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</si>
  <si>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</si>
  <si>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</si>
  <si>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</si>
  <si>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</si>
  <si>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</si>
  <si>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</si>
  <si>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</si>
  <si>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</si>
  <si>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</si>
  <si>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</si>
  <si>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</si>
  <si>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</si>
  <si>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</si>
  <si>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</si>
  <si>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</si>
  <si>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</si>
  <si>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</si>
  <si>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</si>
  <si>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</si>
  <si>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</si>
  <si>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</si>
  <si>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</si>
  <si>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</si>
  <si>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</si>
  <si>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</si>
  <si>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</si>
  <si>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</si>
  <si>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</si>
  <si>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</si>
  <si>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</si>
  <si>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</si>
  <si>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</si>
  <si>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</si>
  <si>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</si>
  <si>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</si>
  <si>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</si>
  <si>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</si>
  <si>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</si>
  <si>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</si>
  <si>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</si>
  <si>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</si>
  <si>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</si>
  <si>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</si>
  <si>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</si>
  <si>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</si>
  <si>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</si>
  <si>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</si>
  <si>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</si>
  <si>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</si>
  <si>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</si>
  <si>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</si>
  <si>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</si>
  <si>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</si>
  <si>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</si>
  <si>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</si>
  <si>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</si>
  <si>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</si>
  <si>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</si>
  <si>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</si>
  <si>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</si>
  <si>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</si>
  <si>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</si>
  <si>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</si>
  <si>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</si>
  <si>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</si>
  <si>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</si>
  <si>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</si>
  <si>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</si>
  <si>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</si>
  <si>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</si>
  <si>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</si>
  <si>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</si>
  <si>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</si>
  <si>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</si>
  <si>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</si>
  <si>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</si>
  <si>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</si>
  <si>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</si>
  <si>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</si>
  <si>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</si>
  <si>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</si>
  <si>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</si>
  <si>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</si>
  <si>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</si>
  <si>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</si>
  <si>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</si>
  <si>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</si>
  <si>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</si>
  <si>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</si>
  <si>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</si>
  <si>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</si>
  <si>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</si>
  <si>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</si>
  <si>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</si>
  <si>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</si>
  <si>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</si>
  <si>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</si>
  <si>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</si>
  <si>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</si>
  <si>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</si>
  <si>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</si>
  <si>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</si>
  <si>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</si>
  <si>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</si>
  <si>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</si>
  <si>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</si>
  <si>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</si>
  <si>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</si>
  <si>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</si>
  <si>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</si>
  <si>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</si>
  <si>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</si>
  <si>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</si>
  <si>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</si>
  <si>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</si>
  <si>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</si>
  <si>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</si>
  <si>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</si>
  <si>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</si>
  <si>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</si>
  <si>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</si>
  <si>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</si>
  <si>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</si>
  <si>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</si>
  <si>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</si>
  <si>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</si>
  <si>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</si>
  <si>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</si>
  <si>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</si>
  <si>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</si>
  <si>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</si>
  <si>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</si>
  <si>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</si>
  <si>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</si>
  <si>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</si>
  <si>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</si>
  <si>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</si>
  <si>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</si>
  <si>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</si>
  <si>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</si>
  <si>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</si>
  <si>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</si>
  <si>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</si>
  <si>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</si>
  <si>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</si>
  <si>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</si>
  <si>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</si>
  <si>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</si>
  <si>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</si>
  <si>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</si>
  <si>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</si>
  <si>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</si>
  <si>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</si>
  <si>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</si>
  <si>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</si>
  <si>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</si>
  <si>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</si>
  <si>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</si>
  <si>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</si>
  <si>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</si>
  <si>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</si>
  <si>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</si>
  <si>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</si>
  <si>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</si>
  <si>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</si>
  <si>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</si>
  <si>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</si>
  <si>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</si>
  <si>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</si>
  <si>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</si>
  <si>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</si>
  <si>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</si>
  <si>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</si>
  <si>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</si>
  <si>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</si>
  <si>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</si>
  <si>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</si>
  <si>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</si>
  <si>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</si>
  <si>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</si>
  <si>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</si>
  <si>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</si>
  <si>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</si>
  <si>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</si>
  <si>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</si>
  <si>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</si>
  <si>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</si>
  <si>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</si>
  <si>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</si>
  <si>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</si>
  <si>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</si>
  <si>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</si>
  <si>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</si>
  <si>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</si>
  <si>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</si>
  <si>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</si>
  <si>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</si>
  <si>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</si>
  <si>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</si>
  <si>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</si>
  <si>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</si>
  <si>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</si>
  <si>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</si>
  <si>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</si>
  <si>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</si>
  <si>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</si>
  <si>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</si>
  <si>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</si>
  <si>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</si>
  <si>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</si>
  <si>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</si>
  <si>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</si>
  <si>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</si>
  <si>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</si>
  <si>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</si>
  <si>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</si>
  <si>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</si>
  <si>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</si>
  <si>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</si>
  <si>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</si>
  <si>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</si>
  <si>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</si>
  <si>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</si>
  <si>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</si>
  <si>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</si>
  <si>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</si>
  <si>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</si>
  <si>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</si>
  <si>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</si>
  <si>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</si>
  <si>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</si>
  <si>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</si>
  <si>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</si>
  <si>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</si>
  <si>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</si>
  <si>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</si>
  <si>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</si>
  <si>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</si>
  <si>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</si>
  <si>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</si>
  <si>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</si>
  <si>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</si>
  <si>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</si>
  <si>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</si>
  <si>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</si>
  <si>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</si>
  <si>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</si>
  <si>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</si>
  <si>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</si>
  <si>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</si>
  <si>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</si>
  <si>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</si>
  <si>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</si>
  <si>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</si>
  <si>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</si>
  <si>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</si>
  <si>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</si>
  <si>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</si>
  <si>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</si>
  <si>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</si>
  <si>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</si>
  <si>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</si>
  <si>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</si>
  <si>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</si>
  <si>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</si>
  <si>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</si>
  <si>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</si>
  <si>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</si>
  <si>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</si>
  <si>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</si>
  <si>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</si>
  <si>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</si>
  <si>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</si>
  <si>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</si>
  <si>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</si>
  <si>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</si>
  <si>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</si>
  <si>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</si>
  <si>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</si>
  <si>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</si>
  <si>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</si>
  <si>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</si>
  <si>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</si>
  <si>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</si>
  <si>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</si>
  <si>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</si>
  <si>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</si>
  <si>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</si>
  <si>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</si>
  <si>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</si>
  <si>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</si>
  <si>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</si>
  <si>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</si>
  <si>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</si>
  <si>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</si>
  <si>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</si>
  <si>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</si>
  <si>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</si>
  <si>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</si>
  <si>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</si>
  <si>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</si>
  <si>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</si>
  <si>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</si>
  <si>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</si>
  <si>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</si>
  <si>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</si>
  <si>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</si>
  <si>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</si>
  <si>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</si>
  <si>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</si>
  <si>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</si>
  <si>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</si>
  <si>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</si>
  <si>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</si>
  <si>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</si>
  <si>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</si>
  <si>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</si>
  <si>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</si>
  <si>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</si>
  <si>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</si>
  <si>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</si>
  <si>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</si>
  <si>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</si>
  <si>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</si>
  <si>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</si>
  <si>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</si>
  <si>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</si>
  <si>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</si>
  <si>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</si>
  <si>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</si>
  <si>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</si>
  <si>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</si>
  <si>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</si>
  <si>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</si>
  <si>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</si>
  <si>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</si>
  <si>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</si>
  <si>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</si>
  <si>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</si>
  <si>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</si>
  <si>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</si>
  <si>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</si>
  <si>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</si>
  <si>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</si>
  <si>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</si>
  <si>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</si>
  <si>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</si>
  <si>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</si>
  <si>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</si>
  <si>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</si>
  <si>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</si>
  <si>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</si>
  <si>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</si>
  <si>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</si>
  <si>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</si>
  <si>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</si>
  <si>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</si>
  <si>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</si>
  <si>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</si>
  <si>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</si>
  <si>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</si>
  <si>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</si>
  <si>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</si>
  <si>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</si>
  <si>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</si>
  <si>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</si>
  <si>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</si>
  <si>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</si>
  <si>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</si>
  <si>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</si>
  <si>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</si>
  <si>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</si>
  <si>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</si>
  <si>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</si>
  <si>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</si>
  <si>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</si>
  <si>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</si>
  <si>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</si>
  <si>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</si>
  <si>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</si>
  <si>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</si>
  <si>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</si>
  <si>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</si>
  <si>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</si>
  <si>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</si>
  <si>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</si>
  <si>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</si>
  <si>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</si>
  <si>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</si>
  <si>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</si>
  <si>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</si>
  <si>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</si>
  <si>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</si>
  <si>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</si>
  <si>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</si>
  <si>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</si>
  <si>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</si>
  <si>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</si>
  <si>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</si>
  <si>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</si>
  <si>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</si>
  <si>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</si>
  <si>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</si>
  <si>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</si>
  <si>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</si>
  <si>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</si>
  <si>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</si>
  <si>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</si>
  <si>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</si>
  <si>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</si>
  <si>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</si>
  <si>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</si>
  <si>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</si>
  <si>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</si>
  <si>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</si>
  <si>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</si>
  <si>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</si>
  <si>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</si>
  <si>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</si>
  <si>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</si>
  <si>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</si>
  <si>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</si>
  <si>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</si>
  <si>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</si>
  <si>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</si>
  <si>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</si>
  <si>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</si>
  <si>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</si>
  <si>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</si>
  <si>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</si>
  <si>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</si>
  <si>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</si>
  <si>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</si>
  <si>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</si>
  <si>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</si>
  <si>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</si>
  <si>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</si>
  <si>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</si>
  <si>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</si>
  <si>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</si>
  <si>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</si>
  <si>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</si>
  <si>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</si>
  <si>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</si>
  <si>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</si>
  <si>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</si>
  <si>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</si>
  <si>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</si>
  <si>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</si>
  <si>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</si>
  <si>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</si>
  <si>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</si>
  <si>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</si>
  <si>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</si>
  <si>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</si>
  <si>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</si>
  <si>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</si>
  <si>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</si>
  <si>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</si>
  <si>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</si>
  <si>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</si>
  <si>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</si>
  <si>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</si>
  <si>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</si>
  <si>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</si>
  <si>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</si>
  <si>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</si>
  <si>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</si>
  <si>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</si>
  <si>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</si>
  <si>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</si>
  <si>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</si>
  <si>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</si>
  <si>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</si>
  <si>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</si>
  <si>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</si>
  <si>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</si>
  <si>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</si>
  <si>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</si>
  <si>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</si>
  <si>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</si>
  <si>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</si>
  <si>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</si>
  <si>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</si>
  <si>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</si>
  <si>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</si>
  <si>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</si>
  <si>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</si>
  <si>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</si>
  <si>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</si>
  <si>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</si>
  <si>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</si>
  <si>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</si>
  <si>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</si>
  <si>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</si>
  <si>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</si>
  <si>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</si>
  <si>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</si>
  <si>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</si>
  <si>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</si>
  <si>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</si>
  <si>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</si>
  <si>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</si>
  <si>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</si>
  <si>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</si>
  <si>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</si>
  <si>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</si>
  <si>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</si>
  <si>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</si>
  <si>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</si>
  <si>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</si>
  <si>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</si>
  <si>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</si>
  <si>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</si>
  <si>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</si>
  <si>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</si>
  <si>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</si>
  <si>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</si>
  <si>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</si>
  <si>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</si>
  <si>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</si>
  <si>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</si>
  <si>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</si>
  <si>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</si>
  <si>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</si>
  <si>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</si>
  <si>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</si>
  <si>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</si>
  <si>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</si>
  <si>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</si>
  <si>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</si>
  <si>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</si>
  <si>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</si>
  <si>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</si>
  <si>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</si>
  <si>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</si>
  <si>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</si>
  <si>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</si>
  <si>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</si>
  <si>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</si>
  <si>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</si>
  <si>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</si>
  <si>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</si>
  <si>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</si>
  <si>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</si>
  <si>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</si>
  <si>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</si>
  <si>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</si>
  <si>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</si>
  <si>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</si>
  <si>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</si>
  <si>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</si>
  <si>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</si>
  <si>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</si>
  <si>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</si>
  <si>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</si>
  <si>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</si>
  <si>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</si>
  <si>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</si>
  <si>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</si>
  <si>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</si>
  <si>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</si>
  <si>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</si>
  <si>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</si>
  <si>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</si>
  <si>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</si>
  <si>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</si>
  <si>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</si>
  <si>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</si>
  <si>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</si>
  <si>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</si>
  <si>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</si>
  <si>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</si>
  <si>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</si>
  <si>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</si>
  <si>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</si>
  <si>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</si>
  <si>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</si>
  <si>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</si>
  <si>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</si>
  <si>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</si>
  <si>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</si>
  <si>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</si>
  <si>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</si>
  <si>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</si>
  <si>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</si>
  <si>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</si>
  <si>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</si>
  <si>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</si>
  <si>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</si>
  <si>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</si>
  <si>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</si>
  <si>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</si>
  <si>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</si>
  <si>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</si>
  <si>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</si>
  <si>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</si>
  <si>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</si>
  <si>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</si>
  <si>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</si>
  <si>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</si>
  <si>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</si>
  <si>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</si>
  <si>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</si>
  <si>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</si>
  <si>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</si>
  <si>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</si>
  <si>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</si>
  <si>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</si>
  <si>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</si>
  <si>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</si>
  <si>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</si>
  <si>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</si>
  <si>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</si>
  <si>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</si>
  <si>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</si>
  <si>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</si>
  <si>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</si>
  <si>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</si>
  <si>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</si>
  <si>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</si>
  <si>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</si>
  <si>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</si>
  <si>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</si>
  <si>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</si>
  <si>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</si>
  <si>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</si>
  <si>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</si>
  <si>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</si>
  <si>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</si>
  <si>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</si>
  <si>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</si>
  <si>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</si>
  <si>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</si>
  <si>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</si>
  <si>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</si>
  <si>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</si>
  <si>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</si>
  <si>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</si>
  <si>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</si>
  <si>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</si>
  <si>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</si>
  <si>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</si>
  <si>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</si>
  <si>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</si>
  <si>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</si>
  <si>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</si>
  <si>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</si>
  <si>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</si>
  <si>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</si>
  <si>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</si>
  <si>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</si>
  <si>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</si>
  <si>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</si>
  <si>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</si>
  <si>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</si>
  <si>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</si>
  <si>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</si>
  <si>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</si>
  <si>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</si>
  <si>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</si>
  <si>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</si>
  <si>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</si>
  <si>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</si>
  <si>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</si>
  <si>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</si>
  <si>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</si>
  <si>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</si>
  <si>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</si>
  <si>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</si>
  <si>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</si>
  <si>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</si>
  <si>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</si>
  <si>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</si>
  <si>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</si>
  <si>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</si>
  <si>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</si>
  <si>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</si>
  <si>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</si>
  <si>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</si>
  <si>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</si>
  <si>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</si>
  <si>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</si>
  <si>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</si>
  <si>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</si>
  <si>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</si>
  <si>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</si>
  <si>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</si>
  <si>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</si>
  <si>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</si>
  <si>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</si>
  <si>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</si>
  <si>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</si>
  <si>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</si>
  <si>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</si>
  <si>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</si>
  <si>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</si>
  <si>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</si>
  <si>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</si>
  <si>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</si>
  <si>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</si>
  <si>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</si>
  <si>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</si>
  <si>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</si>
  <si>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</si>
  <si>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</si>
  <si>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</si>
  <si>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</si>
  <si>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</si>
  <si>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</si>
  <si>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</si>
  <si>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</si>
  <si>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</si>
  <si>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</si>
  <si>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</si>
  <si>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</si>
  <si>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</si>
  <si>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</si>
  <si>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</si>
  <si>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</si>
  <si>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</si>
  <si>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</si>
  <si>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</si>
  <si>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</si>
  <si>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</si>
  <si>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</si>
  <si>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</si>
  <si>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</si>
  <si>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</si>
  <si>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</si>
  <si>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</si>
  <si>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</si>
  <si>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</si>
  <si>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</si>
  <si>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</si>
  <si>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</si>
  <si>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</si>
  <si>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</si>
  <si>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</si>
  <si>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</si>
  <si>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</si>
  <si>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</si>
  <si>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</si>
  <si>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</si>
  <si>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</si>
  <si>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</si>
  <si>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</si>
  <si>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</si>
  <si>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</si>
  <si>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</si>
  <si>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</si>
  <si>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</si>
  <si>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</si>
  <si>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</si>
  <si>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</si>
  <si>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</si>
  <si>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</si>
  <si>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</si>
  <si>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</si>
  <si>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</si>
  <si>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</si>
  <si>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</si>
  <si>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</si>
  <si>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</si>
  <si>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</si>
  <si>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</si>
  <si>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</si>
  <si>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</si>
  <si>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</si>
  <si>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</si>
  <si>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</si>
  <si>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</si>
  <si>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</si>
  <si>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</si>
  <si>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</si>
  <si>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</si>
  <si>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</si>
  <si>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</si>
  <si>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</si>
  <si>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</si>
  <si>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</si>
  <si>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</si>
  <si>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</si>
  <si>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</si>
  <si>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</si>
  <si>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</si>
  <si>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</si>
  <si>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</si>
  <si>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</si>
  <si>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</si>
  <si>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</si>
  <si>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</si>
  <si>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</si>
  <si>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</si>
  <si>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</si>
  <si>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</si>
  <si>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</si>
  <si>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</si>
  <si>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</si>
  <si>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</si>
  <si>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</si>
  <si>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</si>
  <si>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</si>
  <si>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</si>
  <si>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</si>
  <si>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</si>
  <si>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</si>
  <si>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</si>
  <si>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</si>
  <si>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</si>
  <si>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</si>
  <si>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</si>
  <si>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</si>
  <si>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</si>
  <si>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</si>
  <si>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</si>
  <si>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</si>
  <si>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</si>
  <si>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</si>
  <si>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</si>
  <si>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</si>
  <si>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</si>
  <si>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</si>
  <si>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</si>
  <si>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</si>
  <si>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</si>
  <si>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</si>
  <si>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</si>
  <si>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</si>
  <si>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</si>
  <si>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</si>
  <si>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</si>
  <si>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</si>
  <si>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</si>
  <si>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</si>
  <si>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</si>
  <si>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</si>
  <si>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</si>
  <si>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</si>
  <si>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</si>
  <si>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</si>
  <si>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</si>
  <si>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</si>
  <si>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</si>
  <si>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</si>
  <si>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</si>
  <si>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</si>
  <si>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</si>
  <si>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</si>
  <si>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</si>
  <si>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</si>
  <si>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</si>
  <si>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</si>
  <si>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</si>
  <si>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</si>
  <si>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</si>
  <si>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</si>
  <si>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</si>
  <si>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</si>
  <si>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</si>
  <si>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</si>
  <si>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</si>
  <si>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</si>
  <si>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</si>
  <si>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</si>
  <si>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</si>
  <si>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</si>
  <si>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</si>
  <si>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</si>
  <si>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</si>
  <si>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</si>
  <si>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</si>
  <si>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</si>
  <si>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</si>
  <si>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</si>
  <si>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</si>
  <si>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</si>
  <si>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</si>
  <si>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</si>
  <si>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</si>
  <si>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</si>
  <si>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</si>
  <si>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</si>
  <si>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</si>
  <si>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</si>
  <si>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</si>
  <si>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</si>
  <si>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</si>
  <si>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</si>
  <si>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</si>
  <si>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</si>
  <si>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</si>
  <si>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</si>
  <si>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</si>
  <si>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</si>
  <si>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</si>
  <si>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</si>
  <si>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</si>
  <si>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</si>
  <si>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</si>
  <si>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</si>
  <si>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</si>
  <si>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</si>
  <si>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</si>
  <si>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</si>
  <si>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</si>
  <si>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</si>
  <si>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</si>
  <si>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</si>
  <si>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</si>
  <si>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</si>
  <si>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</si>
  <si>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</si>
  <si>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</si>
  <si>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</si>
  <si>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</si>
  <si>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</si>
  <si>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</si>
  <si>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</si>
  <si>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</si>
  <si>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</si>
  <si>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</si>
  <si>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</si>
  <si>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</si>
  <si>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</si>
  <si>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</si>
  <si>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</si>
  <si>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</si>
  <si>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</si>
  <si>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</si>
  <si>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</si>
  <si>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</si>
  <si>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</si>
  <si>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</si>
  <si>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</si>
  <si>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</si>
  <si>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</si>
  <si>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</si>
  <si>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</si>
  <si>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</si>
  <si>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</si>
  <si>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</si>
  <si>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</si>
  <si>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</si>
  <si>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</si>
  <si>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</si>
  <si>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</si>
  <si>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</si>
  <si>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</si>
  <si>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</si>
  <si>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</si>
  <si>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</si>
  <si>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</si>
  <si>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</si>
  <si>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</si>
  <si>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</si>
  <si>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</si>
  <si>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</si>
  <si>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</si>
  <si>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</si>
  <si>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</si>
  <si>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</si>
  <si>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</si>
  <si>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</si>
  <si>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</si>
  <si>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</si>
  <si>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</si>
  <si>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</si>
  <si>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</si>
  <si>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</si>
  <si>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</si>
  <si>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</si>
  <si>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</si>
  <si>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</si>
  <si>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</si>
  <si>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</si>
  <si>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</si>
  <si>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</si>
  <si>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</si>
  <si>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</si>
  <si>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</si>
  <si>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</si>
  <si>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</si>
  <si>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</si>
  <si>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</si>
  <si>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</si>
  <si>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</si>
  <si>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</si>
  <si>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</si>
  <si>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</si>
  <si>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</si>
  <si>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</si>
  <si>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</si>
  <si>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</si>
  <si>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</si>
  <si>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</si>
  <si>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</si>
  <si>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</si>
  <si>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</si>
  <si>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</si>
  <si>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</si>
  <si>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</si>
  <si>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</si>
  <si>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</si>
  <si>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</si>
  <si>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</si>
  <si>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</si>
  <si>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</si>
  <si>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</si>
  <si>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</si>
  <si>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</si>
  <si>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</si>
  <si>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</si>
  <si>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</si>
  <si>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</si>
  <si>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</si>
  <si>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</si>
  <si>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</si>
  <si>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</si>
  <si>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</si>
  <si>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</si>
  <si>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</si>
  <si>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</si>
  <si>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</si>
  <si>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</si>
  <si>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</si>
  <si>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</si>
  <si>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</si>
  <si>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</si>
  <si>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</si>
  <si>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</si>
  <si>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</si>
  <si>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</si>
  <si>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</si>
  <si>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</si>
  <si>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</si>
  <si>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</si>
  <si>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</si>
  <si>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</si>
  <si>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</si>
  <si>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</si>
  <si>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</si>
  <si>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</si>
  <si>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</si>
  <si>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</si>
  <si>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</si>
  <si>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</si>
  <si>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</si>
  <si>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</si>
  <si>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</si>
  <si>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</si>
  <si>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</si>
  <si>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</si>
  <si>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</si>
  <si>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</si>
  <si>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</si>
  <si>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</si>
  <si>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</si>
  <si>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</si>
  <si>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</si>
  <si>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</si>
  <si>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</si>
  <si>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</si>
  <si>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</si>
  <si>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</si>
  <si>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</si>
  <si>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</si>
  <si>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</si>
  <si>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</si>
  <si>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</si>
  <si>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</si>
  <si>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</si>
  <si>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</si>
  <si>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</si>
  <si>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</si>
  <si>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</si>
  <si>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</si>
  <si>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</si>
  <si>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</si>
  <si>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</si>
  <si>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</si>
  <si>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</si>
  <si>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</si>
  <si>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</si>
  <si>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</si>
  <si>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</si>
  <si>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</si>
  <si>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</si>
  <si>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</si>
  <si>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</si>
  <si>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</si>
  <si>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</si>
  <si>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</si>
  <si>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</si>
  <si>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</si>
  <si>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</si>
  <si>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</si>
  <si>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</si>
  <si>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</si>
  <si>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</si>
  <si>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</si>
  <si>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</si>
  <si>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</si>
  <si>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</si>
  <si>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</si>
  <si>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</si>
  <si>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</si>
  <si>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</si>
  <si>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</si>
  <si>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</si>
  <si>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</si>
  <si>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</si>
  <si>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</si>
  <si>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</si>
  <si>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</si>
  <si>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</si>
  <si>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</si>
  <si>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</si>
  <si>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</si>
  <si>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</si>
  <si>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</si>
  <si>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</si>
  <si>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</si>
  <si>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</si>
  <si>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</si>
  <si>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</si>
  <si>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</si>
  <si>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</si>
  <si>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</si>
  <si>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</si>
  <si>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</si>
  <si>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</si>
  <si>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</si>
  <si>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</si>
  <si>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</si>
  <si>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</si>
  <si>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</si>
  <si>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</si>
  <si>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</si>
  <si>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</si>
  <si>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</si>
  <si>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</si>
  <si>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</si>
  <si>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</si>
  <si>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</si>
  <si>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</si>
  <si>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</si>
  <si>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</si>
  <si>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</si>
  <si>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</si>
  <si>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</si>
  <si>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</si>
  <si>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</si>
  <si>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</si>
  <si>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</si>
  <si>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</si>
  <si>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</si>
  <si>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</si>
  <si>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</si>
  <si>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</si>
  <si>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</si>
  <si>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</si>
  <si>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</si>
  <si>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</si>
  <si>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</si>
  <si>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</si>
  <si>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</si>
  <si>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</si>
  <si>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</si>
  <si>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</si>
  <si>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</si>
  <si>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</si>
  <si>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</si>
  <si>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</si>
  <si>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</si>
  <si>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</si>
  <si>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</si>
  <si>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</si>
  <si>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</si>
  <si>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</si>
  <si>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</si>
  <si>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</si>
  <si>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</si>
  <si>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</si>
  <si>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</si>
  <si>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</si>
  <si>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</si>
  <si>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</si>
  <si>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</si>
  <si>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</si>
  <si>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</si>
  <si>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</si>
  <si>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</si>
  <si>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</si>
  <si>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</si>
  <si>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</si>
  <si>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</si>
  <si>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</si>
  <si>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</si>
  <si>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</si>
  <si>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</si>
  <si>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</si>
  <si>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</si>
  <si>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</si>
  <si>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</si>
  <si>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</si>
  <si>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</si>
  <si>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</si>
  <si>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</si>
  <si>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</si>
  <si>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</si>
  <si>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</si>
  <si>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</si>
  <si>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</si>
  <si>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</si>
  <si>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</si>
  <si>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</si>
  <si>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</si>
  <si>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</si>
  <si>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</si>
  <si>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</si>
  <si>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</si>
  <si>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</si>
  <si>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</si>
  <si>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</si>
  <si>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</si>
  <si>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</si>
  <si>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</si>
  <si>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</si>
  <si>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</si>
  <si>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</si>
  <si>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</si>
  <si>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</si>
  <si>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</si>
  <si>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</si>
  <si>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</si>
  <si>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</si>
  <si>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</si>
  <si>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</si>
  <si>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</si>
  <si>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</si>
  <si>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</si>
  <si>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</si>
  <si>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</si>
  <si>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</si>
  <si>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</si>
  <si>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</si>
  <si>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</si>
  <si>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</si>
  <si>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</si>
  <si>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</si>
  <si>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</si>
  <si>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</si>
  <si>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</si>
  <si>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</si>
  <si>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</si>
  <si>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</si>
  <si>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</si>
  <si>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</si>
  <si>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</si>
  <si>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</si>
  <si>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</si>
  <si>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</si>
  <si>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</si>
  <si>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</si>
  <si>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</si>
  <si>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</si>
  <si>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</si>
  <si>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</si>
  <si>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</si>
  <si>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</si>
  <si>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</si>
  <si>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</si>
  <si>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</si>
  <si>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</si>
  <si>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</si>
  <si>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</si>
  <si>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</si>
  <si>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</si>
  <si>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</si>
  <si>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</si>
  <si>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</si>
  <si>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</si>
  <si>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</si>
  <si>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</si>
  <si>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</si>
  <si>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</si>
  <si>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</si>
  <si>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</si>
  <si>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</si>
  <si>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</si>
  <si>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</si>
  <si>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</si>
  <si>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</si>
  <si>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</si>
  <si>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</si>
  <si>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</si>
  <si>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</si>
  <si>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</si>
  <si>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</si>
  <si>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</si>
  <si>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</si>
  <si>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</si>
  <si>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</si>
  <si>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</si>
  <si>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</si>
  <si>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</si>
  <si>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</si>
  <si>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</si>
  <si>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</si>
  <si>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</si>
  <si>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</si>
  <si>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</si>
  <si>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</si>
  <si>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</si>
  <si>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</si>
  <si>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</si>
  <si>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</si>
  <si>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</si>
  <si>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</si>
  <si>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</si>
  <si>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</si>
  <si>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</si>
  <si>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</si>
  <si>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</si>
  <si>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</si>
  <si>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</si>
  <si>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</si>
  <si>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</si>
  <si>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</si>
  <si>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</si>
  <si>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</si>
  <si>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</si>
  <si>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</si>
  <si>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</si>
  <si>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</si>
  <si>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</si>
  <si>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</si>
  <si>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</si>
  <si>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</si>
  <si>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</si>
  <si>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</si>
  <si>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</si>
  <si>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</si>
  <si>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</si>
  <si>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</si>
  <si>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</si>
  <si>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</si>
  <si>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</si>
  <si>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</si>
  <si>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</si>
  <si>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</si>
  <si>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</si>
  <si>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</si>
  <si>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</si>
  <si>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</si>
  <si>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</si>
  <si>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</si>
  <si>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</si>
  <si>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</si>
  <si>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</si>
  <si>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</si>
  <si>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</si>
  <si>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</si>
  <si>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</si>
  <si>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</si>
  <si>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</si>
  <si>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</si>
  <si>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</si>
  <si>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</si>
  <si>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</si>
  <si>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</si>
  <si>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</si>
  <si>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</si>
  <si>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</si>
  <si>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</si>
  <si>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</si>
  <si>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</si>
  <si>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</si>
  <si>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</si>
  <si>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</si>
  <si>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</si>
  <si>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</si>
  <si>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</si>
  <si>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</si>
  <si>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</si>
  <si>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</si>
  <si>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</si>
  <si>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</si>
  <si>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</si>
  <si>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</si>
  <si>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</si>
  <si>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</si>
  <si>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</si>
  <si>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</si>
  <si>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</si>
  <si>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</si>
  <si>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</si>
  <si>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</si>
  <si>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</si>
  <si>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</si>
  <si>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</si>
  <si>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</si>
  <si>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</si>
  <si>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</si>
  <si>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</si>
  <si>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</si>
  <si>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</si>
  <si>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</si>
  <si>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</si>
  <si>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</si>
  <si>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</si>
  <si>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</si>
  <si>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</si>
  <si>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</si>
  <si>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</si>
  <si>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</si>
  <si>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</si>
  <si>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</si>
  <si>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</si>
  <si>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</si>
  <si>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</si>
  <si>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</si>
  <si>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</si>
  <si>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</si>
  <si>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</si>
  <si>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</si>
  <si>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</si>
  <si>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</si>
  <si>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</si>
  <si>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</si>
  <si>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</si>
  <si>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</si>
  <si>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</si>
  <si>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</si>
  <si>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</si>
  <si>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</si>
  <si>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</si>
  <si>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</si>
  <si>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</si>
  <si>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</si>
  <si>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</si>
  <si>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</si>
  <si>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</si>
  <si>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</si>
  <si>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</si>
  <si>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</si>
  <si>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</si>
  <si>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</si>
  <si>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</si>
  <si>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</si>
  <si>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</si>
  <si>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</si>
  <si>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</si>
  <si>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</si>
  <si>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</si>
  <si>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</si>
  <si>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</si>
  <si>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</si>
  <si>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</si>
  <si>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</si>
  <si>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</si>
  <si>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</si>
  <si>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</si>
  <si>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</si>
  <si>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</si>
  <si>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</si>
  <si>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</si>
  <si>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</si>
  <si>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KOORDINAT : -6.934796, 110.751049</t>
  </si>
  <si>
    <t>TNK MUHAMMAD NGALIM</t>
  </si>
  <si>
    <t>HARJOWINANGUN KEC DEMPET</t>
  </si>
  <si>
    <t>STAF TEKNIK</t>
  </si>
  <si>
    <t>TL TEKNIK</t>
  </si>
  <si>
    <t>MULP</t>
  </si>
  <si>
    <t>MBAG REN</t>
  </si>
  <si>
    <t>Demak, 19 Januari 2024</t>
  </si>
  <si>
    <t>MANAGER ULP</t>
  </si>
  <si>
    <t>ACHMAD SUHENDRO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</si>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</sst>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41" fontId="22" fillId="0" borderId="0" applyFont="0" applyFill="0" applyBorder="0" applyAlignment="0" applyProtection="0"/>
    <xf numFmtId="0" fontId="5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23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331305</xdr:colOff>
      <xdr:row>28</xdr:row>
      <xdr:rowOff>91110</xdr:rowOff>
    </xdr:from>
    <xdr:to>
      <xdr:col>14</xdr:col>
      <xdr:colOff>266550</xdr:colOff>
      <xdr:row>36</xdr:row>
      <xdr:rowOff>120476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2551044" y="4315240"/>
          <a:ext cx="2602245" cy="1213779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348751</xdr:colOff>
      <xdr:row>27</xdr:row>
      <xdr:rowOff>87714</xdr:rowOff>
    </xdr:from>
    <xdr:to>
      <xdr:col>12</xdr:col>
      <xdr:colOff>78023</xdr:colOff>
      <xdr:row>40</xdr:row>
      <xdr:rowOff>72600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614EA81D-776D-47AB-8F28-340A74262106}"/>
            </a:ext>
          </a:extLst>
        </xdr:cNvPr>
        <xdr:cNvCxnSpPr>
          <a:stCxn id="66" idx="3"/>
          <a:endCxn id="6" idx="7"/>
        </xdr:cNvCxnSpPr>
      </xdr:nvCxnSpPr>
      <xdr:spPr>
        <a:xfrm flipH="1">
          <a:off x="3330490" y="4162757"/>
          <a:ext cx="872272" cy="194786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294410</xdr:colOff>
      <xdr:row>14</xdr:row>
      <xdr:rowOff>141318</xdr:rowOff>
    </xdr:from>
    <xdr:to>
      <xdr:col>13</xdr:col>
      <xdr:colOff>371374</xdr:colOff>
      <xdr:row>43</xdr:row>
      <xdr:rowOff>17318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V="1">
          <a:off x="2909455" y="2323409"/>
          <a:ext cx="1981964" cy="437872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65590</xdr:colOff>
      <xdr:row>27</xdr:row>
      <xdr:rowOff>6568</xdr:rowOff>
    </xdr:from>
    <xdr:to>
      <xdr:col>12</xdr:col>
      <xdr:colOff>150490</xdr:colOff>
      <xdr:row>27</xdr:row>
      <xdr:rowOff>101637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4190329" y="4081611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108040</xdr:colOff>
      <xdr:row>24</xdr:row>
      <xdr:rowOff>16565</xdr:rowOff>
    </xdr:from>
    <xdr:to>
      <xdr:col>12</xdr:col>
      <xdr:colOff>314739</xdr:colOff>
      <xdr:row>27</xdr:row>
      <xdr:rowOff>6568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>
          <a:stCxn id="66" idx="0"/>
        </xdr:cNvCxnSpPr>
      </xdr:nvCxnSpPr>
      <xdr:spPr>
        <a:xfrm flipV="1">
          <a:off x="4232779" y="3644348"/>
          <a:ext cx="206699" cy="437263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108234</xdr:colOff>
      <xdr:row>44</xdr:row>
      <xdr:rowOff>74103</xdr:rowOff>
    </xdr:from>
    <xdr:to>
      <xdr:col>11</xdr:col>
      <xdr:colOff>301807</xdr:colOff>
      <xdr:row>47</xdr:row>
      <xdr:rowOff>69136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1555332">
          <a:off x="3089973" y="6708473"/>
          <a:ext cx="955573" cy="44229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KANDANG AYAM</a:t>
          </a:r>
        </a:p>
      </xdr:txBody>
    </xdr:sp>
    <xdr:clientData/>
  </xdr:twoCellAnchor>
  <xdr:twoCellAnchor>
    <xdr:from>
      <xdr:col>11</xdr:col>
      <xdr:colOff>266160</xdr:colOff>
      <xdr:row>26</xdr:row>
      <xdr:rowOff>104501</xdr:rowOff>
    </xdr:from>
    <xdr:to>
      <xdr:col>12</xdr:col>
      <xdr:colOff>28035</xdr:colOff>
      <xdr:row>27</xdr:row>
      <xdr:rowOff>104501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4009899" y="4030458"/>
          <a:ext cx="142875" cy="14908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194050</xdr:colOff>
      <xdr:row>30</xdr:row>
      <xdr:rowOff>94540</xdr:rowOff>
    </xdr:from>
    <xdr:to>
      <xdr:col>11</xdr:col>
      <xdr:colOff>282416</xdr:colOff>
      <xdr:row>31</xdr:row>
      <xdr:rowOff>40521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9CAC000-3813-4E82-9BF9-03690A6CA1DF}"/>
            </a:ext>
          </a:extLst>
        </xdr:cNvPr>
        <xdr:cNvGrpSpPr/>
      </xdr:nvGrpSpPr>
      <xdr:grpSpPr>
        <a:xfrm>
          <a:off x="3937789" y="4608562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F610E76-B3CC-6A82-BA3A-57CA9F5D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E911FD2-F4C1-06EF-D695-E16CAFEE2DF3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886EC16-0AAC-B80A-9EBD-F1BCC6B91B5A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261220</xdr:colOff>
      <xdr:row>21</xdr:row>
      <xdr:rowOff>7962</xdr:rowOff>
    </xdr:from>
    <xdr:to>
      <xdr:col>12</xdr:col>
      <xdr:colOff>48739</xdr:colOff>
      <xdr:row>26</xdr:row>
      <xdr:rowOff>82826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3623959" y="3188484"/>
          <a:ext cx="549519" cy="82029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CC8A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295626</xdr:colOff>
      <xdr:row>38</xdr:row>
      <xdr:rowOff>147494</xdr:rowOff>
    </xdr:from>
    <xdr:to>
      <xdr:col>9</xdr:col>
      <xdr:colOff>82826</xdr:colOff>
      <xdr:row>44</xdr:row>
      <xdr:rowOff>124239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268EA2B-4116-4A91-BA97-F944E1C471D7}"/>
            </a:ext>
          </a:extLst>
        </xdr:cNvPr>
        <xdr:cNvSpPr/>
      </xdr:nvSpPr>
      <xdr:spPr>
        <a:xfrm>
          <a:off x="2515365" y="5887342"/>
          <a:ext cx="549200" cy="87126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350737</xdr:colOff>
      <xdr:row>34</xdr:row>
      <xdr:rowOff>13698</xdr:rowOff>
    </xdr:from>
    <xdr:to>
      <xdr:col>11</xdr:col>
      <xdr:colOff>58103</xdr:colOff>
      <xdr:row>34</xdr:row>
      <xdr:rowOff>113544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19565E4D-EAAB-478D-B960-772C31CCA23E}"/>
            </a:ext>
          </a:extLst>
        </xdr:cNvPr>
        <xdr:cNvGrpSpPr/>
      </xdr:nvGrpSpPr>
      <xdr:grpSpPr>
        <a:xfrm>
          <a:off x="3713476" y="5124068"/>
          <a:ext cx="88366" cy="998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A4919925-DAE7-C1CE-FC0F-927B3DFC85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4CAE7FA-4E8B-71C5-4FAB-C1CDDA2B2344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4A82143F-2377-BFEC-CCAC-03155A0DE60E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7668</xdr:colOff>
      <xdr:row>29</xdr:row>
      <xdr:rowOff>101950</xdr:rowOff>
    </xdr:from>
    <xdr:to>
      <xdr:col>16</xdr:col>
      <xdr:colOff>2450</xdr:colOff>
      <xdr:row>34</xdr:row>
      <xdr:rowOff>82193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10BEAD57-AB55-4974-B073-F60ABF0CCFFB}"/>
            </a:ext>
          </a:extLst>
        </xdr:cNvPr>
        <xdr:cNvSpPr/>
      </xdr:nvSpPr>
      <xdr:spPr>
        <a:xfrm rot="17763937">
          <a:off x="4533100" y="4074474"/>
          <a:ext cx="717396" cy="1518782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SELEP</a:t>
          </a:r>
        </a:p>
      </xdr:txBody>
    </xdr:sp>
    <xdr:clientData/>
  </xdr:twoCellAnchor>
  <xdr:twoCellAnchor>
    <xdr:from>
      <xdr:col>10</xdr:col>
      <xdr:colOff>107390</xdr:colOff>
      <xdr:row>36</xdr:row>
      <xdr:rowOff>41699</xdr:rowOff>
    </xdr:from>
    <xdr:to>
      <xdr:col>10</xdr:col>
      <xdr:colOff>293891</xdr:colOff>
      <xdr:row>38</xdr:row>
      <xdr:rowOff>45412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5E322726-6DE4-4745-9201-26B33A7F36B8}"/>
            </a:ext>
          </a:extLst>
        </xdr:cNvPr>
        <xdr:cNvSpPr/>
      </xdr:nvSpPr>
      <xdr:spPr>
        <a:xfrm rot="17627872">
          <a:off x="3395871" y="5524500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32845</xdr:colOff>
      <xdr:row>31</xdr:row>
      <xdr:rowOff>83111</xdr:rowOff>
    </xdr:from>
    <xdr:to>
      <xdr:col>11</xdr:col>
      <xdr:colOff>219346</xdr:colOff>
      <xdr:row>33</xdr:row>
      <xdr:rowOff>119955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E20B9A60-49F2-4019-AEC6-52144D76CCAB}"/>
            </a:ext>
          </a:extLst>
        </xdr:cNvPr>
        <xdr:cNvSpPr/>
      </xdr:nvSpPr>
      <xdr:spPr>
        <a:xfrm rot="18536440">
          <a:off x="3702326" y="4820478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264757</xdr:colOff>
      <xdr:row>28</xdr:row>
      <xdr:rowOff>49983</xdr:rowOff>
    </xdr:from>
    <xdr:to>
      <xdr:col>12</xdr:col>
      <xdr:colOff>70258</xdr:colOff>
      <xdr:row>30</xdr:row>
      <xdr:rowOff>95109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F4DE5301-8AF5-4B86-AF3F-A88F979060A5}"/>
            </a:ext>
          </a:extLst>
        </xdr:cNvPr>
        <xdr:cNvSpPr/>
      </xdr:nvSpPr>
      <xdr:spPr>
        <a:xfrm rot="17494836">
          <a:off x="3934238" y="434837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198783</xdr:colOff>
      <xdr:row>40</xdr:row>
      <xdr:rowOff>143202</xdr:rowOff>
    </xdr:from>
    <xdr:to>
      <xdr:col>9</xdr:col>
      <xdr:colOff>286267</xdr:colOff>
      <xdr:row>42</xdr:row>
      <xdr:rowOff>49695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EECB03F8-F4F6-4935-842E-6B4628E210BD}"/>
            </a:ext>
          </a:extLst>
        </xdr:cNvPr>
        <xdr:cNvCxnSpPr>
          <a:stCxn id="6" idx="3"/>
        </xdr:cNvCxnSpPr>
      </xdr:nvCxnSpPr>
      <xdr:spPr>
        <a:xfrm flipH="1">
          <a:off x="3180522" y="6181224"/>
          <a:ext cx="87484" cy="2046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74544</xdr:colOff>
      <xdr:row>34</xdr:row>
      <xdr:rowOff>115956</xdr:rowOff>
    </xdr:from>
    <xdr:to>
      <xdr:col>12</xdr:col>
      <xdr:colOff>190500</xdr:colOff>
      <xdr:row>36</xdr:row>
      <xdr:rowOff>149087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5415466F-B66C-420F-94B2-5615721EFBFE}"/>
            </a:ext>
          </a:extLst>
        </xdr:cNvPr>
        <xdr:cNvSpPr/>
      </xdr:nvSpPr>
      <xdr:spPr>
        <a:xfrm>
          <a:off x="3818283" y="5226326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273326</xdr:colOff>
      <xdr:row>40</xdr:row>
      <xdr:rowOff>57978</xdr:rowOff>
    </xdr:from>
    <xdr:to>
      <xdr:col>9</xdr:col>
      <xdr:colOff>361692</xdr:colOff>
      <xdr:row>41</xdr:row>
      <xdr:rowOff>8737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0AEB4F8-EF30-4A11-A519-2E3FFA2AB9EE}"/>
            </a:ext>
          </a:extLst>
        </xdr:cNvPr>
        <xdr:cNvGrpSpPr/>
      </xdr:nvGrpSpPr>
      <xdr:grpSpPr>
        <a:xfrm>
          <a:off x="3255065" y="6096000"/>
          <a:ext cx="88366" cy="998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F5B4BBCB-A58C-9A7C-068A-EE2C23B579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D682679A-4C7E-EEF0-1568-CE23CCBE109A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B9F1FA01-DE8C-A911-C289-F17D08AEA7A9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190501</xdr:colOff>
      <xdr:row>31</xdr:row>
      <xdr:rowOff>124239</xdr:rowOff>
    </xdr:from>
    <xdr:to>
      <xdr:col>12</xdr:col>
      <xdr:colOff>275401</xdr:colOff>
      <xdr:row>32</xdr:row>
      <xdr:rowOff>70221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BDDBC87C-D35F-479E-99B9-40E33789F1FE}"/>
            </a:ext>
          </a:extLst>
        </xdr:cNvPr>
        <xdr:cNvGrpSpPr/>
      </xdr:nvGrpSpPr>
      <xdr:grpSpPr>
        <a:xfrm>
          <a:off x="4315240" y="4787348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5CC3423D-23A9-262C-4D5E-B30384D9958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4D62F2BB-C596-166E-AD2B-2844C078A99E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7DCE7650-6EDB-36B7-C63E-2AC864D7D057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108040</xdr:colOff>
      <xdr:row>27</xdr:row>
      <xdr:rowOff>101637</xdr:rowOff>
    </xdr:from>
    <xdr:to>
      <xdr:col>12</xdr:col>
      <xdr:colOff>202934</xdr:colOff>
      <xdr:row>31</xdr:row>
      <xdr:rowOff>138162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3F8E306-4A87-4F8E-81E7-EAD6929F0DEA}"/>
            </a:ext>
          </a:extLst>
        </xdr:cNvPr>
        <xdr:cNvCxnSpPr>
          <a:stCxn id="22" idx="1"/>
          <a:endCxn id="66" idx="4"/>
        </xdr:cNvCxnSpPr>
      </xdr:nvCxnSpPr>
      <xdr:spPr>
        <a:xfrm flipH="1" flipV="1">
          <a:off x="4232779" y="4176680"/>
          <a:ext cx="94894" cy="624591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182217</xdr:colOff>
      <xdr:row>34</xdr:row>
      <xdr:rowOff>66264</xdr:rowOff>
    </xdr:from>
    <xdr:to>
      <xdr:col>14</xdr:col>
      <xdr:colOff>267117</xdr:colOff>
      <xdr:row>35</xdr:row>
      <xdr:rowOff>12246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E123EB49-C4D0-42DC-B187-72DD36F2E249}"/>
            </a:ext>
          </a:extLst>
        </xdr:cNvPr>
        <xdr:cNvGrpSpPr/>
      </xdr:nvGrpSpPr>
      <xdr:grpSpPr>
        <a:xfrm>
          <a:off x="5068956" y="5176634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52C0D60D-BAD6-FB6D-8B58-E43F634069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43D03529-1073-2C5A-2DC2-7EC5036C475A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1FA1CAE1-958F-63EB-D024-E103D3D7D1FA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281608</xdr:colOff>
      <xdr:row>34</xdr:row>
      <xdr:rowOff>91110</xdr:rowOff>
    </xdr:from>
    <xdr:to>
      <xdr:col>14</xdr:col>
      <xdr:colOff>366508</xdr:colOff>
      <xdr:row>35</xdr:row>
      <xdr:rowOff>37092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233FC193-88A0-4D63-B65D-14F41D7E6519}"/>
            </a:ext>
          </a:extLst>
        </xdr:cNvPr>
        <xdr:cNvGrpSpPr/>
      </xdr:nvGrpSpPr>
      <xdr:grpSpPr>
        <a:xfrm>
          <a:off x="5168347" y="5201480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9D9F680F-E920-5815-A3D9-94CA106DEB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7F501B1-FC46-8974-0CB5-A3EA6D1FFEB8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AD1D0DF-F3F5-5286-DEA3-0B475283176B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262968</xdr:colOff>
      <xdr:row>32</xdr:row>
      <xdr:rowOff>56298</xdr:rowOff>
    </xdr:from>
    <xdr:to>
      <xdr:col>14</xdr:col>
      <xdr:colOff>281608</xdr:colOff>
      <xdr:row>34</xdr:row>
      <xdr:rowOff>138645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BF9038B-B008-46F5-B3B1-FFE8533ED005}"/>
            </a:ext>
          </a:extLst>
        </xdr:cNvPr>
        <xdr:cNvCxnSpPr>
          <a:stCxn id="33" idx="2"/>
          <a:endCxn id="22" idx="5"/>
        </xdr:cNvCxnSpPr>
      </xdr:nvCxnSpPr>
      <xdr:spPr>
        <a:xfrm flipH="1" flipV="1">
          <a:off x="4387707" y="4868494"/>
          <a:ext cx="780640" cy="380521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372717</xdr:colOff>
      <xdr:row>29</xdr:row>
      <xdr:rowOff>66261</xdr:rowOff>
    </xdr:from>
    <xdr:to>
      <xdr:col>11</xdr:col>
      <xdr:colOff>107673</xdr:colOff>
      <xdr:row>31</xdr:row>
      <xdr:rowOff>107673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D61BE58-770A-4825-8209-BD620EECF9DA}"/>
            </a:ext>
          </a:extLst>
        </xdr:cNvPr>
        <xdr:cNvSpPr/>
      </xdr:nvSpPr>
      <xdr:spPr>
        <a:xfrm>
          <a:off x="3354456" y="4439478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231320</xdr:colOff>
      <xdr:row>9</xdr:row>
      <xdr:rowOff>149679</xdr:rowOff>
    </xdr:from>
    <xdr:to>
      <xdr:col>17</xdr:col>
      <xdr:colOff>353784</xdr:colOff>
      <xdr:row>50</xdr:row>
      <xdr:rowOff>28507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432F92-C52B-7695-A39D-F873FB05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0570" y="1768929"/>
          <a:ext cx="8082643" cy="657354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3" t="s">
        <v>1134</v>
      </c>
      <c r="C4" s="533"/>
      <c r="D4" s="533"/>
      <c r="E4" s="533"/>
      <c r="F4" s="533"/>
      <c r="G4" s="533"/>
      <c r="H4" s="53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4" t="s">
        <v>0</v>
      </c>
      <c r="C7" s="534" t="s">
        <v>1</v>
      </c>
      <c r="D7" s="535" t="s">
        <v>42</v>
      </c>
      <c r="E7" s="535" t="s">
        <v>43</v>
      </c>
      <c r="F7" s="535" t="s">
        <v>1135</v>
      </c>
      <c r="G7" s="536" t="s">
        <v>41</v>
      </c>
      <c r="H7" s="532" t="s">
        <v>1042</v>
      </c>
      <c r="I7" s="532" t="s">
        <v>1137</v>
      </c>
      <c r="J7" s="532" t="s">
        <v>1026</v>
      </c>
      <c r="K7" s="526" t="s">
        <v>1024</v>
      </c>
      <c r="L7" s="527"/>
    </row>
    <row r="8" spans="1:12" ht="15" customHeight="1">
      <c r="B8" s="534"/>
      <c r="C8" s="534"/>
      <c r="D8" s="535"/>
      <c r="E8" s="535"/>
      <c r="F8" s="535"/>
      <c r="G8" s="536"/>
      <c r="H8" s="532"/>
      <c r="I8" s="532"/>
      <c r="J8" s="532"/>
      <c r="K8" s="528"/>
      <c r="L8" s="529"/>
    </row>
    <row r="9" spans="1:12" ht="15" customHeight="1">
      <c r="B9" s="534"/>
      <c r="C9" s="534"/>
      <c r="D9" s="535"/>
      <c r="E9" s="535"/>
      <c r="F9" s="535"/>
      <c r="G9" s="536"/>
      <c r="H9" s="532"/>
      <c r="I9" s="532"/>
      <c r="J9" s="532"/>
      <c r="K9" s="530"/>
      <c r="L9" s="53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110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SUMIFS(RAB!$F$14:$F$122,RAB!$C$14:$C$122,C714)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SUMIFS(RAB!$F$14:$F$122,RAB!$C$14:$C$122,C715)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SUMIFS(RAB!$F$14:$F$122,RAB!$C$14:$C$122,C716)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SUMIFS(RAB!$F$14:$F$122,RAB!$C$14:$C$122,C717)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SUMIFS(RAB!$F$14:$F$122,RAB!$C$14:$C$122,C718)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SUMIFS(RAB!$F$14:$F$122,RAB!$C$14:$C$122,C719)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SUMIFS(RAB!$F$14:$F$122,RAB!$C$14:$C$122,C720)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SUMIFS(RAB!$F$14:$F$122,RAB!$C$14:$C$122,C721)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SUMIFS(RAB!$F$14:$F$122,RAB!$C$14:$C$122,C722)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SUMIFS(RAB!$F$14:$F$122,RAB!$C$14:$C$122,C723)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SUMIFS(RAB!$F$14:$F$122,RAB!$C$14:$C$122,C724)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SUMIFS(RAB!$F$14:$F$122,RAB!$C$14:$C$122,C725)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SUMIFS(RAB!$F$14:$F$122,RAB!$C$14:$C$122,C726)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SUMIFS(RAB!$F$14:$F$122,RAB!$C$14:$C$122,C727)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SUMIFS(RAB!$F$14:$F$122,RAB!$C$14:$C$122,C728)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SUMIFS(RAB!$F$14:$F$122,RAB!$C$14:$C$122,C729)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SUMIFS(RAB!$F$14:$F$122,RAB!$C$14:$C$122,C730)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SUMIFS(RAB!$F$14:$F$122,RAB!$C$14:$C$122,C731)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SUMIFS(RAB!$F$14:$F$122,RAB!$C$14:$C$122,C732)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SUMIFS(RAB!$F$14:$F$122,RAB!$C$14:$C$122,C733)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SUMIFS(RAB!$F$14:$F$122,RAB!$C$14:$C$122,C734)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SUMIFS(RAB!$F$14:$F$122,RAB!$C$14:$C$122,C735)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SUMIFS(RAB!$F$14:$F$122,RAB!$C$14:$C$122,C736)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SUMIFS(RAB!$F$14:$F$122,RAB!$C$14:$C$122,C737)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SUMIFS(RAB!$F$14:$F$122,RAB!$C$14:$C$122,C738)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SUMIFS(RAB!$F$14:$F$122,RAB!$C$14:$C$122,C739)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SUMIFS(RAB!$F$14:$F$122,RAB!$C$14:$C$122,C740)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SUMIFS(RAB!$F$14:$F$122,RAB!$C$14:$C$122,C741)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SUMIFS(RAB!$F$14:$F$122,RAB!$C$14:$C$122,C742)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SUMIFS(RAB!$F$14:$F$122,RAB!$C$14:$C$122,C743)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SUMIFS(RAB!$F$14:$F$122,RAB!$C$14:$C$122,C744)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SUMIFS(RAB!$F$14:$F$122,RAB!$C$14:$C$122,C745)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SUMIFS(RAB!$F$14:$F$122,RAB!$C$14:$C$122,C746)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SUMIFS(RAB!$F$14:$F$122,RAB!$C$14:$C$122,C747)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SUMIFS(RAB!$F$14:$F$122,RAB!$C$14:$C$122,C748)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SUMIFS(RAB!$F$14:$F$122,RAB!$C$14:$C$122,C749)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SUMIFS(RAB!$F$14:$F$122,RAB!$C$14:$C$122,C750)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SUMIFS(RAB!$F$14:$F$122,RAB!$C$14:$C$122,C751)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SUMIFS(RAB!$F$14:$F$122,RAB!$C$14:$C$122,C752)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SUMIFS(RAB!$F$14:$F$122,RAB!$C$14:$C$122,C753)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SUMIFS(RAB!$F$14:$F$122,RAB!$C$14:$C$122,C754)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SUMIFS(RAB!$F$14:$F$122,RAB!$C$14:$C$122,C755)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SUMIFS(RAB!$F$14:$F$122,RAB!$C$14:$C$122,C756)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SUMIFS(RAB!$F$14:$F$122,RAB!$C$14:$C$122,C757)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SUMIFS(RAB!$F$14:$F$122,RAB!$C$14:$C$122,C758)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SUMIFS(RAB!$F$14:$F$122,RAB!$C$14:$C$122,C759)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SUMIFS(RAB!$F$14:$F$122,RAB!$C$14:$C$122,C760)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SUMIFS(RAB!$F$14:$F$122,RAB!$C$14:$C$122,C761)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SUMIFS(RAB!$F$14:$F$122,RAB!$C$14:$C$122,C762)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SUMIFS(RAB!$F$14:$F$122,RAB!$C$14:$C$122,C763)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SUMIFS(RAB!$F$14:$F$122,RAB!$C$14:$C$122,C764)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SUMIFS(RAB!$F$14:$F$122,RAB!$C$14:$C$122,C765)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SUMIFS(RAB!$F$14:$F$122,RAB!$C$14:$C$122,C766)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SUMIFS(RAB!$F$14:$F$122,RAB!$C$14:$C$122,C767)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SUMIFS(RAB!$F$14:$F$122,RAB!$C$14:$C$122,C768)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SUMIFS(RAB!$F$14:$F$122,RAB!$C$14:$C$122,C769)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SUMIFS(RAB!$F$14:$F$122,RAB!$C$14:$C$122,C770)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SUMIFS(RAB!$F$14:$F$122,RAB!$C$14:$C$122,C771)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SUMIFS(RAB!$F$14:$F$122,RAB!$C$14:$C$122,C772)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SUMIFS(RAB!$F$14:$F$122,RAB!$C$14:$C$122,C773)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SUMIFS(RAB!$F$14:$F$122,RAB!$C$14:$C$122,C774)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SUMIFS(RAB!$F$14:$F$122,RAB!$C$14:$C$122,C775)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SUMIFS(RAB!$F$14:$F$122,RAB!$C$14:$C$122,C776)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SUMIFS(RAB!$F$14:$F$122,RAB!$C$14:$C$122,C777)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SUMIFS(RAB!$F$14:$F$122,RAB!$C$14:$C$122,C778)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SUMIFS(RAB!$F$14:$F$122,RAB!$C$14:$C$122,C779)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SUMIFS(RAB!$F$14:$F$122,RAB!$C$14:$C$122,C780)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SUMIFS(RAB!$F$14:$F$122,RAB!$C$14:$C$122,C781)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SUMIFS(RAB!$F$14:$F$122,RAB!$C$14:$C$122,C782)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SUMIFS(RAB!$F$14:$F$122,RAB!$C$14:$C$122,C783)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SUMIFS(RAB!$F$14:$F$122,RAB!$C$14:$C$122,C784)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SUMIFS(RAB!$F$14:$F$122,RAB!$C$14:$C$122,C785)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SUMIFS(RAB!$F$14:$F$122,RAB!$C$14:$C$122,C786)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SUMIFS(RAB!$F$14:$F$122,RAB!$C$14:$C$122,C787)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SUMIFS(RAB!$F$14:$F$122,RAB!$C$14:$C$122,C788)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SUMIFS(RAB!$F$14:$F$122,RAB!$C$14:$C$122,C789)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SUMIFS(RAB!$F$14:$F$122,RAB!$C$14:$C$122,C790)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SUMIFS(RAB!$F$14:$F$122,RAB!$C$14:$C$122,C791)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SUMIFS(RAB!$F$14:$F$122,RAB!$C$14:$C$122,C792)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SUMIFS(RAB!$F$14:$F$122,RAB!$C$14:$C$122,C793)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SUMIFS(RAB!$F$14:$F$122,RAB!$C$14:$C$122,C794)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SUMIFS(RAB!$F$14:$F$122,RAB!$C$14:$C$122,C795)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SUMIFS(RAB!$F$14:$F$122,RAB!$C$14:$C$122,C796)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SUMIFS(RAB!$F$14:$F$122,RAB!$C$14:$C$122,C797)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SUMIFS(RAB!$F$14:$F$122,RAB!$C$14:$C$122,C798)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SUMIFS(RAB!$F$14:$F$122,RAB!$C$14:$C$122,C799)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SUMIFS(RAB!$F$14:$F$122,RAB!$C$14:$C$122,C800)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SUMIFS(RAB!$F$14:$F$122,RAB!$C$14:$C$122,C801)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SUMIFS(RAB!$F$14:$F$122,RAB!$C$14:$C$122,C802)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SUMIFS(RAB!$F$14:$F$122,RAB!$C$14:$C$122,C803)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SUMIFS(RAB!$F$14:$F$122,RAB!$C$14:$C$122,C804)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SUMIFS(RAB!$F$14:$F$122,RAB!$C$14:$C$122,C805)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SUMIFS(RAB!$F$14:$F$122,RAB!$C$14:$C$122,C806)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SUMIFS(RAB!$F$14:$F$122,RAB!$C$14:$C$122,C807)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SUMIFS(RAB!$F$14:$F$122,RAB!$C$14:$C$122,C808)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SUMIFS(RAB!$F$14:$F$122,RAB!$C$14:$C$122,C809)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SUMIFS(RAB!$F$14:$F$122,RAB!$C$14:$C$122,C810)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SUMIFS(RAB!$F$14:$F$122,RAB!$C$14:$C$122,C811)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SUMIFS(RAB!$F$14:$F$122,RAB!$C$14:$C$122,C812)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SUMIFS(RAB!$F$14:$F$122,RAB!$C$14:$C$122,C813)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SUMIFS(RAB!$F$14:$F$122,RAB!$C$14:$C$122,C814)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SUMIFS(RAB!$F$14:$F$122,RAB!$C$14:$C$122,C815)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SUMIFS(RAB!$F$14:$F$122,RAB!$C$14:$C$122,C816)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SUMIFS(RAB!$F$14:$F$122,RAB!$C$14:$C$122,C817)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SUMIFS(RAB!$F$14:$F$122,RAB!$C$14:$C$122,C818)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SUMIFS(RAB!$F$14:$F$122,RAB!$C$14:$C$122,C819)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SUMIFS(RAB!$F$14:$F$122,RAB!$C$14:$C$122,C820)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SUMIFS(RAB!$F$14:$F$122,RAB!$C$14:$C$122,C821)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SUMIFS(RAB!$F$14:$F$122,RAB!$C$14:$C$122,C822)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SUMIFS(RAB!$F$14:$F$122,RAB!$C$14:$C$122,C823)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SUMIFS(RAB!$F$14:$F$122,RAB!$C$14:$C$122,C824)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SUMIFS(RAB!$F$14:$F$122,RAB!$C$14:$C$122,C825)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SUMIFS(RAB!$F$14:$F$122,RAB!$C$14:$C$122,C826)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SUMIFS(RAB!$F$14:$F$122,RAB!$C$14:$C$122,C827)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SUMIFS(RAB!$F$14:$F$122,RAB!$C$14:$C$122,C828)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SUMIFS(RAB!$F$14:$F$122,RAB!$C$14:$C$122,C829)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SUMIFS(RAB!$F$14:$F$122,RAB!$C$14:$C$122,C830)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SUMIFS(RAB!$F$14:$F$122,RAB!$C$14:$C$122,C831)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SUMIFS(RAB!$F$14:$F$122,RAB!$C$14:$C$122,C832)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SUMIFS(RAB!$F$14:$F$122,RAB!$C$14:$C$122,C833)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SUMIFS(RAB!$F$14:$F$122,RAB!$C$14:$C$122,C834)</f>
        <v>110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SUMIFS(RAB!$F$14:$F$122,RAB!$C$14:$C$122,C835)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SUMIFS(RAB!$F$14:$F$122,RAB!$C$14:$C$122,C836)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SUMIFS(RAB!$F$14:$F$122,RAB!$C$14:$C$122,C837)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SUMIFS(RAB!$F$14:$F$122,RAB!$C$14:$C$122,C838)</f>
        <v>35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SUMIFS(RAB!$F$14:$F$122,RAB!$C$14:$C$122,C839)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SUMIFS(RAB!$F$14:$F$122,RAB!$C$14:$C$122,C840)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SUMIFS(RAB!$F$14:$F$122,RAB!$C$14:$C$122,C841)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SUMIFS(RAB!$F$14:$F$122,RAB!$C$14:$C$122,C842)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SUMIFS(RAB!$F$14:$F$122,RAB!$C$14:$C$122,C843)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SUMIFS(RAB!$F$14:$F$122,RAB!$C$14:$C$122,C844)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SUMIFS(RAB!$F$14:$F$122,RAB!$C$14:$C$122,C845)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SUMIFS(RAB!$F$14:$F$122,RAB!$C$14:$C$122,C846)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SUMIFS(RAB!$F$14:$F$122,RAB!$C$14:$C$122,C847)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SUMIFS(RAB!$F$14:$F$122,RAB!$C$14:$C$122,C848)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SUMIFS(RAB!$F$14:$F$122,RAB!$C$14:$C$122,C849)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SUMIFS(RAB!$F$14:$F$122,RAB!$C$14:$C$122,C850)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SUMIFS(RAB!$F$14:$F$122,RAB!$C$14:$C$122,C851)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SUMIFS(RAB!$F$14:$F$122,RAB!$C$14:$C$122,C852)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SUMIFS(RAB!$F$14:$F$122,RAB!$C$14:$C$122,C853)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SUMIFS(RAB!$F$14:$F$122,RAB!$C$14:$C$122,C854)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SUMIFS(RAB!$F$14:$F$122,RAB!$C$14:$C$122,C855)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SUMIFS(RAB!$F$14:$F$122,RAB!$C$14:$C$122,C856)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SUMIFS(RAB!$F$14:$F$122,RAB!$C$14:$C$122,C857)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SUMIFS(RAB!$F$14:$F$122,RAB!$C$14:$C$122,C858)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SUMIFS(RAB!$F$14:$F$122,RAB!$C$14:$C$122,C859)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SUMIFS(RAB!$F$14:$F$122,RAB!$C$14:$C$122,C860)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SUMIFS(RAB!$F$14:$F$122,RAB!$C$14:$C$122,C861)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SUMIFS(RAB!$F$14:$F$122,RAB!$C$14:$C$122,C862)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SUMIFS(RAB!$F$14:$F$122,RAB!$C$14:$C$122,C863)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SUMIFS(RAB!$F$14:$F$122,RAB!$C$14:$C$122,C864)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SUMIFS(RAB!$F$14:$F$122,RAB!$C$14:$C$122,C865)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SUMIFS(RAB!$F$14:$F$122,RAB!$C$14:$C$122,C866)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SUMIFS(RAB!$F$14:$F$122,RAB!$C$14:$C$122,C867)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SUMIFS(RAB!$F$14:$F$122,RAB!$C$14:$C$122,C868)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SUMIFS(RAB!$F$14:$F$122,RAB!$C$14:$C$122,C869)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SUMIFS(RAB!$F$14:$F$122,RAB!$C$14:$C$122,C870)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SUMIFS(RAB!$F$14:$F$122,RAB!$C$14:$C$122,C871)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SUMIFS(RAB!$F$14:$F$122,RAB!$C$14:$C$122,C872)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SUMIFS(RAB!$F$14:$F$122,RAB!$C$14:$C$122,C873)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SUMIFS(RAB!$F$14:$F$122,RAB!$C$14:$C$122,C874)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SUMIFS(RAB!$F$14:$F$122,RAB!$C$14:$C$122,C875)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SUMIFS(RAB!$F$14:$F$122,RAB!$C$14:$C$122,C876)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SUMIFS(RAB!$F$14:$F$122,RAB!$C$14:$C$122,C877)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SUMIFS(RAB!$F$14:$F$122,RAB!$C$14:$C$122,C878)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SUMIFS(RAB!$F$14:$F$122,RAB!$C$14:$C$122,C879)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SUMIFS(RAB!$F$14:$F$122,RAB!$C$14:$C$122,C880)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SUMIFS(RAB!$F$14:$F$122,RAB!$C$14:$C$122,C881)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SUMIFS(RAB!$F$14:$F$122,RAB!$C$14:$C$122,C882)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SUMIFS(RAB!$F$14:$F$122,RAB!$C$14:$C$122,C883)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SUMIFS(RAB!$F$14:$F$122,RAB!$C$14:$C$122,C884)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SUMIFS(RAB!$F$14:$F$122,RAB!$C$14:$C$122,C885)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SUMIFS(RAB!$F$14:$F$122,RAB!$C$14:$C$122,C886)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SUMIFS(RAB!$F$14:$F$122,RAB!$C$14:$C$122,C887)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SUMIFS(RAB!$F$14:$F$122,RAB!$C$14:$C$122,C888)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SUMIFS(RAB!$F$14:$F$122,RAB!$C$14:$C$122,C889)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SUMIFS(RAB!$F$14:$F$122,RAB!$C$14:$C$122,C890)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SUMIFS(RAB!$F$14:$F$122,RAB!$C$14:$C$122,C891)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SUMIFS(RAB!$F$14:$F$122,RAB!$C$14:$C$122,C892)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SUMIFS(RAB!$F$14:$F$122,RAB!$C$14:$C$122,C893)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SUMIFS(RAB!$F$14:$F$122,RAB!$C$14:$C$122,C894)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SUMIFS(RAB!$F$14:$F$122,RAB!$C$14:$C$122,C895)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SUMIFS(RAB!$F$14:$F$122,RAB!$C$14:$C$122,C896)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SUMIFS(RAB!$F$14:$F$122,RAB!$C$14:$C$122,C897)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SUMIFS(RAB!$F$14:$F$122,RAB!$C$14:$C$122,C898)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SUMIFS(RAB!$F$14:$F$122,RAB!$C$14:$C$122,C899)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SUMIFS(RAB!$F$14:$F$122,RAB!$C$14:$C$122,C900)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SUMIFS(RAB!$F$14:$F$122,RAB!$C$14:$C$122,C901)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SUMIFS(RAB!$F$14:$F$122,RAB!$C$14:$C$122,C902)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SUMIFS(RAB!$F$14:$F$122,RAB!$C$14:$C$122,C903)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SUMIFS(RAB!$F$14:$F$122,RAB!$C$14:$C$122,C904)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SUMIFS(RAB!$F$14:$F$122,RAB!$C$14:$C$122,C905)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SUMIFS(RAB!$F$14:$F$122,RAB!$C$14:$C$122,C906)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SUMIFS(RAB!$F$14:$F$122,RAB!$C$14:$C$122,C907)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SUMIFS(RAB!$F$14:$F$122,RAB!$C$14:$C$122,C908)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SUMIFS(RAB!$F$14:$F$122,RAB!$C$14:$C$122,C909)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SUMIFS(RAB!$F$14:$F$122,RAB!$C$14:$C$122,C910)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SUMIFS(RAB!$F$14:$F$122,RAB!$C$14:$C$122,C911)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SUMIFS(RAB!$F$14:$F$122,RAB!$C$14:$C$122,C912)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SUMIFS(RAB!$F$14:$F$122,RAB!$C$14:$C$122,C913)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SUMIFS(RAB!$F$14:$F$122,RAB!$C$14:$C$122,C914)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SUMIFS(RAB!$F$14:$F$122,RAB!$C$14:$C$122,C915)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SUMIFS(RAB!$F$14:$F$122,RAB!$C$14:$C$122,C916)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SUMIFS(RAB!$F$14:$F$122,RAB!$C$14:$C$122,C917)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SUMIFS(RAB!$F$14:$F$122,RAB!$C$14:$C$122,C918)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SUMIFS(RAB!$F$14:$F$122,RAB!$C$14:$C$122,C919)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SUMIFS(RAB!$F$14:$F$122,RAB!$C$14:$C$122,C920)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SUMIFS(RAB!$F$14:$F$122,RAB!$C$14:$C$122,C921)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SUMIFS(RAB!$F$14:$F$122,RAB!$C$14:$C$122,C922)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SUMIFS(RAB!$F$14:$F$122,RAB!$C$14:$C$122,C923)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SUMIFS(RAB!$F$14:$F$122,RAB!$C$14:$C$122,C924)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SUMIFS(RAB!$F$14:$F$122,RAB!$C$14:$C$122,C925)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SUMIFS(RAB!$F$14:$F$122,RAB!$C$14:$C$122,C926)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SUMIFS(RAB!$F$14:$F$122,RAB!$C$14:$C$122,C927)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SUMIFS(RAB!$F$14:$F$122,RAB!$C$14:$C$122,C928)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SUMIFS(RAB!$F$14:$F$122,RAB!$C$14:$C$122,C929)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SUMIFS(RAB!$F$14:$F$122,RAB!$C$14:$C$122,C930)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SUMIFS(RAB!$F$14:$F$122,RAB!$C$14:$C$122,C931)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SUMIFS(RAB!$F$14:$F$122,RAB!$C$14:$C$122,C932)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SUMIFS(RAB!$F$14:$F$122,RAB!$C$14:$C$122,C933)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SUMIFS(RAB!$F$14:$F$122,RAB!$C$14:$C$122,C934)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SUMIFS(RAB!$F$14:$F$122,RAB!$C$14:$C$122,C935)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SUMIFS(RAB!$F$14:$F$122,RAB!$C$14:$C$122,C936)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SUMIFS(RAB!$F$14:$F$122,RAB!$C$14:$C$122,C937)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SUMIFS(RAB!$F$14:$F$122,RAB!$C$14:$C$122,C938)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SUMIFS(RAB!$F$14:$F$122,RAB!$C$14:$C$122,C939)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SUMIFS(RAB!$F$14:$F$122,RAB!$C$14:$C$122,C940)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SUMIFS(RAB!$F$14:$F$122,RAB!$C$14:$C$122,C941)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SUMIFS(RAB!$F$14:$F$122,RAB!$C$14:$C$122,C942)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SUMIFS(RAB!$F$14:$F$122,RAB!$C$14:$C$122,C943)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SUMIFS(RAB!$F$14:$F$122,RAB!$C$14:$C$122,C944)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SUMIFS(RAB!$F$14:$F$122,RAB!$C$14:$C$122,C945)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SUMIFS(RAB!$F$14:$F$122,RAB!$C$14:$C$122,C946)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SUMIFS(RAB!$F$14:$F$122,RAB!$C$14:$C$122,C947)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SUMIFS(RAB!$F$14:$F$122,RAB!$C$14:$C$122,C948)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SUMIFS(RAB!$F$14:$F$122,RAB!$C$14:$C$122,C949)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SUMIFS(RAB!$F$14:$F$122,RAB!$C$14:$C$122,C950)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SUMIFS(RAB!$F$14:$F$122,RAB!$C$14:$C$122,C951)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SUMIFS(RAB!$F$14:$F$122,RAB!$C$14:$C$122,C952)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SUMIFS(RAB!$F$14:$F$122,RAB!$C$14:$C$122,C953)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SUMIFS(RAB!$F$14:$F$122,RAB!$C$14:$C$122,C954)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SUMIFS(RAB!$F$14:$F$122,RAB!$C$14:$C$122,C955)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SUMIFS(RAB!$F$14:$F$122,RAB!$C$14:$C$122,C956)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SUMIFS(RAB!$F$14:$F$122,RAB!$C$14:$C$122,C957)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SUMIFS(RAB!$F$14:$F$122,RAB!$C$14:$C$122,C958)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SUMIFS(RAB!$F$14:$F$122,RAB!$C$14:$C$122,C959)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SUMIFS(RAB!$F$14:$F$122,RAB!$C$14:$C$122,C960)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SUMIFS(RAB!$F$14:$F$122,RAB!$C$14:$C$122,C961)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SUMIFS(RAB!$F$14:$F$122,RAB!$C$14:$C$122,C962)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SUMIFS(RAB!$F$14:$F$122,RAB!$C$14:$C$122,C963)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SUMIFS(RAB!$F$14:$F$122,RAB!$C$14:$C$122,C964)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SUMIFS(RAB!$F$14:$F$122,RAB!$C$14:$C$122,C965)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SUMIFS(RAB!$F$14:$F$122,RAB!$C$14:$C$122,C966)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SUMIFS(RAB!$F$14:$F$122,RAB!$C$14:$C$122,C967)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SUMIFS(RAB!$F$14:$F$122,RAB!$C$14:$C$122,C968)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SUMIFS(RAB!$F$14:$F$122,RAB!$C$14:$C$122,C969)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SUMIFS(RAB!$F$14:$F$122,RAB!$C$14:$C$122,C970)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SUMIFS(RAB!$F$14:$F$122,RAB!$C$14:$C$122,C971)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SUMIFS(RAB!$F$14:$F$122,RAB!$C$14:$C$122,C972)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SUMIFS(RAB!$F$14:$F$122,RAB!$C$14:$C$122,C973)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SUMIFS(RAB!$F$14:$F$122,RAB!$C$14:$C$122,C974)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SUMIFS(RAB!$F$14:$F$122,RAB!$C$14:$C$122,C975)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SUMIFS(RAB!$F$14:$F$122,RAB!$C$14:$C$122,C976)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SUMIFS(RAB!$F$14:$F$122,RAB!$C$14:$C$122,C977)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SUMIFS(RAB!$F$14:$F$122,RAB!$C$14:$C$122,C978)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SUMIFS(RAB!$F$14:$F$122,RAB!$C$14:$C$122,C979)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SUMIFS(RAB!$F$14:$F$122,RAB!$C$14:$C$122,C980)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SUMIFS(RAB!$F$14:$F$122,RAB!$C$14:$C$122,C981)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SUMIFS(RAB!$F$14:$F$122,RAB!$C$14:$C$122,C982)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SUMIFS(RAB!$F$14:$F$122,RAB!$C$14:$C$122,C983)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SUMIFS(RAB!$F$14:$F$122,RAB!$C$14:$C$122,C984)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SUMIFS(RAB!$F$14:$F$122,RAB!$C$14:$C$122,C985)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SUMIFS(RAB!$F$14:$F$122,RAB!$C$14:$C$122,C986)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SUMIFS(RAB!$F$14:$F$122,RAB!$C$14:$C$122,C987)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SUMIFS(RAB!$F$14:$F$122,RAB!$C$14:$C$122,C988)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SUMIFS(RAB!$F$14:$F$122,RAB!$C$14:$C$122,C989)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SUMIFS(RAB!$F$14:$F$122,RAB!$C$14:$C$122,C990)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SUMIFS(RAB!$F$14:$F$122,RAB!$C$14:$C$122,C991)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SUMIFS(RAB!$F$14:$F$122,RAB!$C$14:$C$122,C992)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SUMIFS(RAB!$F$14:$F$122,RAB!$C$14:$C$122,C993)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SUMIFS(RAB!$F$14:$F$122,RAB!$C$14:$C$122,C994)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SUMIFS(RAB!$F$14:$F$122,RAB!$C$14:$C$122,C995)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SUMIFS(RAB!$F$14:$F$122,RAB!$C$14:$C$122,C996)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SUMIFS(RAB!$F$14:$F$122,RAB!$C$14:$C$122,C997)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SUMIFS(RAB!$F$14:$F$122,RAB!$C$14:$C$122,C998)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SUMIFS(RAB!$F$14:$F$122,RAB!$C$14:$C$122,C999)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SUMIFS(RAB!$F$14:$F$122,RAB!$C$14:$C$122,C1000)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SUMIFS(RAB!$F$14:$F$122,RAB!$C$14:$C$122,C1001)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SUMIFS(RAB!$F$14:$F$122,RAB!$C$14:$C$122,C1002)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SUMIFS(RAB!$F$14:$F$122,RAB!$C$14:$C$122,C1003)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SUMIFS(RAB!$F$14:$F$122,RAB!$C$14:$C$122,C1004)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SUMIFS(RAB!$F$14:$F$122,RAB!$C$14:$C$122,C1005)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SUMIFS(RAB!$F$14:$F$122,RAB!$C$14:$C$122,C1006)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SUMIFS(RAB!$F$14:$F$122,RAB!$C$14:$C$122,C1007)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SUMIFS(RAB!$F$14:$F$122,RAB!$C$14:$C$122,C1008)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SUMIFS(RAB!$F$14:$F$122,RAB!$C$14:$C$122,C1009)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SUMIFS(RAB!$F$14:$F$122,RAB!$C$14:$C$122,C1010)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SUMIFS(RAB!$F$14:$F$122,RAB!$C$14:$C$122,C1011)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SUMIFS(RAB!$F$14:$F$122,RAB!$C$14:$C$122,C1012)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SUMIFS(RAB!$F$14:$F$122,RAB!$C$14:$C$122,C1013)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SUMIFS(RAB!$F$14:$F$122,RAB!$C$14:$C$122,C1014)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SUMIFS(RAB!$F$14:$F$122,RAB!$C$14:$C$122,C1015)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SUMIFS(RAB!$F$14:$F$122,RAB!$C$14:$C$122,C1016)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SUMIFS(RAB!$F$14:$F$122,RAB!$C$14:$C$122,C1017)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SUMIFS(RAB!$F$14:$F$122,RAB!$C$14:$C$122,C1018)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SUMIFS(RAB!$F$14:$F$122,RAB!$C$14:$C$122,C1019)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SUMIFS(RAB!$F$14:$F$122,RAB!$C$14:$C$122,C1020)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SUMIFS(RAB!$F$14:$F$122,RAB!$C$14:$C$122,C1021)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SUMIFS(RAB!$F$14:$F$122,RAB!$C$14:$C$122,C1022)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SUMIFS(RAB!$F$14:$F$122,RAB!$C$14:$C$122,C1023)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SUMIFS(RAB!$F$14:$F$122,RAB!$C$14:$C$122,C1024)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SUMIFS(RAB!$F$14:$F$122,RAB!$C$14:$C$122,C1025)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SUMIFS(RAB!$F$14:$F$122,RAB!$C$14:$C$122,C1026)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SUMIFS(RAB!$F$14:$F$122,RAB!$C$14:$C$122,C1027)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SUMIFS(RAB!$F$14:$F$122,RAB!$C$14:$C$122,C1028)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SUMIFS(RAB!$F$14:$F$122,RAB!$C$14:$C$122,C1029)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SUMIFS(RAB!$F$14:$F$122,RAB!$C$14:$C$122,C1030)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SUMIFS(RAB!$F$14:$F$122,RAB!$C$14:$C$122,C1031)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SUMIFS(RAB!$F$14:$F$122,RAB!$C$14:$C$122,C1032)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SUMIFS(RAB!$F$14:$F$122,RAB!$C$14:$C$122,C1033)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SUMIFS(RAB!$F$14:$F$122,RAB!$C$14:$C$122,C1034)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SUMIFS(RAB!$F$14:$F$122,RAB!$C$14:$C$122,C1035)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SUMIFS(RAB!$F$14:$F$122,RAB!$C$14:$C$122,C1036)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SUMIFS(RAB!$F$14:$F$122,RAB!$C$14:$C$122,C1037)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SUMIFS(RAB!$F$14:$F$122,RAB!$C$14:$C$122,C1038)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SUMIFS(RAB!$F$14:$F$122,RAB!$C$14:$C$122,C1039)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SUMIFS(RAB!$F$14:$F$122,RAB!$C$14:$C$122,C1040)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SUMIFS(RAB!$F$14:$F$122,RAB!$C$14:$C$122,C1041)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SUMIFS(RAB!$F$14:$F$122,RAB!$C$14:$C$122,C1042)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SUMIFS(RAB!$F$14:$F$122,RAB!$C$14:$C$122,C1043)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SUMIFS(RAB!$F$14:$F$122,RAB!$C$14:$C$122,C1044)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SUMIFS(RAB!$F$14:$F$122,RAB!$C$14:$C$122,C1045)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SUMIFS(RAB!$F$14:$F$122,RAB!$C$14:$C$122,C1046)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SUMIFS(RAB!$F$14:$F$122,RAB!$C$14:$C$122,C1047)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SUMIFS(RAB!$F$14:$F$122,RAB!$C$14:$C$122,C1048)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SUMIFS(RAB!$F$14:$F$122,RAB!$C$14:$C$122,C1049)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SUMIFS(RAB!$F$14:$F$122,RAB!$C$14:$C$122,C1050)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SUMIFS(RAB!$F$14:$F$122,RAB!$C$14:$C$122,C1051)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SUMIFS(RAB!$F$14:$F$122,RAB!$C$14:$C$122,C1052)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SUMIFS(RAB!$F$14:$F$122,RAB!$C$14:$C$122,C1053)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SUMIFS(RAB!$F$14:$F$122,RAB!$C$14:$C$122,C1054)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SUMIFS(RAB!$F$14:$F$122,RAB!$C$14:$C$122,C1055)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SUMIFS(RAB!$F$14:$F$122,RAB!$C$14:$C$122,C1056)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SUMIFS(RAB!$F$14:$F$122,RAB!$C$14:$C$122,C1057)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SUMIFS(RAB!$F$14:$F$122,RAB!$C$14:$C$122,C1058)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SUMIFS(RAB!$F$14:$F$122,RAB!$C$14:$C$122,C1059)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SUMIFS(RAB!$F$14:$F$122,RAB!$C$14:$C$122,C1060)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SUMIFS(RAB!$F$14:$F$122,RAB!$C$14:$C$122,C1061)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SUMIFS(RAB!$F$14:$F$122,RAB!$C$14:$C$122,C1062)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SUMIFS(RAB!$F$14:$F$122,RAB!$C$14:$C$122,C1063)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SUMIFS(RAB!$F$14:$F$122,RAB!$C$14:$C$122,C1064)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SUMIFS(RAB!$F$14:$F$122,RAB!$C$14:$C$122,C1065)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SUMIFS(RAB!$F$14:$F$122,RAB!$C$14:$C$122,C1066)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SUMIFS(RAB!$F$14:$F$122,RAB!$C$14:$C$122,C1067)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SUMIFS(RAB!$F$14:$F$122,RAB!$C$14:$C$122,C1068)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SUMIFS(RAB!$F$14:$F$122,RAB!$C$14:$C$122,C1069)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SUMIFS(RAB!$F$14:$F$122,RAB!$C$14:$C$122,C1070)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SUMIFS(RAB!$F$14:$F$122,RAB!$C$14:$C$122,C1071)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SUMIFS(RAB!$F$14:$F$122,RAB!$C$14:$C$122,C1072)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SUMIFS(RAB!$F$14:$F$122,RAB!$C$14:$C$122,C1073)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SUMIFS(RAB!$F$14:$F$122,RAB!$C$14:$C$122,C1074)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SUMIFS(RAB!$F$14:$F$122,RAB!$C$14:$C$122,C1075)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SUMIFS(RAB!$F$14:$F$122,RAB!$C$14:$C$122,C1076)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SUMIFS(RAB!$F$14:$F$122,RAB!$C$14:$C$122,C1077)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SUMIFS(RAB!$F$14:$F$122,RAB!$C$14:$C$122,C1078)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SUMIFS(RAB!$F$14:$F$122,RAB!$C$14:$C$122,C1079)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SUMIFS(RAB!$F$14:$F$122,RAB!$C$14:$C$122,C1080)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SUMIFS(RAB!$F$14:$F$122,RAB!$C$14:$C$122,C1081)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SUMIFS(RAB!$F$14:$F$122,RAB!$C$14:$C$122,C1082)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SUMIFS(RAB!$F$14:$F$122,RAB!$C$14:$C$122,C1083)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SUMIFS(RAB!$F$14:$F$122,RAB!$C$14:$C$122,C1084)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SUMIFS(RAB!$F$14:$F$122,RAB!$C$14:$C$122,C1085)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SUMIFS(RAB!$F$14:$F$122,RAB!$C$14:$C$122,C1086)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SUMIFS(RAB!$F$14:$F$122,RAB!$C$14:$C$122,C1087)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SUMIFS(RAB!$F$14:$F$122,RAB!$C$14:$C$122,C1088)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SUMIFS(RAB!$F$14:$F$122,RAB!$C$14:$C$122,C1089)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SUMIFS(RAB!$F$14:$F$122,RAB!$C$14:$C$122,C1090)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SUMIFS(RAB!$F$14:$F$122,RAB!$C$14:$C$122,C1091)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SUMIFS(RAB!$F$14:$F$122,RAB!$C$14:$C$122,C1092)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SUMIFS(RAB!$F$14:$F$122,RAB!$C$14:$C$122,C1093)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SUMIFS(RAB!$F$14:$F$122,RAB!$C$14:$C$122,C1094)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SUMIFS(RAB!$F$14:$F$122,RAB!$C$14:$C$122,C1095)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SUMIFS(RAB!$F$14:$F$122,RAB!$C$14:$C$122,C1096)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SUMIFS(RAB!$F$14:$F$122,RAB!$C$14:$C$122,C1097)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SUMIFS(RAB!$F$14:$F$122,RAB!$C$14:$C$122,C1098)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SUMIFS(RAB!$F$14:$F$122,RAB!$C$14:$C$122,C1099)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SUMIFS(RAB!$F$14:$F$122,RAB!$C$14:$C$122,C1100)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SUMIFS(RAB!$F$14:$F$122,RAB!$C$14:$C$122,C1101)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SUMIFS(RAB!$F$14:$F$122,RAB!$C$14:$C$122,C1102)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SUMIFS(RAB!$F$14:$F$122,RAB!$C$14:$C$122,C1103)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SUMIFS(RAB!$F$14:$F$122,RAB!$C$14:$C$122,C1104)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SUMIFS(RAB!$F$14:$F$122,RAB!$C$14:$C$122,C1105)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SUMIFS(RAB!$F$14:$F$122,RAB!$C$14:$C$122,C1106)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SUMIFS(RAB!$F$14:$F$122,RAB!$C$14:$C$122,C1107)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SUMIFS(RAB!$F$14:$F$122,RAB!$C$14:$C$122,C1108)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SUMIFS(RAB!$F$14:$F$122,RAB!$C$14:$C$122,C1109)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SUMIFS(RAB!$F$14:$F$122,RAB!$C$14:$C$122,C1110)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SUMIFS(RAB!$F$14:$F$122,RAB!$C$14:$C$122,C1111)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SUMIFS(RAB!$F$14:$F$122,RAB!$C$14:$C$122,C1112)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SUMIFS(RAB!$F$14:$F$122,RAB!$C$14:$C$122,C1113)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SUMIFS(RAB!$F$14:$F$122,RAB!$C$14:$C$122,C1114)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SUMIFS(RAB!$F$14:$F$122,RAB!$C$14:$C$122,C1115)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SUMIFS(RAB!$F$14:$F$122,RAB!$C$14:$C$122,C1116)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SUMIFS(RAB!$F$14:$F$122,RAB!$C$14:$C$122,C1117)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SUMIFS(RAB!$F$14:$F$122,RAB!$C$14:$C$122,C1118)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SUMIFS(RAB!$F$14:$F$122,RAB!$C$14:$C$122,C1119)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SUMIFS(RAB!$F$14:$F$122,RAB!$C$14:$C$122,C1120)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SUMIFS(RAB!$F$14:$F$122,RAB!$C$14:$C$122,C1121)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SUMIFS(RAB!$F$14:$F$122,RAB!$C$14:$C$122,C1122)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SUMIFS(RAB!$F$14:$F$122,RAB!$C$14:$C$122,C1123)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SUMIFS(RAB!$F$14:$F$122,RAB!$C$14:$C$122,C1124)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SUMIFS(RAB!$F$14:$F$122,RAB!$C$14:$C$122,C1125)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SUMIFS(RAB!$F$14:$F$122,RAB!$C$14:$C$122,C1126)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SUMIFS(RAB!$F$14:$F$122,RAB!$C$14:$C$122,C1127)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SUMIFS(RAB!$F$14:$F$122,RAB!$C$14:$C$122,C1128)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SUMIFS(RAB!$F$14:$F$122,RAB!$C$14:$C$122,C1129)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SUMIFS(RAB!$F$14:$F$122,RAB!$C$14:$C$122,C1130)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SUMIFS(RAB!$F$14:$F$122,RAB!$C$14:$C$122,C1131)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SUMIFS(RAB!$F$14:$F$122,RAB!$C$14:$C$122,C1132)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SUMIFS(RAB!$F$14:$F$122,RAB!$C$14:$C$122,C1133)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SUMIFS(RAB!$F$14:$F$122,RAB!$C$14:$C$122,C1134)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SUMIFS(RAB!$F$14:$F$122,RAB!$C$14:$C$122,C1135)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SUMIFS(RAB!$F$14:$F$122,RAB!$C$14:$C$122,C1136)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SUMIFS(RAB!$F$14:$F$122,RAB!$C$14:$C$122,C1137)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SUMIFS(RAB!$F$14:$F$122,RAB!$C$14:$C$122,C1138)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SUMIFS(RAB!$F$14:$F$122,RAB!$C$14:$C$122,C1139)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SUMIFS(RAB!$F$14:$F$122,RAB!$C$14:$C$122,C1140)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SUMIFS(RAB!$F$14:$F$122,RAB!$C$14:$C$122,C1141)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SUMIFS(RAB!$F$14:$F$122,RAB!$C$14:$C$122,C1142)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SUMIFS(RAB!$F$14:$F$122,RAB!$C$14:$C$122,C1143)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SUMIFS(RAB!$F$14:$F$122,RAB!$C$14:$C$122,C1144)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SUMIFS(RAB!$F$14:$F$122,RAB!$C$14:$C$122,C1145)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SUMIFS(RAB!$F$14:$F$122,RAB!$C$14:$C$122,C1146)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SUMIFS(RAB!$F$14:$F$122,RAB!$C$14:$C$122,C1147)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SUMIFS(RAB!$F$14:$F$122,RAB!$C$14:$C$122,C1148)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SUMIFS(RAB!$F$14:$F$122,RAB!$C$14:$C$122,C1149)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SUMIFS(RAB!$F$14:$F$122,RAB!$C$14:$C$122,C1150)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SUMIFS(RAB!$F$14:$F$122,RAB!$C$14:$C$122,C1151)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SUMIFS(RAB!$F$14:$F$122,RAB!$C$14:$C$122,C1152)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SUMIFS(RAB!$F$14:$F$122,RAB!$C$14:$C$122,C1153)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SUMIFS(RAB!$F$14:$F$122,RAB!$C$14:$C$122,C1154)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SUMIFS(RAB!$F$14:$F$122,RAB!$C$14:$C$122,C1155)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SUMIFS(RAB!$F$14:$F$122,RAB!$C$14:$C$122,C1156)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SUMIFS(RAB!$F$14:$F$122,RAB!$C$14:$C$122,C1157)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SUMIFS(RAB!$F$14:$F$122,RAB!$C$14:$C$122,C1158)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SUMIFS(RAB!$F$14:$F$122,RAB!$C$14:$C$122,C1159)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SUMIFS(RAB!$F$14:$F$122,RAB!$C$14:$C$122,C1160)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SUMIFS(RAB!$F$14:$F$122,RAB!$C$14:$C$122,C1161)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SUMIFS(RAB!$F$14:$F$122,RAB!$C$14:$C$122,C1162)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SUMIFS(RAB!$F$14:$F$122,RAB!$C$14:$C$122,C1163)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SUMIFS(RAB!$F$14:$F$122,RAB!$C$14:$C$122,C1164)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SUMIFS(RAB!$F$14:$F$122,RAB!$C$14:$C$122,C1165)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SUMIFS(RAB!$F$14:$F$122,RAB!$C$14:$C$122,C1166)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SUMIFS(RAB!$F$14:$F$122,RAB!$C$14:$C$122,C1167)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SUMIFS(RAB!$F$14:$F$122,RAB!$C$14:$C$122,C1168)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SUMIFS(RAB!$F$14:$F$122,RAB!$C$14:$C$122,C1169)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SUMIFS(RAB!$F$14:$F$122,RAB!$C$14:$C$122,C1170)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SUMIFS(RAB!$F$14:$F$122,RAB!$C$14:$C$122,C1171)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SUMIFS(RAB!$F$14:$F$122,RAB!$C$14:$C$122,C1172)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SUMIFS(RAB!$F$14:$F$122,RAB!$C$14:$C$122,C1173)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SUMIFS(RAB!$F$14:$F$122,RAB!$C$14:$C$122,C1174)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SUMIFS(RAB!$F$14:$F$122,RAB!$C$14:$C$122,C1175)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SUMIFS(RAB!$F$14:$F$122,RAB!$C$14:$C$122,C1176)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SUMIFS(RAB!$F$14:$F$122,RAB!$C$14:$C$122,C1177)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SUMIFS(RAB!$F$14:$F$122,RAB!$C$14:$C$122,C1178)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SUMIFS(RAB!$F$14:$F$122,RAB!$C$14:$C$122,C1179)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SUMIFS(RAB!$F$14:$F$122,RAB!$C$14:$C$122,C1180)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SUMIFS(RAB!$F$14:$F$122,RAB!$C$14:$C$122,C1181)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SUMIFS(RAB!$F$14:$F$122,RAB!$C$14:$C$122,C1182)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SUMIFS(RAB!$F$14:$F$122,RAB!$C$14:$C$122,C1183)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SUMIFS(RAB!$F$14:$F$122,RAB!$C$14:$C$122,C1184)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SUMIFS(RAB!$F$14:$F$122,RAB!$C$14:$C$122,C1185)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SUMIFS(RAB!$F$14:$F$122,RAB!$C$14:$C$122,C1186)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SUMIFS(RAB!$F$14:$F$122,RAB!$C$14:$C$122,C1187)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SUMIFS(RAB!$F$14:$F$122,RAB!$C$14:$C$122,C1188)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SUMIFS(RAB!$F$14:$F$122,RAB!$C$14:$C$122,C1189)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SUMIFS(RAB!$F$14:$F$122,RAB!$C$14:$C$122,C1190)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SUMIFS(RAB!$F$14:$F$122,RAB!$C$14:$C$122,C1191)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SUMIFS(RAB!$F$14:$F$122,RAB!$C$14:$C$122,C1192)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SUMIFS(RAB!$F$14:$F$122,RAB!$C$14:$C$122,C1193)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SUMIFS(RAB!$F$14:$F$122,RAB!$C$14:$C$122,C1194)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SUMIFS(RAB!$F$14:$F$122,RAB!$C$14:$C$122,C1195)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SUMIFS(RAB!$F$14:$F$122,RAB!$C$14:$C$122,C1196)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SUMIFS(RAB!$F$14:$F$122,RAB!$C$14:$C$122,C1197)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SUMIFS(RAB!$F$14:$F$122,RAB!$C$14:$C$122,C1198)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SUMIFS(RAB!$F$14:$F$122,RAB!$C$14:$C$122,C1199)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SUMIFS(RAB!$F$14:$F$122,RAB!$C$14:$C$122,C1200)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SUMIFS(RAB!$F$14:$F$122,RAB!$C$14:$C$122,C1201)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SUMIFS(RAB!$F$14:$F$122,RAB!$C$14:$C$122,C1202)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SUMIFS(RAB!$F$14:$F$122,RAB!$C$14:$C$122,C1203)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SUMIFS(RAB!$F$14:$F$122,RAB!$C$14:$C$122,C1204)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SUMIFS(RAB!$F$14:$F$122,RAB!$C$14:$C$122,C1205)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SUMIFS(RAB!$F$14:$F$122,RAB!$C$14:$C$122,C1206)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SUMIFS(RAB!$F$14:$F$122,RAB!$C$14:$C$122,C1207)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SUMIFS(RAB!$F$14:$F$122,RAB!$C$14:$C$122,C1208)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SUMIFS(RAB!$F$14:$F$122,RAB!$C$14:$C$122,C1209)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SUMIFS(RAB!$F$14:$F$122,RAB!$C$14:$C$122,C1210)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SUMIFS(RAB!$F$14:$F$122,RAB!$C$14:$C$122,C1211)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SUMIFS(RAB!$F$14:$F$122,RAB!$C$14:$C$122,C1212)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SUMIFS(RAB!$F$14:$F$122,RAB!$C$14:$C$122,C1213)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SUMIFS(RAB!$F$14:$F$122,RAB!$C$14:$C$122,C1214)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SUMIFS(RAB!$F$14:$F$122,RAB!$C$14:$C$122,C1215)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SUMIFS(RAB!$F$14:$F$122,RAB!$C$14:$C$122,C1216)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SUMIFS(RAB!$F$14:$F$122,RAB!$C$14:$C$122,C1217)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SUMIFS(RAB!$F$14:$F$122,RAB!$C$14:$C$122,C1218)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SUMIFS(RAB!$F$14:$F$122,RAB!$C$14:$C$122,C1219)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SUMIFS(RAB!$F$14:$F$122,RAB!$C$14:$C$122,C1220)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SUMIFS(RAB!$F$14:$F$122,RAB!$C$14:$C$122,C1221)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SUMIFS(RAB!$F$14:$F$122,RAB!$C$14:$C$122,C1222)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SUMIFS(RAB!$F$14:$F$122,RAB!$C$14:$C$122,C1223)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SUMIFS(RAB!$F$14:$F$122,RAB!$C$14:$C$122,C1224)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SUMIFS(RAB!$F$14:$F$122,RAB!$C$14:$C$122,C1225)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SUMIFS(RAB!$F$14:$F$122,RAB!$C$14:$C$122,C1226)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SUMIFS(RAB!$F$14:$F$122,RAB!$C$14:$C$122,C1227)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SUMIFS(RAB!$F$14:$F$122,RAB!$C$14:$C$122,C1228)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SUMIFS(RAB!$F$14:$F$122,RAB!$C$14:$C$122,C1229)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SUMIFS(RAB!$F$14:$F$122,RAB!$C$14:$C$122,C1230)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SUMIFS(RAB!$F$14:$F$122,RAB!$C$14:$C$122,C1231)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SUMIFS(RAB!$F$14:$F$122,RAB!$C$14:$C$122,C1232)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SUMIFS(RAB!$F$14:$F$122,RAB!$C$14:$C$122,C1233)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SUMIFS(RAB!$F$14:$F$122,RAB!$C$14:$C$122,C1234)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SUMIFS(RAB!$F$14:$F$122,RAB!$C$14:$C$122,C1235)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SUMIFS(RAB!$F$14:$F$122,RAB!$C$14:$C$122,C1236)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SUMIFS(RAB!$F$14:$F$122,RAB!$C$14:$C$122,C1237)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SUMIFS(RAB!$F$14:$F$122,RAB!$C$14:$C$122,C1238)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SUMIFS(RAB!$F$14:$F$122,RAB!$C$14:$C$122,C1239)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SUMIFS(RAB!$F$14:$F$122,RAB!$C$14:$C$122,C1240)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SUMIFS(RAB!$F$14:$F$122,RAB!$C$14:$C$122,C1241)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SUMIFS(RAB!$F$14:$F$122,RAB!$C$14:$C$122,C1242)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SUMIFS(RAB!$F$14:$F$122,RAB!$C$14:$C$122,C1243)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SUMIFS(RAB!$F$14:$F$122,RAB!$C$14:$C$122,C1244)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SUMIFS(RAB!$F$14:$F$122,RAB!$C$14:$C$122,C1245)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SUMIFS(RAB!$F$14:$F$122,RAB!$C$14:$C$122,C1246)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SUMIFS(RAB!$F$14:$F$122,RAB!$C$14:$C$122,C1247)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SUMIFS(RAB!$F$14:$F$122,RAB!$C$14:$C$122,C1248)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SUMIFS(RAB!$F$14:$F$122,RAB!$C$14:$C$122,C1249)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SUMIFS(RAB!$F$14:$F$122,RAB!$C$14:$C$122,C1250)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SUMIFS(RAB!$F$14:$F$122,RAB!$C$14:$C$122,C1251)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SUMIFS(RAB!$F$14:$F$122,RAB!$C$14:$C$122,C1252)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SUMIFS(RAB!$F$14:$F$122,RAB!$C$14:$C$122,C1253)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SUMIFS(RAB!$F$14:$F$122,RAB!$C$14:$C$122,C1254)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SUMIFS(RAB!$F$14:$F$122,RAB!$C$14:$C$122,C1255)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SUMIFS(RAB!$F$14:$F$122,RAB!$C$14:$C$122,C1256)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SUMIFS(RAB!$F$14:$F$122,RAB!$C$14:$C$122,C1257)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SUMIFS(RAB!$F$14:$F$122,RAB!$C$14:$C$122,C1258)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SUMIFS(RAB!$F$14:$F$122,RAB!$C$14:$C$122,C1259)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SUMIFS(RAB!$F$14:$F$122,RAB!$C$14:$C$122,C1260)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SUMIFS(RAB!$F$14:$F$122,RAB!$C$14:$C$122,C1261)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SUMIFS(RAB!$F$14:$F$122,RAB!$C$14:$C$122,C1262)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SUMIFS(RAB!$F$14:$F$122,RAB!$C$14:$C$122,C1263)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SUMIFS(RAB!$F$14:$F$122,RAB!$C$14:$C$122,C1264)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SUMIFS(RAB!$F$14:$F$122,RAB!$C$14:$C$122,C1265)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SUMIFS(RAB!$F$14:$F$122,RAB!$C$14:$C$122,C1266)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SUMIFS(RAB!$F$14:$F$122,RAB!$C$14:$C$122,C1267)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SUMIFS(RAB!$F$14:$F$122,RAB!$C$14:$C$122,C1268)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SUMIFS(RAB!$F$14:$F$122,RAB!$C$14:$C$122,C1269)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SUMIFS(RAB!$F$14:$F$122,RAB!$C$14:$C$122,C1270)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SUMIFS(RAB!$F$14:$F$122,RAB!$C$14:$C$122,C1271)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SUMIFS(RAB!$F$14:$F$122,RAB!$C$14:$C$122,C1272)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SUMIFS(RAB!$F$14:$F$122,RAB!$C$14:$C$122,C1273)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SUMIFS(RAB!$F$14:$F$122,RAB!$C$14:$C$122,C1274)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SUMIFS(RAB!$F$14:$F$122,RAB!$C$14:$C$122,C1275)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SUMIFS(RAB!$F$14:$F$122,RAB!$C$14:$C$122,C1276)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SUMIFS(RAB!$F$14:$F$122,RAB!$C$14:$C$122,C1277)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SUMIFS(RAB!$F$14:$F$122,RAB!$C$14:$C$122,C1278)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SUMIFS(RAB!$F$14:$F$122,RAB!$C$14:$C$122,C1279)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SUMIFS(RAB!$F$14:$F$122,RAB!$C$14:$C$122,C1280)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SUMIFS(RAB!$F$14:$F$122,RAB!$C$14:$C$122,C1281)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SUMIFS(RAB!$F$14:$F$122,RAB!$C$14:$C$122,C1282)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SUMIFS(RAB!$F$14:$F$122,RAB!$C$14:$C$122,C1283)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SUMIFS(RAB!$F$14:$F$122,RAB!$C$14:$C$122,C1284)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SUMIFS(RAB!$F$14:$F$122,RAB!$C$14:$C$122,C1285)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SUMIFS(RAB!$F$14:$F$122,RAB!$C$14:$C$122,C1286)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SUMIFS(RAB!$F$14:$F$122,RAB!$C$14:$C$122,C1287)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SUMIFS(RAB!$F$14:$F$122,RAB!$C$14:$C$122,C1288)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SUMIFS(RAB!$F$14:$F$122,RAB!$C$14:$C$122,C1289)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SUMIFS(RAB!$F$14:$F$122,RAB!$C$14:$C$122,C1290)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SUMIFS(RAB!$F$14:$F$122,RAB!$C$14:$C$122,C1291)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SUMIFS(RAB!$F$14:$F$122,RAB!$C$14:$C$122,C1292)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SUMIFS(RAB!$F$14:$F$122,RAB!$C$14:$C$122,C1293)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SUMIFS(RAB!$F$14:$F$122,RAB!$C$14:$C$122,C1294)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SUMIFS(RAB!$F$14:$F$122,RAB!$C$14:$C$122,C1295)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SUMIFS(RAB!$F$14:$F$122,RAB!$C$14:$C$122,C1296)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SUMIFS(RAB!$F$14:$F$122,RAB!$C$14:$C$122,C1297)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SUMIFS(RAB!$F$14:$F$122,RAB!$C$14:$C$122,C1298)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SUMIFS(RAB!$F$14:$F$122,RAB!$C$14:$C$122,C1299)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SUMIFS(RAB!$F$14:$F$122,RAB!$C$14:$C$122,C1300)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SUMIFS(RAB!$F$14:$F$122,RAB!$C$14:$C$122,C1301)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SUMIFS(RAB!$F$14:$F$122,RAB!$C$14:$C$122,C1302)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SUMIFS(RAB!$F$14:$F$122,RAB!$C$14:$C$122,C1303)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SUMIFS(RAB!$F$14:$F$122,RAB!$C$14:$C$122,C1304)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SUMIFS(RAB!$F$14:$F$122,RAB!$C$14:$C$122,C1305)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SUMIFS(RAB!$F$14:$F$122,RAB!$C$14:$C$122,C1306)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SUMIFS(RAB!$F$14:$F$122,RAB!$C$14:$C$122,C1307)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SUMIFS(RAB!$F$14:$F$122,RAB!$C$14:$C$122,C1308)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SUMIFS(RAB!$F$14:$F$122,RAB!$C$14:$C$122,C1309)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SUMIFS(RAB!$F$14:$F$122,RAB!$C$14:$C$122,C1310)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SUMIFS(RAB!$F$14:$F$122,RAB!$C$14:$C$122,C1311)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SUMIFS(RAB!$F$14:$F$122,RAB!$C$14:$C$122,C1312)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SUMIFS(RAB!$F$14:$F$122,RAB!$C$14:$C$122,C1313)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SUMIFS(RAB!$F$14:$F$122,RAB!$C$14:$C$122,C1314)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SUMIFS(RAB!$F$14:$F$122,RAB!$C$14:$C$122,C1315)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SUMIFS(RAB!$F$14:$F$122,RAB!$C$14:$C$122,C1316)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SUMIFS(RAB!$F$14:$F$122,RAB!$C$14:$C$122,C1317)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SUMIFS(RAB!$F$14:$F$122,RAB!$C$14:$C$122,C1318)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SUMIFS(RAB!$F$14:$F$122,RAB!$C$14:$C$122,C1319)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SUMIFS(RAB!$F$14:$F$122,RAB!$C$14:$C$122,C1320)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3" t="s">
        <v>1127</v>
      </c>
      <c r="C4" s="553"/>
      <c r="D4" s="553"/>
      <c r="E4" s="553"/>
      <c r="F4" s="553"/>
      <c r="G4" s="553"/>
      <c r="H4" s="553"/>
      <c r="I4" s="553"/>
      <c r="J4" s="553"/>
      <c r="K4" s="5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TNK MUHAMMAD NGALIM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HARJOWINANGUN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4" t="s">
        <v>0</v>
      </c>
      <c r="C11" s="556" t="s">
        <v>1</v>
      </c>
      <c r="D11" s="559" t="s">
        <v>42</v>
      </c>
      <c r="E11" s="559" t="s">
        <v>43</v>
      </c>
      <c r="F11" s="559" t="s">
        <v>2</v>
      </c>
      <c r="G11" s="560" t="s">
        <v>41</v>
      </c>
      <c r="H11" s="559" t="s">
        <v>3</v>
      </c>
      <c r="I11" s="559"/>
      <c r="J11" s="559"/>
      <c r="K11" s="563"/>
      <c r="M11" s="33"/>
      <c r="N11" s="33"/>
      <c r="O11" s="33"/>
      <c r="P11" s="33"/>
      <c r="R11" s="34"/>
      <c r="S11" s="74"/>
      <c r="T11" s="74"/>
    </row>
    <row r="12" spans="1:21" ht="15" customHeight="1">
      <c r="B12" s="555"/>
      <c r="C12" s="557"/>
      <c r="D12" s="549"/>
      <c r="E12" s="549"/>
      <c r="F12" s="549"/>
      <c r="G12" s="561"/>
      <c r="H12" s="551" t="s">
        <v>46</v>
      </c>
      <c r="I12" s="551" t="s">
        <v>5</v>
      </c>
      <c r="J12" s="549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5"/>
      <c r="C13" s="558"/>
      <c r="D13" s="549"/>
      <c r="E13" s="549"/>
      <c r="F13" s="549"/>
      <c r="G13" s="562"/>
      <c r="H13" s="552"/>
      <c r="I13" s="552"/>
      <c r="J13" s="549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8"/>
      <c r="I45" s="538"/>
      <c r="J45" s="539"/>
      <c r="K45" s="53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8"/>
      <c r="I46" s="538"/>
      <c r="J46" s="539"/>
      <c r="K46" s="53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8"/>
      <c r="I47" s="538"/>
      <c r="J47" s="539"/>
      <c r="K47" s="53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8"/>
      <c r="I52" s="538"/>
      <c r="J52" s="539"/>
      <c r="K52" s="53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SUMIFS(RAB!$F$14:$F$122,RAB!$C$14:$C$122,'REKAP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SUMIFS(RAB!$F$14:$F$122,RAB!$C$14:$C$122,'REKAP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SUMIFS(RAB!$F$14:$F$122,RAB!$C$14:$C$122,'REKAP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SUMIFS(RAB!$F$14:$F$122,RAB!$C$14:$C$122,'REKAP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SUMIFS(RAB!$F$14:$F$122,RAB!$C$14:$C$122,'REKAP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SUMIFS(RAB!$F$14:$F$122,RAB!$C$14:$C$122,'REKAP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SUMIFS(RAB!$F$14:$F$122,RAB!$C$14:$C$122,'REKAP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SUMIFS(RAB!$F$14:$F$122,RAB!$C$14:$C$122,'REKAP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SUMIFS(RAB!$F$14:$F$122,RAB!$C$14:$C$122,'REKAP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SUMIFS(RAB!$F$14:$F$122,RAB!$C$14:$C$122,'REKAP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SUMIFS(RAB!$F$14:$F$122,RAB!$C$14:$C$122,'REKAP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SUMIFS(RAB!$F$14:$F$122,RAB!$C$14:$C$122,'REKAP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SUMIFS(RAB!$F$14:$F$122,RAB!$C$14:$C$122,'REKAP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SUMIFS(RAB!$F$14:$F$122,RAB!$C$14:$C$122,'REKAP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SUMIFS(RAB!$F$14:$F$122,RAB!$C$14:$C$122,'REKAP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SUMIFS(RAB!$F$14:$F$122,RAB!$C$14:$C$122,'REKAP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SUMIFS(RAB!$F$14:$F$122,RAB!$C$14:$C$122,'REKAP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SUMIFS(RAB!$F$14:$F$122,RAB!$C$14:$C$122,'REKAP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SUMIFS(RAB!$F$14:$F$122,RAB!$C$14:$C$122,'REKAP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SUMIFS(RAB!$F$14:$F$122,RAB!$C$14:$C$122,'REKAP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3" t="s">
        <v>1034</v>
      </c>
      <c r="C4" s="553"/>
      <c r="D4" s="553"/>
      <c r="E4" s="553"/>
      <c r="F4" s="553"/>
      <c r="G4" s="553"/>
      <c r="H4" s="553"/>
      <c r="I4" s="553"/>
      <c r="J4" s="553"/>
      <c r="K4" s="5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TNK MUHAMMAD NGALIM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HARJOWINANGUN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4" t="s">
        <v>0</v>
      </c>
      <c r="C11" s="556" t="s">
        <v>1</v>
      </c>
      <c r="D11" s="559" t="s">
        <v>42</v>
      </c>
      <c r="E11" s="559" t="s">
        <v>43</v>
      </c>
      <c r="F11" s="559" t="s">
        <v>2</v>
      </c>
      <c r="G11" s="560" t="s">
        <v>41</v>
      </c>
      <c r="H11" s="559" t="s">
        <v>3</v>
      </c>
      <c r="I11" s="559"/>
      <c r="J11" s="559"/>
      <c r="K11" s="563"/>
      <c r="M11" s="33"/>
      <c r="N11" s="33"/>
      <c r="O11" s="33"/>
      <c r="P11" s="33"/>
      <c r="R11" s="34"/>
      <c r="S11" s="74"/>
      <c r="T11" s="74"/>
    </row>
    <row r="12" spans="1:21" ht="15" customHeight="1">
      <c r="B12" s="555"/>
      <c r="C12" s="557"/>
      <c r="D12" s="549"/>
      <c r="E12" s="549"/>
      <c r="F12" s="549"/>
      <c r="G12" s="561"/>
      <c r="H12" s="551" t="s">
        <v>46</v>
      </c>
      <c r="I12" s="551" t="s">
        <v>5</v>
      </c>
      <c r="J12" s="549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5"/>
      <c r="C13" s="558"/>
      <c r="D13" s="549"/>
      <c r="E13" s="549"/>
      <c r="F13" s="549"/>
      <c r="G13" s="562"/>
      <c r="H13" s="552"/>
      <c r="I13" s="552"/>
      <c r="J13" s="549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110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5863000</v>
      </c>
      <c r="I21" s="42">
        <f t="shared" ca="1" si="2"/>
        <v>0</v>
      </c>
      <c r="J21" s="42">
        <f t="shared" ca="1" si="3"/>
        <v>0</v>
      </c>
      <c r="K21" s="43">
        <f t="shared" ca="1" si="0"/>
        <v>5863000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231000</v>
      </c>
      <c r="I22" s="42">
        <f t="shared" ca="1" si="2"/>
        <v>0</v>
      </c>
      <c r="J22" s="42">
        <f t="shared" ca="1" si="3"/>
        <v>0</v>
      </c>
      <c r="K22" s="43">
        <f t="shared" ca="1" si="0"/>
        <v>231000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35182650</v>
      </c>
      <c r="I168" s="55">
        <f ca="1">SUM(I14:I167)</f>
        <v>0</v>
      </c>
      <c r="J168" s="55">
        <f ca="1">SUM(J14:J167)</f>
        <v>0</v>
      </c>
      <c r="K168" s="55">
        <f ca="1">SUM(K14:K167)</f>
        <v>35182650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3518265</v>
      </c>
      <c r="I169" s="60">
        <f ca="1">I168*0.1</f>
        <v>0</v>
      </c>
      <c r="J169" s="60">
        <f ca="1">J168*0.1</f>
        <v>0</v>
      </c>
      <c r="K169" s="60">
        <f ca="1">K168*0.1</f>
        <v>3518265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38700915</v>
      </c>
      <c r="I170" s="78">
        <f ca="1">SUM(I168:I169)</f>
        <v>0</v>
      </c>
      <c r="J170" s="61">
        <f ca="1">SUM(J168:J169)</f>
        <v>0</v>
      </c>
      <c r="K170" s="61">
        <f ca="1">SUM(K168:K169)</f>
        <v>38700915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8"/>
      <c r="I175" s="538"/>
      <c r="J175" s="539"/>
      <c r="K175" s="53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8"/>
      <c r="I176" s="538"/>
      <c r="J176" s="539"/>
      <c r="K176" s="53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8"/>
      <c r="I177" s="538"/>
      <c r="J177" s="539"/>
      <c r="K177" s="53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8"/>
      <c r="I182" s="538"/>
      <c r="J182" s="539"/>
      <c r="K182" s="53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SUMIFS(RAB!$F$14:$F$122,RAB!$C$14:$C$122,C224)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SUMIFS(RAB!$F$14:$F$122,RAB!$C$14:$C$122,C225)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SUMIFS(RAB!$F$14:$F$122,RAB!$C$14:$C$122,C226)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SUMIFS(RAB!$F$14:$F$122,RAB!$C$14:$C$122,C227)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SUMIFS(RAB!$F$14:$F$122,RAB!$C$14:$C$122,C228)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SUMIFS(RAB!$F$14:$F$122,RAB!$C$14:$C$122,C229)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SUMIFS(RAB!$F$14:$F$122,RAB!$C$14:$C$122,C230)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SUMIFS(RAB!$F$14:$F$122,RAB!$C$14:$C$122,C231)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SUMIFS(RAB!$F$14:$F$122,RAB!$C$14:$C$122,C232)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SUMIFS(RAB!$F$14:$F$122,RAB!$C$14:$C$122,C233)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SUMIFS(RAB!$F$14:$F$122,RAB!$C$14:$C$122,C234)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SUMIFS(RAB!$F$14:$F$122,RAB!$C$14:$C$122,C235)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SUMIFS(RAB!$F$14:$F$122,RAB!$C$14:$C$122,C236)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SUMIFS(RAB!$F$14:$F$122,RAB!$C$14:$C$122,C237)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SUMIFS(RAB!$F$14:$F$122,RAB!$C$14:$C$122,C238)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SUMIFS(RAB!$F$14:$F$122,RAB!$C$14:$C$122,C239)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SUMIFS(RAB!$F$14:$F$122,RAB!$C$14:$C$122,C240)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SUMIFS(RAB!$F$14:$F$122,RAB!$C$14:$C$122,C241)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SUMIFS(RAB!$F$14:$F$122,RAB!$C$14:$C$122,C242)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SUMIFS(RAB!$F$14:$F$122,RAB!$C$14:$C$122,C243)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SUMIFS(RAB!$F$14:$F$122,RAB!$C$14:$C$122,C244)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SUMIFS(RAB!$F$14:$F$122,RAB!$C$14:$C$122,C245)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SUMIFS(RAB!$F$14:$F$122,RAB!$C$14:$C$122,C246)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SUMIFS(RAB!$F$14:$F$122,RAB!$C$14:$C$122,C247)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SUMIFS(RAB!$F$14:$F$122,RAB!$C$14:$C$122,C248)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SUMIFS(RAB!$F$14:$F$122,RAB!$C$14:$C$122,C249)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SUMIFS(RAB!$F$14:$F$122,RAB!$C$14:$C$122,C250)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SUMIFS(RAB!$F$14:$F$122,RAB!$C$14:$C$122,C251)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SUMIFS(RAB!$F$14:$F$122,RAB!$C$14:$C$122,C252)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SUMIFS(RAB!$F$14:$F$122,RAB!$C$14:$C$122,C253)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SUMIFS(RAB!$F$14:$F$122,RAB!$C$14:$C$122,C254)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SUMIFS(RAB!$F$14:$F$122,RAB!$C$14:$C$122,C255)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SUMIFS(RAB!$F$14:$F$122,RAB!$C$14:$C$122,C256)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SUMIFS(RAB!$F$14:$F$122,RAB!$C$14:$C$122,C257)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SUMIFS(RAB!$F$14:$F$122,RAB!$C$14:$C$122,C258)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SUMIFS(RAB!$F$14:$F$122,RAB!$C$14:$C$122,C259)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SUMIFS(RAB!$F$14:$F$122,RAB!$C$14:$C$122,C260)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SUMIFS(RAB!$F$14:$F$122,RAB!$C$14:$C$122,C261)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SUMIFS(RAB!$F$14:$F$122,RAB!$C$14:$C$122,C262)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SUMIFS(RAB!$F$14:$F$122,RAB!$C$14:$C$122,C263)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SUMIFS(RAB!$F$14:$F$122,RAB!$C$14:$C$122,C264)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SUMIFS(RAB!$F$14:$F$122,RAB!$C$14:$C$122,C265)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SUMIFS(RAB!$F$14:$F$122,RAB!$C$14:$C$122,C266)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SUMIFS(RAB!$F$14:$F$122,RAB!$C$14:$C$122,C267)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SUMIFS(RAB!$F$14:$F$122,RAB!$C$14:$C$122,C268)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SUMIFS(RAB!$F$14:$F$122,RAB!$C$14:$C$122,C269)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SUMIFS(RAB!$F$14:$F$122,RAB!$C$14:$C$122,C270)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SUMIFS(RAB!$F$14:$F$122,RAB!$C$14:$C$122,C271)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SUMIFS(RAB!$F$14:$F$122,RAB!$C$14:$C$122,C272)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SUMIFS(RAB!$F$14:$F$122,RAB!$C$14:$C$122,C273)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SUMIFS(RAB!$F$14:$F$122,RAB!$C$14:$C$122,C274)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SUMIFS(RAB!$F$14:$F$122,RAB!$C$14:$C$122,C275)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SUMIFS(RAB!$F$14:$F$122,RAB!$C$14:$C$122,C276)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SUMIFS(RAB!$F$14:$F$122,RAB!$C$14:$C$122,C277)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SUMIFS(RAB!$F$14:$F$122,RAB!$C$14:$C$122,C278)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SUMIFS(RAB!$F$14:$F$122,RAB!$C$14:$C$122,C279)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SUMIFS(RAB!$F$14:$F$122,RAB!$C$14:$C$122,C280)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SUMIFS(RAB!$F$14:$F$122,RAB!$C$14:$C$122,C281)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SUMIFS(RAB!$F$14:$F$122,RAB!$C$14:$C$122,C282)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SUMIFS(RAB!$F$14:$F$122,RAB!$C$14:$C$122,C283)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SUMIFS(RAB!$F$14:$F$122,RAB!$C$14:$C$122,C284)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SUMIFS(RAB!$F$14:$F$122,RAB!$C$14:$C$122,C285)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SUMIFS(RAB!$F$14:$F$122,RAB!$C$14:$C$122,C286)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SUMIFS(RAB!$F$14:$F$122,RAB!$C$14:$C$122,C287)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SUMIFS(RAB!$F$14:$F$122,RAB!$C$14:$C$122,C288)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SUMIFS(RAB!$F$14:$F$122,RAB!$C$14:$C$122,C289)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SUMIFS(RAB!$F$14:$F$122,RAB!$C$14:$C$122,C290)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SUMIFS(RAB!$F$14:$F$122,RAB!$C$14:$C$122,C291)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SUMIFS(RAB!$F$14:$F$122,RAB!$C$14:$C$122,C292)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SUMIFS(RAB!$F$14:$F$122,RAB!$C$14:$C$122,C293)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SUMIFS(RAB!$F$14:$F$122,RAB!$C$14:$C$122,C294)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SUMIFS(RAB!$F$14:$F$122,RAB!$C$14:$C$122,C295)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SUMIFS(RAB!$F$14:$F$122,RAB!$C$14:$C$122,C296)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SUMIFS(RAB!$F$14:$F$122,RAB!$C$14:$C$122,C297)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SUMIFS(RAB!$F$14:$F$122,RAB!$C$14:$C$122,C298)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SUMIFS(RAB!$F$14:$F$122,RAB!$C$14:$C$122,C299)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SUMIFS(RAB!$F$14:$F$122,RAB!$C$14:$C$122,C300)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SUMIFS(RAB!$F$14:$F$122,RAB!$C$14:$C$122,C301)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SUMIFS(RAB!$F$14:$F$122,RAB!$C$14:$C$122,C302)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SUMIFS(RAB!$F$14:$F$122,RAB!$C$14:$C$122,C303)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SUMIFS(RAB!$F$14:$F$122,RAB!$C$14:$C$122,C304)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SUMIFS(RAB!$F$14:$F$122,RAB!$C$14:$C$122,C305)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SUMIFS(RAB!$F$14:$F$122,RAB!$C$14:$C$122,C306)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SUMIFS(RAB!$F$14:$F$122,RAB!$C$14:$C$122,C307)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SUMIFS(RAB!$F$14:$F$122,RAB!$C$14:$C$122,C308)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SUMIFS(RAB!$F$14:$F$122,RAB!$C$14:$C$122,C309)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SUMIFS(RAB!$F$14:$F$122,RAB!$C$14:$C$122,C310)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SUMIFS(RAB!$F$14:$F$122,RAB!$C$14:$C$122,C311)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SUMIFS(RAB!$F$14:$F$122,RAB!$C$14:$C$122,C312)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SUMIFS(RAB!$F$14:$F$122,RAB!$C$14:$C$122,C313)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SUMIFS(RAB!$F$14:$F$122,RAB!$C$14:$C$122,C314)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SUMIFS(RAB!$F$14:$F$122,RAB!$C$14:$C$122,C315)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SUMIFS(RAB!$F$14:$F$122,RAB!$C$14:$C$122,C316)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SUMIFS(RAB!$F$14:$F$122,RAB!$C$14:$C$122,C317)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SUMIFS(RAB!$F$14:$F$122,RAB!$C$14:$C$122,C318)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SUMIFS(RAB!$F$14:$F$122,RAB!$C$14:$C$122,C319)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SUMIFS(RAB!$F$14:$F$122,RAB!$C$14:$C$122,C320)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SUMIFS(RAB!$F$14:$F$122,RAB!$C$14:$C$122,C321)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SUMIFS(RAB!$F$14:$F$122,RAB!$C$14:$C$122,C322)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SUMIFS(RAB!$F$14:$F$122,RAB!$C$14:$C$122,C323)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SUMIFS(RAB!$F$14:$F$122,RAB!$C$14:$C$122,C324)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SUMIFS(RAB!$F$14:$F$122,RAB!$C$14:$C$122,C325)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SUMIFS(RAB!$F$14:$F$122,RAB!$C$14:$C$122,C326)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SUMIFS(RAB!$F$14:$F$122,RAB!$C$14:$C$122,C327)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SUMIFS(RAB!$F$14:$F$122,RAB!$C$14:$C$122,C328)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SUMIFS(RAB!$F$14:$F$122,RAB!$C$14:$C$122,C329)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SUMIFS(RAB!$F$14:$F$122,RAB!$C$14:$C$122,C330)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SUMIFS(RAB!$F$14:$F$122,RAB!$C$14:$C$122,C331)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SUMIFS(RAB!$F$14:$F$122,RAB!$C$14:$C$122,C332)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SUMIFS(RAB!$F$14:$F$122,RAB!$C$14:$C$122,C333)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SUMIFS(RAB!$F$14:$F$122,RAB!$C$14:$C$122,C334)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SUMIFS(RAB!$F$14:$F$122,RAB!$C$14:$C$122,C335)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SUMIFS(RAB!$F$14:$F$122,RAB!$C$14:$C$122,C336)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SUMIFS(RAB!$F$14:$F$122,RAB!$C$14:$C$122,C337)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SUMIFS(RAB!$F$14:$F$122,RAB!$C$14:$C$122,C338)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SUMIFS(RAB!$F$14:$F$122,RAB!$C$14:$C$122,C339)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SUMIFS(RAB!$F$14:$F$122,RAB!$C$14:$C$122,C340)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SUMIFS(RAB!$F$14:$F$122,RAB!$C$14:$C$122,C341)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SUMIFS(RAB!$F$14:$F$122,RAB!$C$14:$C$122,C342)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SUMIFS(RAB!$F$14:$F$122,RAB!$C$14:$C$122,C343)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SUMIFS(RAB!$F$14:$F$122,RAB!$C$14:$C$122,C344)</f>
        <v>110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SUMIFS(RAB!$F$14:$F$122,RAB!$C$14:$C$122,C345)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SUMIFS(RAB!$F$14:$F$122,RAB!$C$14:$C$122,C346)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SUMIFS(RAB!$F$14:$F$122,RAB!$C$14:$C$122,C347)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SUMIFS(RAB!$F$14:$F$122,RAB!$C$14:$C$122,C348)</f>
        <v>35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SUMIFS(RAB!$F$14:$F$122,RAB!$C$14:$C$122,C349)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SUMIFS(RAB!$F$14:$F$122,RAB!$C$14:$C$122,C350)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SUMIFS(RAB!$F$14:$F$122,RAB!$C$14:$C$122,C351)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SUMIFS(RAB!$F$14:$F$122,RAB!$C$14:$C$122,C352)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SUMIFS(RAB!$F$14:$F$122,RAB!$C$14:$C$122,C353)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SUMIFS(RAB!$F$14:$F$122,RAB!$C$14:$C$122,C354)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SUMIFS(RAB!$F$14:$F$122,RAB!$C$14:$C$122,C355)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SUMIFS(RAB!$F$14:$F$122,RAB!$C$14:$C$122,C356)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SUMIFS(RAB!$F$14:$F$122,RAB!$C$14:$C$122,C357)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SUMIFS(RAB!$F$14:$F$122,RAB!$C$14:$C$122,C358)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SUMIFS(RAB!$F$14:$F$122,RAB!$C$14:$C$122,C359)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SUMIFS(RAB!$F$14:$F$122,RAB!$C$14:$C$122,C360)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SUMIFS(RAB!$F$14:$F$122,RAB!$C$14:$C$122,C361)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SUMIFS(RAB!$F$14:$F$122,RAB!$C$14:$C$122,C362)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SUMIFS(RAB!$F$14:$F$122,RAB!$C$14:$C$122,C363)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SUMIFS(RAB!$F$14:$F$122,RAB!$C$14:$C$122,C364)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SUMIFS(RAB!$F$14:$F$122,RAB!$C$14:$C$122,C365)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SUMIFS(RAB!$F$14:$F$122,RAB!$C$14:$C$122,C366)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SUMIFS(RAB!$F$14:$F$122,RAB!$C$14:$C$122,C367)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SUMIFS(RAB!$F$14:$F$122,RAB!$C$14:$C$122,C368)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SUMIFS(RAB!$F$14:$F$122,RAB!$C$14:$C$122,C369)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SUMIFS(RAB!$F$14:$F$122,RAB!$C$14:$C$122,C370)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SUMIFS(RAB!$F$14:$F$122,RAB!$C$14:$C$122,C371)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SUMIFS(RAB!$F$14:$F$122,RAB!$C$14:$C$122,C372)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SUMIFS(RAB!$F$14:$F$122,RAB!$C$14:$C$122,C373)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5" t="s">
        <v>41</v>
      </c>
      <c r="C2" s="56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6" t="s">
        <v>23</v>
      </c>
      <c r="C4" s="567" t="s">
        <v>1012</v>
      </c>
      <c r="D4" s="567" t="s">
        <v>42</v>
      </c>
      <c r="E4" s="566" t="s">
        <v>43</v>
      </c>
      <c r="F4" s="108" t="s">
        <v>1604</v>
      </c>
      <c r="G4" s="108" t="s">
        <v>1603</v>
      </c>
      <c r="H4" s="56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6"/>
      <c r="C5" s="567"/>
      <c r="D5" s="567"/>
      <c r="E5" s="566"/>
      <c r="F5" s="93"/>
      <c r="G5" s="93"/>
      <c r="H5" s="56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2" t="s">
        <v>1454</v>
      </c>
      <c r="C2" s="572"/>
      <c r="D2" s="572"/>
      <c r="E2" s="57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7" t="s">
        <v>1532</v>
      </c>
      <c r="C4" s="578"/>
      <c r="D4" s="578"/>
      <c r="E4" s="579"/>
      <c r="F4" s="442"/>
      <c r="G4" s="442"/>
      <c r="H4" s="443"/>
      <c r="I4" s="604" t="s">
        <v>1533</v>
      </c>
      <c r="J4" s="605"/>
      <c r="K4" s="605"/>
      <c r="L4" s="606"/>
    </row>
    <row r="5" spans="1:12" ht="34.5" customHeight="1">
      <c r="A5" s="204"/>
      <c r="B5" s="445" t="s">
        <v>1379</v>
      </c>
      <c r="C5" s="277" t="s">
        <v>9</v>
      </c>
      <c r="D5" s="573" t="str">
        <f>DATA!D14</f>
        <v>TNK MUHAMMAD NGALIM</v>
      </c>
      <c r="E5" s="574"/>
      <c r="F5" s="208"/>
      <c r="G5" s="208"/>
      <c r="I5" s="446" t="s">
        <v>1379</v>
      </c>
      <c r="J5" s="277" t="s">
        <v>9</v>
      </c>
      <c r="K5" s="607" t="str">
        <f>D5</f>
        <v>TNK MUHAMMAD NGALIM</v>
      </c>
      <c r="L5" s="608"/>
    </row>
    <row r="6" spans="1:12" ht="31.5" customHeight="1">
      <c r="A6" s="204"/>
      <c r="B6" s="445" t="s">
        <v>1529</v>
      </c>
      <c r="C6" s="277" t="s">
        <v>9</v>
      </c>
      <c r="D6" s="582">
        <f>DATA!D17*1000</f>
        <v>0</v>
      </c>
      <c r="E6" s="583"/>
      <c r="F6" s="208"/>
      <c r="G6" s="208"/>
      <c r="I6" s="446" t="s">
        <v>1530</v>
      </c>
      <c r="J6" s="277" t="s">
        <v>9</v>
      </c>
      <c r="K6" s="609">
        <f>DATA!D20*1000</f>
        <v>11000</v>
      </c>
      <c r="L6" s="610"/>
    </row>
    <row r="7" spans="1:12" ht="30.75" customHeight="1">
      <c r="A7" s="204"/>
      <c r="B7" s="445" t="s">
        <v>1441</v>
      </c>
      <c r="C7" s="277" t="s">
        <v>9</v>
      </c>
      <c r="D7" s="580">
        <f>DATA!D18</f>
        <v>1</v>
      </c>
      <c r="E7" s="581"/>
      <c r="F7" s="444" t="s">
        <v>1453</v>
      </c>
      <c r="I7" s="446" t="s">
        <v>1441</v>
      </c>
      <c r="J7" s="277" t="s">
        <v>9</v>
      </c>
      <c r="K7" s="611">
        <f>DATA!D21</f>
        <v>1</v>
      </c>
      <c r="L7" s="612"/>
    </row>
    <row r="8" spans="1:12" ht="51" customHeight="1">
      <c r="A8" s="204"/>
      <c r="B8" s="445" t="s">
        <v>1442</v>
      </c>
      <c r="C8" s="277" t="s">
        <v>9</v>
      </c>
      <c r="D8" s="580">
        <f>DATA!D19</f>
        <v>220</v>
      </c>
      <c r="E8" s="581"/>
      <c r="F8" s="444" t="s">
        <v>1453</v>
      </c>
      <c r="G8" s="439">
        <v>220</v>
      </c>
      <c r="I8" s="446" t="s">
        <v>1442</v>
      </c>
      <c r="J8" s="277" t="s">
        <v>9</v>
      </c>
      <c r="K8" s="611">
        <f>DATA!D22</f>
        <v>220</v>
      </c>
      <c r="L8" s="612"/>
    </row>
    <row r="9" spans="1:12" ht="30" customHeight="1" thickBot="1">
      <c r="A9" s="204"/>
      <c r="B9" s="451" t="s">
        <v>1541</v>
      </c>
      <c r="C9" s="441" t="s">
        <v>9</v>
      </c>
      <c r="D9" s="575">
        <f>IF(D7=1,D6/(380/3^0.5),(D6/(380*3^0.5)))</f>
        <v>0</v>
      </c>
      <c r="E9" s="576"/>
      <c r="F9" s="207"/>
      <c r="G9" s="440">
        <v>380</v>
      </c>
      <c r="I9" s="452" t="s">
        <v>1541</v>
      </c>
      <c r="J9" s="441" t="s">
        <v>9</v>
      </c>
      <c r="K9" s="613">
        <f>IF(K7=1,K6/(380/3^0.5),(K6/(380*3^0.5)))</f>
        <v>50.138312850678027</v>
      </c>
      <c r="L9" s="614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4"/>
      <c r="E12" s="585"/>
      <c r="F12" s="208"/>
      <c r="G12" s="208"/>
      <c r="I12" s="468" t="s">
        <v>1534</v>
      </c>
      <c r="J12" s="469" t="s">
        <v>9</v>
      </c>
      <c r="K12" s="584"/>
      <c r="L12" s="585"/>
    </row>
    <row r="13" spans="1:12" ht="31.5" customHeight="1">
      <c r="A13" s="204"/>
      <c r="B13" s="476" t="s">
        <v>1380</v>
      </c>
      <c r="C13" s="456" t="s">
        <v>9</v>
      </c>
      <c r="D13" s="588"/>
      <c r="E13" s="589"/>
      <c r="F13" s="208"/>
      <c r="G13" s="208"/>
      <c r="I13" s="470" t="s">
        <v>1380</v>
      </c>
      <c r="J13" s="456" t="s">
        <v>9</v>
      </c>
      <c r="K13" s="588"/>
      <c r="L13" s="589"/>
    </row>
    <row r="14" spans="1:12" ht="30.75" customHeight="1">
      <c r="A14" s="204"/>
      <c r="B14" s="476" t="s">
        <v>1535</v>
      </c>
      <c r="C14" s="456" t="s">
        <v>9</v>
      </c>
      <c r="D14" s="596"/>
      <c r="E14" s="597"/>
      <c r="F14" s="444" t="s">
        <v>1453</v>
      </c>
      <c r="G14" s="448">
        <v>50</v>
      </c>
      <c r="I14" s="470" t="s">
        <v>1535</v>
      </c>
      <c r="J14" s="456" t="s">
        <v>9</v>
      </c>
      <c r="K14" s="598"/>
      <c r="L14" s="599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600">
        <v>0</v>
      </c>
      <c r="E16" s="601"/>
      <c r="F16" s="444"/>
      <c r="G16" s="448">
        <v>160</v>
      </c>
      <c r="I16" s="470" t="s">
        <v>1537</v>
      </c>
      <c r="J16" s="456" t="s">
        <v>9</v>
      </c>
      <c r="K16" s="602">
        <f>K9</f>
        <v>50.138312850678027</v>
      </c>
      <c r="L16" s="603"/>
    </row>
    <row r="17" spans="1:12" ht="34.5" customHeight="1">
      <c r="A17" s="204"/>
      <c r="B17" s="476" t="s">
        <v>1538</v>
      </c>
      <c r="C17" s="456" t="s">
        <v>9</v>
      </c>
      <c r="D17" s="590">
        <f>IF(D15=1,D14/(20/3^0.5),(D14/(20*3^0.5)))</f>
        <v>0</v>
      </c>
      <c r="E17" s="591"/>
      <c r="F17" s="444" t="s">
        <v>1453</v>
      </c>
      <c r="G17" s="449">
        <v>200</v>
      </c>
      <c r="I17" s="470" t="s">
        <v>1538</v>
      </c>
      <c r="J17" s="456" t="s">
        <v>9</v>
      </c>
      <c r="K17" s="594">
        <f>IF(K15=1,K14/(20/3^0.5),(K14/(20*3^0.5)))</f>
        <v>0</v>
      </c>
      <c r="L17" s="595"/>
    </row>
    <row r="18" spans="1:12" ht="34.5" customHeight="1">
      <c r="A18" s="204"/>
      <c r="B18" s="476" t="s">
        <v>1539</v>
      </c>
      <c r="C18" s="456" t="s">
        <v>9</v>
      </c>
      <c r="D18" s="590">
        <f>IF(D15=1,D14/(380/3^0.5),(D14/(380*3^0.5)))*1000</f>
        <v>0</v>
      </c>
      <c r="E18" s="591"/>
      <c r="F18" s="444" t="s">
        <v>1453</v>
      </c>
      <c r="G18" s="449">
        <v>250</v>
      </c>
      <c r="I18" s="470" t="s">
        <v>1539</v>
      </c>
      <c r="J18" s="456" t="s">
        <v>9</v>
      </c>
      <c r="K18" s="594">
        <f>IF(K15=1,K14/(380/3^0.5),(K14/(380*3^0.5)))*1000</f>
        <v>0</v>
      </c>
      <c r="L18" s="595"/>
    </row>
    <row r="19" spans="1:12" ht="30" customHeight="1">
      <c r="A19" s="204"/>
      <c r="B19" s="477" t="s">
        <v>1531</v>
      </c>
      <c r="C19" s="455" t="s">
        <v>9</v>
      </c>
      <c r="D19" s="590">
        <f>IF(D15=1,D14/(380/3^0.5),(D14/(380*3^0.5)))</f>
        <v>0</v>
      </c>
      <c r="E19" s="591"/>
      <c r="F19" s="207"/>
      <c r="G19" s="440"/>
      <c r="I19" s="472" t="s">
        <v>1531</v>
      </c>
      <c r="J19" s="455" t="s">
        <v>9</v>
      </c>
      <c r="K19" s="594">
        <f>IF(K15=1,K14/(380/3^0.5),(K14/(380*3^0.5)))</f>
        <v>0</v>
      </c>
      <c r="L19" s="595"/>
    </row>
    <row r="20" spans="1:12" ht="30" customHeight="1" thickBot="1">
      <c r="A20" s="204"/>
      <c r="B20" s="478" t="s">
        <v>1540</v>
      </c>
      <c r="C20" s="474" t="s">
        <v>9</v>
      </c>
      <c r="D20" s="586" t="e">
        <f>D16/D18</f>
        <v>#DIV/0!</v>
      </c>
      <c r="E20" s="587"/>
      <c r="F20" s="207"/>
      <c r="G20" s="440"/>
      <c r="I20" s="473" t="s">
        <v>1531</v>
      </c>
      <c r="J20" s="474" t="s">
        <v>9</v>
      </c>
      <c r="K20" s="592" t="e">
        <f>K16/K18</f>
        <v>#DIV/0!</v>
      </c>
      <c r="L20" s="593"/>
    </row>
    <row r="21" spans="1:12" ht="9.75" customHeight="1">
      <c r="A21" s="204"/>
      <c r="B21" s="463" t="s">
        <v>1540</v>
      </c>
      <c r="C21" s="464" t="s">
        <v>9</v>
      </c>
      <c r="D21" s="571">
        <v>1</v>
      </c>
      <c r="E21" s="571"/>
      <c r="F21" s="465"/>
      <c r="G21" s="466"/>
      <c r="H21" s="467"/>
      <c r="I21" s="463" t="s">
        <v>1531</v>
      </c>
      <c r="J21" s="464" t="s">
        <v>9</v>
      </c>
      <c r="K21" s="571">
        <v>1</v>
      </c>
      <c r="L21" s="571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8"/>
      <c r="C24" s="569"/>
      <c r="D24" s="569"/>
      <c r="E24" s="570"/>
      <c r="I24" s="568"/>
      <c r="J24" s="569"/>
      <c r="K24" s="569"/>
      <c r="L24" s="570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RAB!K128</f>
        <v>56675289.356400006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1133505.7871280001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1632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1641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16" activePane="bottomLeft" state="frozen"/>
      <selection activeCell="H1093" sqref="H1093"/>
      <selection pane="bottomLeft" activeCell="I27" sqref="I2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TNK MUHAMMAD NGALIM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8" t="s">
        <v>1349</v>
      </c>
      <c r="C5" s="618" t="s">
        <v>1358</v>
      </c>
      <c r="D5" s="619" t="s">
        <v>1359</v>
      </c>
      <c r="E5" s="619" t="s">
        <v>1360</v>
      </c>
      <c r="F5" s="618" t="s">
        <v>1361</v>
      </c>
      <c r="G5" s="618"/>
      <c r="H5" s="618"/>
      <c r="I5" s="618"/>
      <c r="J5" s="618"/>
      <c r="K5" s="618" t="s">
        <v>1362</v>
      </c>
      <c r="L5" s="618"/>
      <c r="M5" s="307"/>
      <c r="N5" s="622" t="s">
        <v>1363</v>
      </c>
      <c r="O5" s="619" t="s">
        <v>1364</v>
      </c>
      <c r="P5" s="619" t="s">
        <v>1365</v>
      </c>
      <c r="Q5" s="619" t="s">
        <v>1366</v>
      </c>
      <c r="R5" s="308"/>
      <c r="S5" s="309"/>
      <c r="T5" s="620" t="s">
        <v>1367</v>
      </c>
      <c r="U5" s="310"/>
    </row>
    <row r="6" spans="1:21" ht="20.100000000000001" customHeight="1">
      <c r="B6" s="618"/>
      <c r="C6" s="618"/>
      <c r="D6" s="618"/>
      <c r="E6" s="61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3"/>
      <c r="O6" s="618"/>
      <c r="P6" s="618"/>
      <c r="Q6" s="618"/>
      <c r="R6" s="308"/>
      <c r="S6" s="309"/>
      <c r="T6" s="618"/>
      <c r="U6" s="312"/>
    </row>
    <row r="7" spans="1:21" ht="20.100000000000001" customHeight="1">
      <c r="A7" s="313">
        <v>0</v>
      </c>
      <c r="B7" s="314">
        <v>2023</v>
      </c>
      <c r="C7" s="479">
        <f>DATA!D8*DATA!D26*1</f>
        <v>440</v>
      </c>
      <c r="D7" s="316">
        <f>C7*4/24</f>
        <v>73.333333333333329</v>
      </c>
      <c r="E7" s="316">
        <f>C7-D7</f>
        <v>366.66666666666669</v>
      </c>
      <c r="F7" s="317">
        <f ca="1">DATA!D10/1000000</f>
        <v>56.675289356400008</v>
      </c>
      <c r="G7" s="318">
        <f ca="1">DATA!$D$11/1000000</f>
        <v>1.1335057871280001</v>
      </c>
      <c r="H7" s="318">
        <f>C7*DATA!$D$5/1000000</f>
        <v>0.47701502019009701</v>
      </c>
      <c r="I7" s="318">
        <f>(C7*DATA!$D$5*DATA!$D$7)/1000000</f>
        <v>1.0732837954277182E-2</v>
      </c>
      <c r="J7" s="316">
        <f ca="1">SUM(F7:I7)</f>
        <v>58.296543001672383</v>
      </c>
      <c r="K7" s="319">
        <f>DATA!D9/1000000</f>
        <v>10.659000000000001</v>
      </c>
      <c r="L7" s="316">
        <f>((D7*DATA!$D$23)/1000000)+((E7*DATA!$D$24)/1000000)</f>
        <v>0.63566800000000001</v>
      </c>
      <c r="M7" s="316">
        <f>K7+L7</f>
        <v>11.294668000000001</v>
      </c>
      <c r="N7" s="316">
        <f ca="1">M7-J7</f>
        <v>-47.001875001672381</v>
      </c>
      <c r="O7" s="314">
        <v>1</v>
      </c>
      <c r="P7" s="316">
        <f ca="1">O7*N7</f>
        <v>-47.001875001672381</v>
      </c>
      <c r="Q7" s="316">
        <f ca="1">P7</f>
        <v>-47.001875001672381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1.1335057871280001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6.9864800848604904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0.64153591513950925</v>
      </c>
      <c r="O8" s="315">
        <f>1/(1+'[93]Asumsi I'!$C$3)^(KKF!A8)</f>
        <v>0.89285714285714279</v>
      </c>
      <c r="P8" s="316">
        <f ca="1">O8*N8</f>
        <v>0.57279992423170467</v>
      </c>
      <c r="Q8" s="316">
        <f ca="1">Q7+P8</f>
        <v>-46.429075077440679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1.1335057871280001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6.9864800848604904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0.64153591513950925</v>
      </c>
      <c r="O9" s="322">
        <f>1/(1+'[93]Asumsi I'!$C$3)^(KKF!A9)</f>
        <v>0.79719387755102034</v>
      </c>
      <c r="P9" s="316">
        <f t="shared" ref="P9:P32" ca="1" si="7">O9*N9</f>
        <v>0.51142850377830773</v>
      </c>
      <c r="Q9" s="316">
        <f ca="1">Q8+P9</f>
        <v>-45.917646573662374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1.1335057871280001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6.9864800848604904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0.64153591513950925</v>
      </c>
      <c r="O10" s="315">
        <f>1/(1+'[93]Asumsi I'!$C$3)^(KKF!A10)</f>
        <v>0.71178024781341087</v>
      </c>
      <c r="P10" s="316">
        <f t="shared" ca="1" si="7"/>
        <v>0.4566325926592032</v>
      </c>
      <c r="Q10" s="316">
        <f t="shared" ref="Q10:Q30" ca="1" si="9">Q9+P10</f>
        <v>-45.46101398100317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1.1335057871280001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6.9864800848604904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0.64153591513950925</v>
      </c>
      <c r="O11" s="315">
        <f>1/(1+'[93]Asumsi I'!$C$3)^(KKF!A11)</f>
        <v>0.63551807840483121</v>
      </c>
      <c r="P11" s="316">
        <f t="shared" ca="1" si="7"/>
        <v>0.40770767201714581</v>
      </c>
      <c r="Q11" s="316">
        <f t="shared" ca="1" si="9"/>
        <v>-45.053306308986024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1.1335057871280001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6.9864800848604904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0.64153591513950925</v>
      </c>
      <c r="O12" s="315">
        <f>1/(1+'[93]Asumsi I'!$C$3)^(KKF!A12)</f>
        <v>0.56742685571859919</v>
      </c>
      <c r="P12" s="316">
        <f t="shared" ca="1" si="7"/>
        <v>0.36402470715816582</v>
      </c>
      <c r="Q12" s="316">
        <f t="shared" ca="1" si="9"/>
        <v>-44.689281601827858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1.1335057871280001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6.9864800848604904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0.64153591513950925</v>
      </c>
      <c r="O13" s="315">
        <f>1/(1+'[93]Asumsi I'!$C$3)^(KKF!A13)</f>
        <v>0.50663112117732068</v>
      </c>
      <c r="P13" s="316">
        <f t="shared" ca="1" si="7"/>
        <v>0.32502205996264805</v>
      </c>
      <c r="Q13" s="316">
        <f t="shared" ca="1" si="9"/>
        <v>-44.364259541865209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1.1335057871280001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6.9864800848604904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0.64153591513950925</v>
      </c>
      <c r="O14" s="315">
        <f>1/(1+'[93]Asumsi I'!$C$3)^(KKF!A14)</f>
        <v>0.45234921533689343</v>
      </c>
      <c r="P14" s="316">
        <f t="shared" ca="1" si="7"/>
        <v>0.29019826782379288</v>
      </c>
      <c r="Q14" s="316">
        <f t="shared" ca="1" si="9"/>
        <v>-44.074061274041419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1.1335057871280001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6.9864800848604904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0.64153591513950925</v>
      </c>
      <c r="O15" s="315">
        <f>1/(1+'[93]Asumsi I'!$C$3)^(KKF!A15)</f>
        <v>0.4038832279793691</v>
      </c>
      <c r="P15" s="316">
        <f t="shared" ca="1" si="7"/>
        <v>0.25910559627124358</v>
      </c>
      <c r="Q15" s="316">
        <f t="shared" ca="1" si="9"/>
        <v>-43.814955677770179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1.1335057871280001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6.9864800848604904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0.64153591513950925</v>
      </c>
      <c r="O16" s="315">
        <f>1/(1+'[93]Asumsi I'!$C$3)^(KKF!A16)</f>
        <v>0.36061002498157957</v>
      </c>
      <c r="P16" s="316">
        <f t="shared" ca="1" si="7"/>
        <v>0.23134428238503893</v>
      </c>
      <c r="Q16" s="316">
        <f t="shared" ca="1" si="9"/>
        <v>-43.583611395385141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1.1335057871280001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6.9864800848604904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0.64153591513950925</v>
      </c>
      <c r="O17" s="315">
        <f>1/(1+'[93]Asumsi I'!$C$3)^(KKF!A17)</f>
        <v>0.32197323659069599</v>
      </c>
      <c r="P17" s="316">
        <f t="shared" ca="1" si="7"/>
        <v>0.20655739498664188</v>
      </c>
      <c r="Q17" s="316">
        <f t="shared" ca="1" si="9"/>
        <v>-43.377054000398502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1.1335057871280001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6.9864800848604904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0.64153591513950925</v>
      </c>
      <c r="O18" s="315">
        <f>1/(1+'[93]Asumsi I'!$C$3)^(KKF!A18)</f>
        <v>0.28747610409883567</v>
      </c>
      <c r="P18" s="316">
        <f t="shared" ca="1" si="7"/>
        <v>0.18442624552378736</v>
      </c>
      <c r="Q18" s="316">
        <f t="shared" ca="1" si="9"/>
        <v>-43.192627754874714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1.1335057871280001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6.9864800848604904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0.64153591513950925</v>
      </c>
      <c r="O19" s="315">
        <f>1/(1+'[93]Asumsi I'!$C$3)^(KKF!A19)</f>
        <v>0.25667509294538904</v>
      </c>
      <c r="P19" s="316">
        <f t="shared" ca="1" si="7"/>
        <v>0.16466629064623875</v>
      </c>
      <c r="Q19" s="316">
        <f t="shared" ca="1" si="9"/>
        <v>-43.027961464228476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1.1335057871280001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6.9864800848604904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0.64153591513950925</v>
      </c>
      <c r="O20" s="315">
        <f>1/(1+'[93]Asumsi I'!$C$3)^(KKF!A20)</f>
        <v>0.22917419012981158</v>
      </c>
      <c r="P20" s="316">
        <f t="shared" ca="1" si="7"/>
        <v>0.14702347379128455</v>
      </c>
      <c r="Q20" s="316">
        <f t="shared" ca="1" si="9"/>
        <v>-42.880937990437189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1.1335057871280001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6.9864800848604904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0.64153591513950925</v>
      </c>
      <c r="O21" s="315">
        <f>1/(1+'[93]Asumsi I'!$C$3)^(KKF!A21)</f>
        <v>0.20461981261590317</v>
      </c>
      <c r="P21" s="316">
        <f t="shared" ca="1" si="7"/>
        <v>0.13127095874221834</v>
      </c>
      <c r="Q21" s="316">
        <f t="shared" ca="1" si="9"/>
        <v>-42.749667031694969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1.1335057871280001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6.9864800848604904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0.64153591513950925</v>
      </c>
      <c r="O22" s="315">
        <f>1/(1+'[93]Asumsi I'!$C$3)^(KKF!A22)</f>
        <v>0.18269626126419927</v>
      </c>
      <c r="P22" s="316">
        <f t="shared" ca="1" si="7"/>
        <v>0.11720621316269496</v>
      </c>
      <c r="Q22" s="316">
        <f t="shared" ca="1" si="9"/>
        <v>-42.632460818532273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1.1335057871280001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6.9864800848604904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0.64153591513950925</v>
      </c>
      <c r="O23" s="315">
        <f>1/(1+'[93]Asumsi I'!$C$3)^(KKF!A23)</f>
        <v>0.16312166184303503</v>
      </c>
      <c r="P23" s="316">
        <f t="shared" ca="1" si="7"/>
        <v>0.10464840460954905</v>
      </c>
      <c r="Q23" s="316">
        <f t="shared" ca="1" si="9"/>
        <v>-42.527812413922724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1.1335057871280001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6.9864800848604904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0.64153591513950925</v>
      </c>
      <c r="O24" s="315">
        <f>1/(1+'[93]Asumsi I'!$C$3)^(KKF!A24)</f>
        <v>0.14564434093128129</v>
      </c>
      <c r="P24" s="316">
        <f t="shared" ca="1" si="7"/>
        <v>9.343607554424023E-2</v>
      </c>
      <c r="Q24" s="316">
        <f t="shared" ca="1" si="9"/>
        <v>-42.434376338378485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1.1335057871280001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6.9864800848604904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0.64153591513950925</v>
      </c>
      <c r="O25" s="315">
        <f>1/(1+'[93]Asumsi I'!$C$3)^(KKF!A25)</f>
        <v>0.13003959011721541</v>
      </c>
      <c r="P25" s="316">
        <f t="shared" ca="1" si="7"/>
        <v>8.3425067450214468E-2</v>
      </c>
      <c r="Q25" s="316">
        <f t="shared" ca="1" si="9"/>
        <v>-42.35095127092827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1.1335057871280001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6.9864800848604904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0.64153591513950925</v>
      </c>
      <c r="O26" s="315">
        <f>1/(1+'[93]Asumsi I'!$C$3)^(KKF!A26)</f>
        <v>0.1161067768903709</v>
      </c>
      <c r="P26" s="316">
        <f t="shared" ca="1" si="7"/>
        <v>7.4486667366262915E-2</v>
      </c>
      <c r="Q26" s="316">
        <f t="shared" ca="1" si="9"/>
        <v>-42.276464603562005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1.1335057871280001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6.9864800848604904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0.64153591513950925</v>
      </c>
      <c r="O27" s="315">
        <f>1/(1+'[93]Asumsi I'!$C$3)^(KKF!A27)</f>
        <v>0.1036667650806883</v>
      </c>
      <c r="P27" s="316">
        <f t="shared" ca="1" si="7"/>
        <v>6.6505953005591895E-2</v>
      </c>
      <c r="Q27" s="316">
        <f t="shared" ca="1" si="9"/>
        <v>-42.209958650556416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1.1335057871280001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6.9864800848604904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0.64153591513950925</v>
      </c>
      <c r="O28" s="315">
        <f>1/(1+'[93]Asumsi I'!$C$3)^(KKF!A28)</f>
        <v>9.2559611679185971E-2</v>
      </c>
      <c r="P28" s="316">
        <f t="shared" ca="1" si="7"/>
        <v>5.9380315183564181E-2</v>
      </c>
      <c r="Q28" s="316">
        <f t="shared" ca="1" si="9"/>
        <v>-42.150578335372849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1.1335057871280001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6.9864800848604904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0.64153591513950925</v>
      </c>
      <c r="O29" s="315">
        <f>1/(1+'[93]Asumsi I'!$C$3)^(KKF!A29)</f>
        <v>8.2642510427844609E-2</v>
      </c>
      <c r="P29" s="316">
        <f t="shared" ca="1" si="7"/>
        <v>5.3018138556753726E-2</v>
      </c>
      <c r="Q29" s="316">
        <f t="shared" ca="1" si="9"/>
        <v>-42.097560196816097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1.1335057871280001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6.9864800848604904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0.64153591513950925</v>
      </c>
      <c r="O30" s="315">
        <f>1/(1+'[93]Asumsi I'!$C$3)^(KKF!A30)</f>
        <v>7.3787955739146982E-2</v>
      </c>
      <c r="P30" s="316">
        <f t="shared" ca="1" si="7"/>
        <v>4.7337623711387264E-2</v>
      </c>
      <c r="Q30" s="316">
        <f t="shared" ca="1" si="9"/>
        <v>-42.050222573104712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1.1335057871280001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6.9864800848604904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0.64153591513950925</v>
      </c>
      <c r="O31" s="315">
        <f>1/(1+'[93]Asumsi I'!$C$3)^(KKF!A31)</f>
        <v>6.5882103338524081E-2</v>
      </c>
      <c r="P31" s="316">
        <f t="shared" ca="1" si="7"/>
        <v>4.2265735456595767E-2</v>
      </c>
      <c r="Q31" s="316">
        <f ca="1">Q30+P31</f>
        <v>-42.007956837648116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1.1335057871280001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6.9864800848604904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0.64153591513950925</v>
      </c>
      <c r="O32" s="315">
        <f>1/(1+'[93]Asumsi I'!$C$3)^(KKF!A32)</f>
        <v>5.8823306552253637E-2</v>
      </c>
      <c r="P32" s="316">
        <f t="shared" ca="1" si="7"/>
        <v>3.7737263800531926E-2</v>
      </c>
      <c r="Q32" s="316">
        <f ca="1">Q31+P32</f>
        <v>-41.970219573847587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1" t="s">
        <v>1374</v>
      </c>
      <c r="G33" s="621"/>
      <c r="H33" s="621"/>
      <c r="I33" s="324"/>
      <c r="J33" s="325">
        <f ca="1">SUM(J7:J32)</f>
        <v>232.95854512318462</v>
      </c>
      <c r="K33" s="621" t="s">
        <v>1375</v>
      </c>
      <c r="L33" s="621"/>
      <c r="M33" s="325">
        <f>SUM(M7:M32)</f>
        <v>201.99506800000003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90.870271836605028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0.86708589244145728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-37.473410333792486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-6.9911949916666716E-2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43"/>
  <sheetViews>
    <sheetView showGridLines="0" zoomScale="70" zoomScaleNormal="70" zoomScaleSheetLayoutView="70" workbookViewId="0">
      <pane ySplit="13" topLeftCell="A134" activePane="bottomLeft" state="frozen"/>
      <selection activeCell="H1093" sqref="H1093"/>
      <selection pane="bottomLeft" activeCell="N157" sqref="N15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1" t="str">
        <f>DATA!D14</f>
        <v>TNK MUHAMMAD NGALIM</v>
      </c>
      <c r="H6" s="641"/>
      <c r="I6" s="641"/>
      <c r="J6" s="641"/>
      <c r="K6" s="64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7" t="s">
        <v>0</v>
      </c>
      <c r="C11" s="629" t="s">
        <v>1</v>
      </c>
      <c r="D11" s="632" t="s">
        <v>42</v>
      </c>
      <c r="E11" s="632" t="s">
        <v>43</v>
      </c>
      <c r="F11" s="632" t="s">
        <v>2</v>
      </c>
      <c r="G11" s="634" t="s">
        <v>41</v>
      </c>
      <c r="H11" s="632" t="s">
        <v>3</v>
      </c>
      <c r="I11" s="632"/>
      <c r="J11" s="632"/>
      <c r="K11" s="65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8"/>
      <c r="C12" s="630"/>
      <c r="D12" s="633"/>
      <c r="E12" s="633"/>
      <c r="F12" s="633"/>
      <c r="G12" s="635"/>
      <c r="H12" s="637" t="s">
        <v>46</v>
      </c>
      <c r="I12" s="637" t="s">
        <v>5</v>
      </c>
      <c r="J12" s="633" t="s">
        <v>47</v>
      </c>
      <c r="K12" s="652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8"/>
      <c r="C13" s="631"/>
      <c r="D13" s="633"/>
      <c r="E13" s="633"/>
      <c r="F13" s="633"/>
      <c r="G13" s="636"/>
      <c r="H13" s="638"/>
      <c r="I13" s="638"/>
      <c r="J13" s="633"/>
      <c r="K13" s="652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10147800</v>
      </c>
      <c r="J17" s="361">
        <f t="shared" ref="J17" ca="1" si="10">IF(D17="JASA",G17*F17,0)</f>
        <v>0</v>
      </c>
      <c r="K17" s="362">
        <f t="shared" ref="K17" ca="1" si="11">SUM(H17:J17)</f>
        <v>10147800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30200.000000000004</v>
      </c>
      <c r="K18" s="362">
        <f t="shared" ref="K18" ca="1" si="15">SUM(H18:J18)</f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200000</v>
      </c>
      <c r="J19" s="361">
        <f t="shared" ref="J19:J21" ca="1" si="18">IF(D19="JASA",G19*F19,0)</f>
        <v>0</v>
      </c>
      <c r="K19" s="362">
        <f t="shared" ref="K19:K21" ca="1" si="19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1616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20">IF(OR(D22="MDU",D22="MDU-KD"),(IF($O$3="RAB NON MDU","PLN KD",G22*F22)),0)</f>
        <v>0</v>
      </c>
      <c r="I22" s="361">
        <f t="shared" ref="I22:I36" ca="1" si="21">IF(D22="HDW",G22*F22,0)</f>
        <v>0</v>
      </c>
      <c r="J22" s="361">
        <f t="shared" ref="J22:J36" ca="1" si="22">IF(D22="JASA",G22*F22,0)</f>
        <v>0</v>
      </c>
      <c r="K22" s="362">
        <f t="shared" ref="K22:K36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4" t="s">
        <v>1035</v>
      </c>
      <c r="C23" s="525" t="s">
        <v>1630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2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4">
        <v>1</v>
      </c>
      <c r="C24" s="525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2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20"/>
        <v>0</v>
      </c>
      <c r="I24" s="361">
        <f t="shared" ca="1" si="21"/>
        <v>8424</v>
      </c>
      <c r="J24" s="361">
        <f t="shared" ca="1" si="22"/>
        <v>0</v>
      </c>
      <c r="K24" s="362">
        <f t="shared" ca="1" si="23"/>
        <v>8424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4">
        <v>2</v>
      </c>
      <c r="C25" s="525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F23*1</f>
        <v>2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20"/>
        <v>0</v>
      </c>
      <c r="I25" s="361">
        <f t="shared" ca="1" si="21"/>
        <v>46620</v>
      </c>
      <c r="J25" s="361">
        <f t="shared" ca="1" si="22"/>
        <v>0</v>
      </c>
      <c r="K25" s="362">
        <f t="shared" ca="1" si="23"/>
        <v>46620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4">
        <v>3</v>
      </c>
      <c r="C26" s="525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F23*1</f>
        <v>2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20"/>
        <v>0</v>
      </c>
      <c r="I26" s="361">
        <f t="shared" ca="1" si="21"/>
        <v>4600</v>
      </c>
      <c r="J26" s="361">
        <f t="shared" ca="1" si="22"/>
        <v>0</v>
      </c>
      <c r="K26" s="362">
        <f t="shared" ca="1" si="23"/>
        <v>4600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4">
        <v>4</v>
      </c>
      <c r="C27" s="525" t="s">
        <v>609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2</v>
      </c>
      <c r="G27" s="360">
        <f ca="1">IF(ISERROR(OFFSET('HARGA SATUAN'!$I$6,MATCH(RAB!C27,'HARGA SATUAN'!$C$7:$C$1492,0),0)),0,OFFSET('HARGA SATUAN'!$I$6,MATCH(RAB!C27,'HARGA SATUAN'!$C$7:$C$1492,0),0))</f>
        <v>71000</v>
      </c>
      <c r="H27" s="361">
        <f t="shared" ca="1" si="20"/>
        <v>0</v>
      </c>
      <c r="I27" s="361">
        <f t="shared" ca="1" si="21"/>
        <v>142000</v>
      </c>
      <c r="J27" s="361">
        <f t="shared" ca="1" si="22"/>
        <v>0</v>
      </c>
      <c r="K27" s="362">
        <f t="shared" ca="1" si="23"/>
        <v>142000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4">
        <v>5</v>
      </c>
      <c r="C28" s="525" t="s">
        <v>629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2</v>
      </c>
      <c r="G28" s="360">
        <f ca="1">IF(ISERROR(OFFSET('HARGA SATUAN'!$I$6,MATCH(RAB!C28,'HARGA SATUAN'!$C$7:$C$1492,0),0)),0,OFFSET('HARGA SATUAN'!$I$6,MATCH(RAB!C28,'HARGA SATUAN'!$C$7:$C$1492,0),0))</f>
        <v>29400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58800</v>
      </c>
      <c r="K28" s="362">
        <f t="shared" ca="1" si="23"/>
        <v>58800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4"/>
      <c r="C29" s="525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4" t="s">
        <v>1035</v>
      </c>
      <c r="C30" s="525" t="s">
        <v>1617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2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4">
        <v>1</v>
      </c>
      <c r="C31" s="525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2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20"/>
        <v>0</v>
      </c>
      <c r="I31" s="361">
        <f t="shared" ca="1" si="21"/>
        <v>157000</v>
      </c>
      <c r="J31" s="361">
        <f t="shared" ca="1" si="22"/>
        <v>0</v>
      </c>
      <c r="K31" s="362">
        <f t="shared" ca="1" si="23"/>
        <v>157000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4">
        <v>2</v>
      </c>
      <c r="C32" s="525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2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20"/>
        <v>0</v>
      </c>
      <c r="I32" s="361">
        <f t="shared" ca="1" si="21"/>
        <v>8424</v>
      </c>
      <c r="J32" s="361">
        <f t="shared" ca="1" si="22"/>
        <v>0</v>
      </c>
      <c r="K32" s="362">
        <f t="shared" ca="1" si="23"/>
        <v>8424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24">
        <v>3</v>
      </c>
      <c r="C33" s="525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2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20"/>
        <v>0</v>
      </c>
      <c r="I33" s="361">
        <f t="shared" ca="1" si="21"/>
        <v>46620</v>
      </c>
      <c r="J33" s="361">
        <f t="shared" ca="1" si="22"/>
        <v>0</v>
      </c>
      <c r="K33" s="362">
        <f t="shared" ca="1" si="23"/>
        <v>46620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24">
        <v>4</v>
      </c>
      <c r="C34" s="525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2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20"/>
        <v>0</v>
      </c>
      <c r="I34" s="361">
        <f t="shared" ca="1" si="21"/>
        <v>4600</v>
      </c>
      <c r="J34" s="361">
        <f t="shared" ca="1" si="22"/>
        <v>0</v>
      </c>
      <c r="K34" s="362">
        <f t="shared" ca="1" si="23"/>
        <v>4600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24">
        <v>5</v>
      </c>
      <c r="C35" s="525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2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20"/>
        <v>0</v>
      </c>
      <c r="I35" s="361">
        <f t="shared" ca="1" si="21"/>
        <v>0</v>
      </c>
      <c r="J35" s="361">
        <f t="shared" ca="1" si="22"/>
        <v>71400</v>
      </c>
      <c r="K35" s="362">
        <f t="shared" ca="1" si="23"/>
        <v>71400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24"/>
      <c r="C36" s="525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0"/>
        <v>0</v>
      </c>
      <c r="I36" s="361">
        <f t="shared" ca="1" si="21"/>
        <v>0</v>
      </c>
      <c r="J36" s="361">
        <f t="shared" ca="1" si="22"/>
        <v>0</v>
      </c>
      <c r="K36" s="362">
        <f t="shared" ca="1" si="23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20" t="s">
        <v>1035</v>
      </c>
      <c r="C37" s="521" t="s">
        <v>1618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9" ca="1" si="24">IF(OR(D37="MDU",D37="MDU-KD"),(IF($O$3="RAB NON MDU","PLN KD",G37*F37)),0)</f>
        <v>0</v>
      </c>
      <c r="I37" s="361">
        <f t="shared" ref="I37:I39" ca="1" si="25">IF(D37="HDW",G37*F37,0)</f>
        <v>0</v>
      </c>
      <c r="J37" s="361">
        <f t="shared" ref="J37:J39" ca="1" si="26">IF(D37="JASA",G37*F37,0)</f>
        <v>0</v>
      </c>
      <c r="K37" s="362">
        <f t="shared" ref="K37:K39" ca="1" si="27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20">
        <v>1</v>
      </c>
      <c r="C38" s="521" t="s">
        <v>598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1</v>
      </c>
      <c r="G38" s="360">
        <f ca="1">IF(ISERROR(OFFSET('HARGA SATUAN'!$I$6,MATCH(RAB!C38,'HARGA SATUAN'!$C$7:$C$1492,0),0)),0,OFFSET('HARGA SATUAN'!$I$6,MATCH(RAB!C38,'HARGA SATUAN'!$C$7:$C$1492,0),0))</f>
        <v>3965</v>
      </c>
      <c r="H38" s="361">
        <f t="shared" ca="1" si="24"/>
        <v>0</v>
      </c>
      <c r="I38" s="361">
        <f t="shared" ca="1" si="25"/>
        <v>3965</v>
      </c>
      <c r="J38" s="361">
        <f t="shared" ca="1" si="26"/>
        <v>0</v>
      </c>
      <c r="K38" s="362">
        <f t="shared" ca="1" si="27"/>
        <v>3965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20">
        <v>2</v>
      </c>
      <c r="C39" s="521" t="s">
        <v>474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F37*1</f>
        <v>1</v>
      </c>
      <c r="G39" s="360">
        <f ca="1">IF(ISERROR(OFFSET('HARGA SATUAN'!$I$6,MATCH(RAB!C39,'HARGA SATUAN'!$C$7:$C$1492,0),0)),0,OFFSET('HARGA SATUAN'!$I$6,MATCH(RAB!C39,'HARGA SATUAN'!$C$7:$C$1492,0),0))</f>
        <v>3711.24</v>
      </c>
      <c r="H39" s="361">
        <f t="shared" ca="1" si="24"/>
        <v>0</v>
      </c>
      <c r="I39" s="361">
        <f t="shared" ca="1" si="25"/>
        <v>3711.24</v>
      </c>
      <c r="J39" s="361">
        <f t="shared" ca="1" si="26"/>
        <v>0</v>
      </c>
      <c r="K39" s="362">
        <f t="shared" ca="1" si="27"/>
        <v>3711.24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20">
        <v>3</v>
      </c>
      <c r="C40" s="521" t="s">
        <v>266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1">
        <f>F37*1</f>
        <v>1</v>
      </c>
      <c r="G40" s="360">
        <f ca="1">IF(ISERROR(OFFSET('HARGA SATUAN'!$I$6,MATCH(RAB!C40,'HARGA SATUAN'!$C$7:$C$1492,0),0)),0,OFFSET('HARGA SATUAN'!$I$6,MATCH(RAB!C40,'HARGA SATUAN'!$C$7:$C$1492,0),0))</f>
        <v>23310</v>
      </c>
      <c r="H40" s="361">
        <f t="shared" ref="H40:H44" ca="1" si="28">IF(OR(D40="MDU",D40="MDU-KD"),(IF($O$3="RAB NON MDU","PLN KD",G40*F40)),0)</f>
        <v>0</v>
      </c>
      <c r="I40" s="361">
        <f t="shared" ref="I40:I44" ca="1" si="29">IF(D40="HDW",G40*F40,0)</f>
        <v>23310</v>
      </c>
      <c r="J40" s="361">
        <f t="shared" ref="J40:J44" ca="1" si="30">IF(D40="JASA",G40*F40,0)</f>
        <v>0</v>
      </c>
      <c r="K40" s="362">
        <f t="shared" ref="K40:K44" ca="1" si="31">SUM(H40:J40)</f>
        <v>23310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20">
        <v>4</v>
      </c>
      <c r="C41" s="521" t="s">
        <v>35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F37*1</f>
        <v>1</v>
      </c>
      <c r="G41" s="360">
        <f ca="1">IF(ISERROR(OFFSET('HARGA SATUAN'!$I$6,MATCH(RAB!C41,'HARGA SATUAN'!$C$7:$C$1492,0),0)),0,OFFSET('HARGA SATUAN'!$I$6,MATCH(RAB!C41,'HARGA SATUAN'!$C$7:$C$1492,0),0))</f>
        <v>2300</v>
      </c>
      <c r="H41" s="361">
        <f t="shared" ca="1" si="28"/>
        <v>0</v>
      </c>
      <c r="I41" s="361">
        <f t="shared" ca="1" si="29"/>
        <v>2300</v>
      </c>
      <c r="J41" s="361">
        <f t="shared" ca="1" si="30"/>
        <v>0</v>
      </c>
      <c r="K41" s="362">
        <f t="shared" ca="1" si="31"/>
        <v>2300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20">
        <v>5</v>
      </c>
      <c r="C42" s="521" t="s">
        <v>632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f>F37*1</f>
        <v>1</v>
      </c>
      <c r="G42" s="360">
        <f ca="1">IF(ISERROR(OFFSET('HARGA SATUAN'!$I$6,MATCH(RAB!C42,'HARGA SATUAN'!$C$7:$C$1492,0),0)),0,OFFSET('HARGA SATUAN'!$I$6,MATCH(RAB!C42,'HARGA SATUAN'!$C$7:$C$1492,0),0))</f>
        <v>22700</v>
      </c>
      <c r="H42" s="361">
        <f t="shared" ca="1" si="28"/>
        <v>0</v>
      </c>
      <c r="I42" s="361">
        <f t="shared" ca="1" si="29"/>
        <v>0</v>
      </c>
      <c r="J42" s="361">
        <f t="shared" ca="1" si="30"/>
        <v>22700</v>
      </c>
      <c r="K42" s="362">
        <f t="shared" ca="1" si="31"/>
        <v>22700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499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/>
      <c r="C44" s="519" t="s">
        <v>1623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1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8"/>
        <v>0</v>
      </c>
      <c r="I44" s="361">
        <f t="shared" ca="1" si="29"/>
        <v>0</v>
      </c>
      <c r="J44" s="361">
        <f t="shared" ca="1" si="30"/>
        <v>0</v>
      </c>
      <c r="K44" s="362">
        <f t="shared" ca="1" si="31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1</v>
      </c>
      <c r="C45" s="109" t="s">
        <v>1402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v>110</v>
      </c>
      <c r="G45" s="360">
        <f ca="1">IF(ISERROR(OFFSET('HARGA SATUAN'!$I$6,MATCH(RAB!C45,'HARGA SATUAN'!$C$7:$C$1492,0),0)),0,OFFSET('HARGA SATUAN'!$I$6,MATCH(RAB!C45,'HARGA SATUAN'!$C$7:$C$1492,0),0))</f>
        <v>53300</v>
      </c>
      <c r="H45" s="361">
        <f t="shared" ref="H45:H47" ca="1" si="32">IF(OR(D45="MDU",D45="MDU-KD"),(IF($O$3="RAB NON MDU","PLN KD",G45*F45)),0)</f>
        <v>5863000</v>
      </c>
      <c r="I45" s="361">
        <f t="shared" ref="I45:I47" ca="1" si="33">IF(D45="HDW",G45*F45,0)</f>
        <v>0</v>
      </c>
      <c r="J45" s="361">
        <f t="shared" ref="J45:J47" ca="1" si="34">IF(D45="JASA",G45*F45,0)</f>
        <v>0</v>
      </c>
      <c r="K45" s="362">
        <f t="shared" ref="K45:K47" ca="1" si="35">SUM(H45:J45)</f>
        <v>5863000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>
        <v>2</v>
      </c>
      <c r="C46" s="109" t="s">
        <v>347</v>
      </c>
      <c r="D46" s="513" t="s">
        <v>47</v>
      </c>
      <c r="E46" s="514" t="s">
        <v>297</v>
      </c>
      <c r="F46" s="514">
        <f>F45/50</f>
        <v>2.2000000000000002</v>
      </c>
      <c r="G46" s="515">
        <v>85000</v>
      </c>
      <c r="H46" s="361">
        <f t="shared" si="32"/>
        <v>0</v>
      </c>
      <c r="I46" s="361">
        <f t="shared" si="33"/>
        <v>0</v>
      </c>
      <c r="J46" s="361">
        <f t="shared" si="34"/>
        <v>187000.00000000003</v>
      </c>
      <c r="K46" s="362">
        <f t="shared" si="35"/>
        <v>187000.00000000003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499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32"/>
        <v>0</v>
      </c>
      <c r="I47" s="361">
        <f t="shared" ca="1" si="33"/>
        <v>0</v>
      </c>
      <c r="J47" s="361">
        <f t="shared" ca="1" si="34"/>
        <v>0</v>
      </c>
      <c r="K47" s="362">
        <f t="shared" ca="1" si="35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498"/>
      <c r="C48" s="519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70" ca="1" si="36">IF(OR(D48="MDU",D48="MDU-KD"),(IF($O$3="RAB NON MDU","PLN KD",G48*F48)),0)</f>
        <v>0</v>
      </c>
      <c r="I48" s="361">
        <f t="shared" ref="I48:I70" ca="1" si="37">IF(D48="HDW",G48*F48,0)</f>
        <v>0</v>
      </c>
      <c r="J48" s="361">
        <f t="shared" ref="J48:J70" ca="1" si="38">IF(D48="JASA",G48*F48,0)</f>
        <v>0</v>
      </c>
      <c r="K48" s="362">
        <f t="shared" ref="K48:K70" ca="1" si="39">SUM(H48:J48)</f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1" t="s">
        <v>1035</v>
      </c>
      <c r="C49" s="512" t="s">
        <v>1619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6"/>
        <v>0</v>
      </c>
      <c r="I49" s="361">
        <f t="shared" ca="1" si="37"/>
        <v>0</v>
      </c>
      <c r="J49" s="361">
        <f t="shared" ca="1" si="38"/>
        <v>0</v>
      </c>
      <c r="K49" s="362">
        <f t="shared" ca="1" si="39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1">
        <v>1</v>
      </c>
      <c r="C50" s="512" t="s">
        <v>28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F49*1</f>
        <v>1</v>
      </c>
      <c r="G50" s="360">
        <f ca="1">IF(ISERROR(OFFSET('HARGA SATUAN'!$I$6,MATCH(RAB!C50,'HARGA SATUAN'!$C$7:$C$1492,0),0)),0,OFFSET('HARGA SATUAN'!$I$6,MATCH(RAB!C50,'HARGA SATUAN'!$C$7:$C$1492,0),0))</f>
        <v>26500</v>
      </c>
      <c r="H50" s="361">
        <f t="shared" ca="1" si="36"/>
        <v>0</v>
      </c>
      <c r="I50" s="361">
        <f t="shared" ca="1" si="37"/>
        <v>26500</v>
      </c>
      <c r="J50" s="361">
        <f t="shared" ca="1" si="38"/>
        <v>0</v>
      </c>
      <c r="K50" s="362">
        <f t="shared" ca="1" si="39"/>
        <v>26500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1">
        <v>2</v>
      </c>
      <c r="C51" s="512" t="s">
        <v>203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F49*1</f>
        <v>1</v>
      </c>
      <c r="G51" s="360">
        <f ca="1">IF(ISERROR(OFFSET('HARGA SATUAN'!$I$6,MATCH(RAB!C51,'HARGA SATUAN'!$C$7:$C$1492,0),0)),0,OFFSET('HARGA SATUAN'!$I$6,MATCH(RAB!C51,'HARGA SATUAN'!$C$7:$C$1492,0),0))</f>
        <v>12500</v>
      </c>
      <c r="H51" s="361">
        <f t="shared" ca="1" si="36"/>
        <v>0</v>
      </c>
      <c r="I51" s="361">
        <f t="shared" ca="1" si="37"/>
        <v>12500</v>
      </c>
      <c r="J51" s="361">
        <f t="shared" ca="1" si="38"/>
        <v>0</v>
      </c>
      <c r="K51" s="362">
        <f t="shared" ca="1" si="39"/>
        <v>12500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1">
        <v>3</v>
      </c>
      <c r="C52" s="512" t="s">
        <v>206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1">
        <f>F49*12</f>
        <v>12</v>
      </c>
      <c r="G52" s="360">
        <f ca="1">IF(ISERROR(OFFSET('HARGA SATUAN'!$I$6,MATCH(RAB!C52,'HARGA SATUAN'!$C$7:$C$1492,0),0)),0,OFFSET('HARGA SATUAN'!$I$6,MATCH(RAB!C52,'HARGA SATUAN'!$C$7:$C$1492,0),0))</f>
        <v>39204</v>
      </c>
      <c r="H52" s="361">
        <f t="shared" ca="1" si="36"/>
        <v>0</v>
      </c>
      <c r="I52" s="361">
        <f t="shared" ca="1" si="37"/>
        <v>470448</v>
      </c>
      <c r="J52" s="361">
        <f t="shared" ca="1" si="38"/>
        <v>0</v>
      </c>
      <c r="K52" s="362">
        <f t="shared" ca="1" si="39"/>
        <v>470448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1">
        <v>4</v>
      </c>
      <c r="C53" s="512" t="s">
        <v>287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F49*2</f>
        <v>2</v>
      </c>
      <c r="G53" s="360">
        <f ca="1">IF(ISERROR(OFFSET('HARGA SATUAN'!$I$6,MATCH(RAB!C53,'HARGA SATUAN'!$C$7:$C$1492,0),0)),0,OFFSET('HARGA SATUAN'!$I$6,MATCH(RAB!C53,'HARGA SATUAN'!$C$7:$C$1492,0),0))</f>
        <v>40000</v>
      </c>
      <c r="H53" s="361">
        <f t="shared" ca="1" si="36"/>
        <v>0</v>
      </c>
      <c r="I53" s="361">
        <f t="shared" ca="1" si="37"/>
        <v>80000</v>
      </c>
      <c r="J53" s="361">
        <f t="shared" ca="1" si="38"/>
        <v>0</v>
      </c>
      <c r="K53" s="362">
        <f t="shared" ca="1" si="39"/>
        <v>80000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1">
        <v>5</v>
      </c>
      <c r="C54" s="512" t="s">
        <v>26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F49*1</f>
        <v>1</v>
      </c>
      <c r="G54" s="360">
        <f ca="1">IF(ISERROR(OFFSET('HARGA SATUAN'!$I$6,MATCH(RAB!C54,'HARGA SATUAN'!$C$7:$C$1492,0),0)),0,OFFSET('HARGA SATUAN'!$I$6,MATCH(RAB!C54,'HARGA SATUAN'!$C$7:$C$1492,0),0))</f>
        <v>2500</v>
      </c>
      <c r="H54" s="361">
        <f t="shared" ca="1" si="36"/>
        <v>0</v>
      </c>
      <c r="I54" s="361">
        <f t="shared" ca="1" si="37"/>
        <v>2500</v>
      </c>
      <c r="J54" s="361">
        <f t="shared" ca="1" si="38"/>
        <v>0</v>
      </c>
      <c r="K54" s="362">
        <f t="shared" ca="1" si="39"/>
        <v>2500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1">
        <v>6</v>
      </c>
      <c r="C55" s="512" t="s">
        <v>760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f>F49*1</f>
        <v>1</v>
      </c>
      <c r="G55" s="360">
        <f ca="1">IF(ISERROR(OFFSET('HARGA SATUAN'!$I$6,MATCH(RAB!C55,'HARGA SATUAN'!$C$7:$C$1492,0),0)),0,OFFSET('HARGA SATUAN'!$I$6,MATCH(RAB!C55,'HARGA SATUAN'!$C$7:$C$1492,0),0))</f>
        <v>36600</v>
      </c>
      <c r="H55" s="361">
        <f t="shared" ca="1" si="36"/>
        <v>0</v>
      </c>
      <c r="I55" s="361">
        <f t="shared" ca="1" si="37"/>
        <v>0</v>
      </c>
      <c r="J55" s="361">
        <f t="shared" ca="1" si="38"/>
        <v>36600</v>
      </c>
      <c r="K55" s="362">
        <f t="shared" ca="1" si="39"/>
        <v>36600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8"/>
      <c r="C56" s="499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 t="s">
        <v>1035</v>
      </c>
      <c r="C57" s="512" t="s">
        <v>1620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1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6"/>
        <v>0</v>
      </c>
      <c r="I57" s="361">
        <f t="shared" ca="1" si="37"/>
        <v>0</v>
      </c>
      <c r="J57" s="361">
        <f t="shared" ca="1" si="38"/>
        <v>0</v>
      </c>
      <c r="K57" s="362">
        <f t="shared" ca="1" si="39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6">
        <v>1</v>
      </c>
      <c r="C58" s="517" t="s">
        <v>597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F57*1</f>
        <v>1</v>
      </c>
      <c r="G58" s="360">
        <f ca="1">IF(ISERROR(OFFSET('HARGA SATUAN'!$I$6,MATCH(RAB!C58,'HARGA SATUAN'!$C$7:$C$1492,0),0)),0,OFFSET('HARGA SATUAN'!$I$6,MATCH(RAB!C58,'HARGA SATUAN'!$C$7:$C$1492,0),0))</f>
        <v>120900</v>
      </c>
      <c r="H58" s="361">
        <f t="shared" ca="1" si="36"/>
        <v>0</v>
      </c>
      <c r="I58" s="361">
        <f t="shared" ca="1" si="37"/>
        <v>120900</v>
      </c>
      <c r="J58" s="361">
        <f t="shared" ca="1" si="38"/>
        <v>0</v>
      </c>
      <c r="K58" s="362">
        <f t="shared" ca="1" si="39"/>
        <v>120900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3">
        <v>2</v>
      </c>
      <c r="C59" s="504" t="s">
        <v>261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F57*1</f>
        <v>1</v>
      </c>
      <c r="G59" s="360">
        <f ca="1">IF(ISERROR(OFFSET('HARGA SATUAN'!$I$6,MATCH(RAB!C59,'HARGA SATUAN'!$C$7:$C$1492,0),0)),0,OFFSET('HARGA SATUAN'!$I$6,MATCH(RAB!C59,'HARGA SATUAN'!$C$7:$C$1492,0),0))</f>
        <v>135800</v>
      </c>
      <c r="H59" s="361">
        <f t="shared" ca="1" si="36"/>
        <v>0</v>
      </c>
      <c r="I59" s="361">
        <f t="shared" ca="1" si="37"/>
        <v>135800</v>
      </c>
      <c r="J59" s="361">
        <f t="shared" ca="1" si="38"/>
        <v>0</v>
      </c>
      <c r="K59" s="362">
        <f t="shared" ca="1" si="39"/>
        <v>135800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3">
        <v>3</v>
      </c>
      <c r="C60" s="505" t="s">
        <v>214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8">
        <f>F57*1</f>
        <v>1</v>
      </c>
      <c r="G60" s="360">
        <f ca="1">IF(ISERROR(OFFSET('HARGA SATUAN'!$I$6,MATCH(RAB!C60,'HARGA SATUAN'!$C$7:$C$1492,0),0)),0,OFFSET('HARGA SATUAN'!$I$6,MATCH(RAB!C60,'HARGA SATUAN'!$C$7:$C$1492,0),0))</f>
        <v>4500</v>
      </c>
      <c r="H60" s="361">
        <f t="shared" ca="1" si="36"/>
        <v>0</v>
      </c>
      <c r="I60" s="361">
        <f t="shared" ca="1" si="37"/>
        <v>4500</v>
      </c>
      <c r="J60" s="361">
        <f t="shared" ca="1" si="38"/>
        <v>0</v>
      </c>
      <c r="K60" s="362">
        <f t="shared" ca="1" si="39"/>
        <v>4500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1">
        <v>4</v>
      </c>
      <c r="C61" s="512" t="s">
        <v>768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f>F57*1</f>
        <v>1</v>
      </c>
      <c r="G61" s="360">
        <f ca="1">IF(ISERROR(OFFSET('HARGA SATUAN'!$I$6,MATCH(RAB!C61,'HARGA SATUAN'!$C$7:$C$1492,0),0)),0,OFFSET('HARGA SATUAN'!$I$6,MATCH(RAB!C61,'HARGA SATUAN'!$C$7:$C$1492,0),0))</f>
        <v>55500</v>
      </c>
      <c r="H61" s="361">
        <f t="shared" ca="1" si="36"/>
        <v>0</v>
      </c>
      <c r="I61" s="361">
        <f t="shared" ca="1" si="37"/>
        <v>0</v>
      </c>
      <c r="J61" s="361">
        <f t="shared" ca="1" si="38"/>
        <v>55500</v>
      </c>
      <c r="K61" s="362">
        <f t="shared" ca="1" si="39"/>
        <v>55500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1"/>
      <c r="C62" s="512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1" t="s">
        <v>1035</v>
      </c>
      <c r="C63" s="512" t="s">
        <v>1621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6"/>
        <v>0</v>
      </c>
      <c r="I63" s="361">
        <f t="shared" ca="1" si="37"/>
        <v>0</v>
      </c>
      <c r="J63" s="361">
        <f t="shared" ca="1" si="38"/>
        <v>0</v>
      </c>
      <c r="K63" s="362">
        <f t="shared" ca="1" si="39"/>
        <v>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1">
        <v>1</v>
      </c>
      <c r="C64" s="512" t="s">
        <v>30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F63*1</f>
        <v>1</v>
      </c>
      <c r="G64" s="360">
        <f ca="1">IF(ISERROR(OFFSET('HARGA SATUAN'!$I$6,MATCH(RAB!C64,'HARGA SATUAN'!$C$7:$C$1492,0),0)),0,OFFSET('HARGA SATUAN'!$I$6,MATCH(RAB!C64,'HARGA SATUAN'!$C$7:$C$1492,0),0))</f>
        <v>47459</v>
      </c>
      <c r="H64" s="361">
        <f t="shared" ca="1" si="36"/>
        <v>0</v>
      </c>
      <c r="I64" s="361">
        <f t="shared" ca="1" si="37"/>
        <v>47459</v>
      </c>
      <c r="J64" s="361">
        <f t="shared" ca="1" si="38"/>
        <v>0</v>
      </c>
      <c r="K64" s="362">
        <f t="shared" ca="1" si="39"/>
        <v>47459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1">
        <v>2</v>
      </c>
      <c r="C65" s="512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501">
        <f>F63*1</f>
        <v>1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36"/>
        <v>0</v>
      </c>
      <c r="I65" s="361">
        <f t="shared" ca="1" si="37"/>
        <v>30000</v>
      </c>
      <c r="J65" s="361">
        <f t="shared" ca="1" si="38"/>
        <v>0</v>
      </c>
      <c r="K65" s="362">
        <f t="shared" ca="1" si="39"/>
        <v>30000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1">
        <v>3</v>
      </c>
      <c r="C66" s="512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F63*1</f>
        <v>1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36"/>
        <v>0</v>
      </c>
      <c r="I66" s="361">
        <f t="shared" ca="1" si="37"/>
        <v>9500</v>
      </c>
      <c r="J66" s="361">
        <f t="shared" ca="1" si="38"/>
        <v>0</v>
      </c>
      <c r="K66" s="362">
        <f t="shared" ca="1" si="39"/>
        <v>9500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1">
        <v>4</v>
      </c>
      <c r="C67" s="512" t="s">
        <v>738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01">
        <f>F63*1</f>
        <v>1</v>
      </c>
      <c r="G67" s="360">
        <f ca="1">IF(ISERROR(OFFSET('HARGA SATUAN'!$I$6,MATCH(RAB!C67,'HARGA SATUAN'!$C$7:$C$1492,0),0)),0,OFFSET('HARGA SATUAN'!$I$6,MATCH(RAB!C67,'HARGA SATUAN'!$C$7:$C$1492,0),0))</f>
        <v>21200</v>
      </c>
      <c r="H67" s="361">
        <f t="shared" ca="1" si="36"/>
        <v>0</v>
      </c>
      <c r="I67" s="361">
        <f t="shared" ca="1" si="37"/>
        <v>0</v>
      </c>
      <c r="J67" s="361">
        <f t="shared" ca="1" si="38"/>
        <v>21200</v>
      </c>
      <c r="K67" s="362">
        <f t="shared" ca="1" si="39"/>
        <v>21200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8"/>
      <c r="C68" s="49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  <c r="L68" s="342"/>
      <c r="M68" s="342"/>
      <c r="N68" s="369"/>
      <c r="O68" s="344"/>
      <c r="P68" s="397"/>
      <c r="Q68" s="344"/>
    </row>
    <row r="69" spans="1:17">
      <c r="B69" s="366" t="s">
        <v>1608</v>
      </c>
      <c r="C69" s="367" t="s">
        <v>1610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6"/>
        <v>0</v>
      </c>
      <c r="I69" s="361">
        <f t="shared" ca="1" si="37"/>
        <v>0</v>
      </c>
      <c r="J69" s="361">
        <f t="shared" ca="1" si="38"/>
        <v>0</v>
      </c>
      <c r="K69" s="362">
        <f t="shared" ca="1" si="39"/>
        <v>0</v>
      </c>
    </row>
    <row r="70" spans="1:17">
      <c r="B70" s="494"/>
      <c r="C70" s="497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6"/>
        <v>0</v>
      </c>
      <c r="I70" s="361">
        <f t="shared" ca="1" si="37"/>
        <v>0</v>
      </c>
      <c r="J70" s="361">
        <f t="shared" ca="1" si="38"/>
        <v>0</v>
      </c>
      <c r="K70" s="362">
        <f t="shared" ca="1" si="39"/>
        <v>0</v>
      </c>
    </row>
    <row r="71" spans="1:17">
      <c r="B71" s="520" t="s">
        <v>1035</v>
      </c>
      <c r="C71" s="521" t="s">
        <v>1629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02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7" ca="1" si="40">IF(OR(D71="MDU",D71="MDU-KD"),(IF($O$3="RAB NON MDU","PLN KD",G71*F71)),0)</f>
        <v>0</v>
      </c>
      <c r="I71" s="361">
        <f t="shared" ref="I71:I77" ca="1" si="41">IF(D71="HDW",G71*F71,0)</f>
        <v>0</v>
      </c>
      <c r="J71" s="361">
        <f t="shared" ref="J71:J77" ca="1" si="42">IF(D71="JASA",G71*F71,0)</f>
        <v>0</v>
      </c>
      <c r="K71" s="362">
        <f t="shared" ref="K71:K77" ca="1" si="43">SUM(H71:J71)</f>
        <v>0</v>
      </c>
    </row>
    <row r="72" spans="1:17">
      <c r="B72" s="520">
        <v>1</v>
      </c>
      <c r="C72" s="521" t="s">
        <v>535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2">
        <f>F71*1</f>
        <v>1</v>
      </c>
      <c r="G72" s="360">
        <f ca="1">IF(ISERROR(OFFSET('HARGA SATUAN'!$I$6,MATCH(RAB!C72,'HARGA SATUAN'!$C$7:$C$1492,0),0)),0,OFFSET('HARGA SATUAN'!$I$6,MATCH(RAB!C72,'HARGA SATUAN'!$C$7:$C$1492,0),0))</f>
        <v>848250</v>
      </c>
      <c r="H72" s="361">
        <f t="shared" ca="1" si="40"/>
        <v>848250</v>
      </c>
      <c r="I72" s="361">
        <f t="shared" ca="1" si="41"/>
        <v>0</v>
      </c>
      <c r="J72" s="361">
        <f t="shared" ca="1" si="42"/>
        <v>0</v>
      </c>
      <c r="K72" s="362">
        <f t="shared" ca="1" si="43"/>
        <v>848250</v>
      </c>
    </row>
    <row r="73" spans="1:17">
      <c r="B73" s="520">
        <v>2</v>
      </c>
      <c r="C73" s="109" t="s">
        <v>62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2">
        <f>F71*1</f>
        <v>1</v>
      </c>
      <c r="G73" s="360">
        <f ca="1">IF(ISERROR(OFFSET('HARGA SATUAN'!$I$6,MATCH(RAB!C73,'HARGA SATUAN'!$C$7:$C$1492,0),0)),0,OFFSET('HARGA SATUAN'!$I$6,MATCH(RAB!C73,'HARGA SATUAN'!$C$7:$C$1492,0),0))</f>
        <v>32500</v>
      </c>
      <c r="H73" s="361">
        <f t="shared" ca="1" si="40"/>
        <v>0</v>
      </c>
      <c r="I73" s="361">
        <f t="shared" ca="1" si="41"/>
        <v>32500</v>
      </c>
      <c r="J73" s="361">
        <f t="shared" ca="1" si="42"/>
        <v>0</v>
      </c>
      <c r="K73" s="362">
        <f t="shared" ca="1" si="43"/>
        <v>32500</v>
      </c>
    </row>
    <row r="74" spans="1:17">
      <c r="B74" s="520">
        <v>3</v>
      </c>
      <c r="C74" s="521" t="s">
        <v>187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2">
        <f>F71*1</f>
        <v>1</v>
      </c>
      <c r="G74" s="360">
        <f ca="1">IF(ISERROR(OFFSET('HARGA SATUAN'!$I$6,MATCH(RAB!C74,'HARGA SATUAN'!$C$7:$C$1492,0),0)),0,OFFSET('HARGA SATUAN'!$I$6,MATCH(RAB!C74,'HARGA SATUAN'!$C$7:$C$1492,0),0))</f>
        <v>17100</v>
      </c>
      <c r="H74" s="361">
        <f t="shared" ca="1" si="40"/>
        <v>0</v>
      </c>
      <c r="I74" s="361">
        <f t="shared" ca="1" si="41"/>
        <v>17100</v>
      </c>
      <c r="J74" s="361">
        <f t="shared" ca="1" si="42"/>
        <v>0</v>
      </c>
      <c r="K74" s="362">
        <f t="shared" ca="1" si="43"/>
        <v>17100</v>
      </c>
    </row>
    <row r="75" spans="1:17">
      <c r="B75" s="520">
        <v>4</v>
      </c>
      <c r="C75" s="109" t="s">
        <v>174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2">
        <f>F71*1</f>
        <v>1</v>
      </c>
      <c r="G75" s="360">
        <f ca="1">IF(ISERROR(OFFSET('HARGA SATUAN'!$I$6,MATCH(RAB!C75,'HARGA SATUAN'!$C$7:$C$1492,0),0)),0,OFFSET('HARGA SATUAN'!$I$6,MATCH(RAB!C75,'HARGA SATUAN'!$C$7:$C$1492,0),0))</f>
        <v>67700</v>
      </c>
      <c r="H75" s="361">
        <f t="shared" ca="1" si="40"/>
        <v>0</v>
      </c>
      <c r="I75" s="361">
        <f t="shared" ca="1" si="41"/>
        <v>67700</v>
      </c>
      <c r="J75" s="361">
        <f t="shared" ca="1" si="42"/>
        <v>0</v>
      </c>
      <c r="K75" s="362">
        <f t="shared" ca="1" si="43"/>
        <v>67700</v>
      </c>
    </row>
    <row r="76" spans="1:17">
      <c r="B76" s="520">
        <v>5</v>
      </c>
      <c r="C76" s="521" t="s">
        <v>747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02">
        <f>F71*1</f>
        <v>1</v>
      </c>
      <c r="G76" s="360">
        <f ca="1">IF(ISERROR(OFFSET('HARGA SATUAN'!$I$6,MATCH(RAB!C76,'HARGA SATUAN'!$C$7:$C$1492,0),0)),0,OFFSET('HARGA SATUAN'!$I$6,MATCH(RAB!C76,'HARGA SATUAN'!$C$7:$C$1492,0),0))</f>
        <v>58400</v>
      </c>
      <c r="H76" s="361">
        <f t="shared" ca="1" si="40"/>
        <v>0</v>
      </c>
      <c r="I76" s="361">
        <f t="shared" ca="1" si="41"/>
        <v>0</v>
      </c>
      <c r="J76" s="361">
        <f t="shared" ca="1" si="42"/>
        <v>58400</v>
      </c>
      <c r="K76" s="362">
        <f t="shared" ca="1" si="43"/>
        <v>58400</v>
      </c>
    </row>
    <row r="77" spans="1:17">
      <c r="B77" s="494"/>
      <c r="C77" s="497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501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0"/>
        <v>0</v>
      </c>
      <c r="I77" s="361">
        <f t="shared" ca="1" si="41"/>
        <v>0</v>
      </c>
      <c r="J77" s="361">
        <f t="shared" ca="1" si="42"/>
        <v>0</v>
      </c>
      <c r="K77" s="362">
        <f t="shared" ca="1" si="43"/>
        <v>0</v>
      </c>
    </row>
    <row r="78" spans="1:17">
      <c r="B78" s="520" t="s">
        <v>1035</v>
      </c>
      <c r="C78" s="521" t="s">
        <v>1624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23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:H90" ca="1" si="44">IF(OR(D78="MDU",D78="MDU-KD"),(IF($O$3="RAB NON MDU","PLN KD",G78*F78)),0)</f>
        <v>0</v>
      </c>
      <c r="I78" s="361">
        <f t="shared" ref="I78:I90" ca="1" si="45">IF(D78="HDW",G78*F78,0)</f>
        <v>0</v>
      </c>
      <c r="J78" s="361">
        <f t="shared" ref="J78:J90" ca="1" si="46">IF(D78="JASA",G78*F78,0)</f>
        <v>0</v>
      </c>
      <c r="K78" s="362">
        <f t="shared" ref="K78:K90" ca="1" si="47">SUM(H78:J78)</f>
        <v>0</v>
      </c>
    </row>
    <row r="79" spans="1:17">
      <c r="B79" s="520">
        <v>1</v>
      </c>
      <c r="C79" s="506" t="s">
        <v>532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7">
        <f>F78*1</f>
        <v>1</v>
      </c>
      <c r="G79" s="360">
        <f ca="1">IF(ISERROR(OFFSET('HARGA SATUAN'!$I$6,MATCH(RAB!C79,'HARGA SATUAN'!$C$7:$C$1492,0),0)),0,OFFSET('HARGA SATUAN'!$I$6,MATCH(RAB!C79,'HARGA SATUAN'!$C$7:$C$1492,0),0))</f>
        <v>27845400</v>
      </c>
      <c r="H79" s="361">
        <f t="shared" ca="1" si="44"/>
        <v>27845400</v>
      </c>
      <c r="I79" s="361">
        <f t="shared" ca="1" si="45"/>
        <v>0</v>
      </c>
      <c r="J79" s="361">
        <f t="shared" ca="1" si="46"/>
        <v>0</v>
      </c>
      <c r="K79" s="362">
        <f t="shared" ca="1" si="47"/>
        <v>27845400</v>
      </c>
    </row>
    <row r="80" spans="1:17">
      <c r="B80" s="503">
        <v>2</v>
      </c>
      <c r="C80" s="506" t="s">
        <v>1612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7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4"/>
        <v>0</v>
      </c>
      <c r="I80" s="361">
        <f t="shared" ca="1" si="45"/>
        <v>0</v>
      </c>
      <c r="J80" s="361">
        <f t="shared" ca="1" si="46"/>
        <v>0</v>
      </c>
      <c r="K80" s="362">
        <f t="shared" ca="1" si="47"/>
        <v>0</v>
      </c>
    </row>
    <row r="81" spans="2:11">
      <c r="B81" s="503"/>
      <c r="C81" s="506" t="s">
        <v>65</v>
      </c>
      <c r="D81" s="358" t="str">
        <f ca="1">IF(ISERROR(OFFSET('HARGA SATUAN'!$D$6,MATCH(RAB!C81,'HARGA SATUAN'!$C$7:$C$1492,0),0)),"",OFFSET('HARGA SATUAN'!$D$6,MATCH(RAB!C81,'HARGA SATUAN'!$C$7:$C$1492,0),0))</f>
        <v>MDU-KD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507">
        <f>F78*2</f>
        <v>2</v>
      </c>
      <c r="G81" s="360">
        <f ca="1">IF(ISERROR(OFFSET('HARGA SATUAN'!$I$6,MATCH(RAB!C81,'HARGA SATUAN'!$C$7:$C$1492,0),0)),0,OFFSET('HARGA SATUAN'!$I$6,MATCH(RAB!C81,'HARGA SATUAN'!$C$7:$C$1492,0),0))</f>
        <v>14200</v>
      </c>
      <c r="H81" s="361">
        <f t="shared" ca="1" si="44"/>
        <v>28400</v>
      </c>
      <c r="I81" s="361">
        <f t="shared" ca="1" si="45"/>
        <v>0</v>
      </c>
      <c r="J81" s="361">
        <f t="shared" ca="1" si="46"/>
        <v>0</v>
      </c>
      <c r="K81" s="362">
        <f t="shared" ca="1" si="47"/>
        <v>28400</v>
      </c>
    </row>
    <row r="82" spans="2:11">
      <c r="B82" s="520"/>
      <c r="C82" s="506" t="s">
        <v>1625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507">
        <f>F78*2</f>
        <v>2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4"/>
        <v>0</v>
      </c>
      <c r="I82" s="361">
        <f t="shared" ca="1" si="45"/>
        <v>0</v>
      </c>
      <c r="J82" s="361">
        <f t="shared" ca="1" si="46"/>
        <v>0</v>
      </c>
      <c r="K82" s="362">
        <f t="shared" ca="1" si="47"/>
        <v>0</v>
      </c>
    </row>
    <row r="83" spans="2:11">
      <c r="B83" s="520">
        <v>3</v>
      </c>
      <c r="C83" s="506" t="s">
        <v>207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7">
        <f>F78*1</f>
        <v>1</v>
      </c>
      <c r="G83" s="360">
        <f ca="1">IF(ISERROR(OFFSET('HARGA SATUAN'!$I$6,MATCH(RAB!C83,'HARGA SATUAN'!$C$7:$C$1492,0),0)),0,OFFSET('HARGA SATUAN'!$I$6,MATCH(RAB!C83,'HARGA SATUAN'!$C$7:$C$1492,0),0))</f>
        <v>87000</v>
      </c>
      <c r="H83" s="361">
        <f t="shared" ca="1" si="44"/>
        <v>0</v>
      </c>
      <c r="I83" s="361">
        <f t="shared" ca="1" si="45"/>
        <v>87000</v>
      </c>
      <c r="J83" s="361">
        <f t="shared" ca="1" si="46"/>
        <v>0</v>
      </c>
      <c r="K83" s="362">
        <f t="shared" ca="1" si="47"/>
        <v>87000</v>
      </c>
    </row>
    <row r="84" spans="2:11">
      <c r="B84" s="520">
        <v>4</v>
      </c>
      <c r="C84" s="506" t="s">
        <v>176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7">
        <f>F78*2</f>
        <v>2</v>
      </c>
      <c r="G84" s="360">
        <f ca="1">IF(ISERROR(OFFSET('HARGA SATUAN'!$I$6,MATCH(RAB!C84,'HARGA SATUAN'!$C$7:$C$1492,0),0)),0,OFFSET('HARGA SATUAN'!$I$6,MATCH(RAB!C84,'HARGA SATUAN'!$C$7:$C$1492,0),0))</f>
        <v>404600</v>
      </c>
      <c r="H84" s="361">
        <f t="shared" ca="1" si="44"/>
        <v>0</v>
      </c>
      <c r="I84" s="361">
        <f t="shared" ca="1" si="45"/>
        <v>809200</v>
      </c>
      <c r="J84" s="361">
        <f t="shared" ca="1" si="46"/>
        <v>0</v>
      </c>
      <c r="K84" s="362">
        <f t="shared" ca="1" si="47"/>
        <v>809200</v>
      </c>
    </row>
    <row r="85" spans="2:11">
      <c r="B85" s="520">
        <v>5</v>
      </c>
      <c r="C85" s="506" t="s">
        <v>184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7">
        <f>F78*3</f>
        <v>3</v>
      </c>
      <c r="G85" s="360">
        <f ca="1">IF(ISERROR(OFFSET('HARGA SATUAN'!$I$6,MATCH(RAB!C85,'HARGA SATUAN'!$C$7:$C$1492,0),0)),0,OFFSET('HARGA SATUAN'!$I$6,MATCH(RAB!C85,'HARGA SATUAN'!$C$7:$C$1492,0),0))</f>
        <v>15900</v>
      </c>
      <c r="H85" s="361">
        <f t="shared" ca="1" si="44"/>
        <v>0</v>
      </c>
      <c r="I85" s="361">
        <f t="shared" ca="1" si="45"/>
        <v>47700</v>
      </c>
      <c r="J85" s="361">
        <f t="shared" ca="1" si="46"/>
        <v>0</v>
      </c>
      <c r="K85" s="362">
        <f t="shared" ca="1" si="47"/>
        <v>47700</v>
      </c>
    </row>
    <row r="86" spans="2:11">
      <c r="B86" s="520">
        <v>6</v>
      </c>
      <c r="C86" s="506" t="s">
        <v>187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7">
        <f>F78*2</f>
        <v>2</v>
      </c>
      <c r="G86" s="360">
        <f ca="1">IF(ISERROR(OFFSET('HARGA SATUAN'!$I$6,MATCH(RAB!C86,'HARGA SATUAN'!$C$7:$C$1492,0),0)),0,OFFSET('HARGA SATUAN'!$I$6,MATCH(RAB!C86,'HARGA SATUAN'!$C$7:$C$1492,0),0))</f>
        <v>17100</v>
      </c>
      <c r="H86" s="361">
        <f t="shared" ca="1" si="44"/>
        <v>0</v>
      </c>
      <c r="I86" s="361">
        <f t="shared" ca="1" si="45"/>
        <v>34200</v>
      </c>
      <c r="J86" s="361">
        <f t="shared" ca="1" si="46"/>
        <v>0</v>
      </c>
      <c r="K86" s="362">
        <f t="shared" ca="1" si="47"/>
        <v>34200</v>
      </c>
    </row>
    <row r="87" spans="2:11">
      <c r="B87" s="520">
        <v>7</v>
      </c>
      <c r="C87" s="506" t="s">
        <v>1626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507">
        <f>F78*4</f>
        <v>4</v>
      </c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44"/>
        <v>0</v>
      </c>
      <c r="I87" s="361">
        <f t="shared" ca="1" si="45"/>
        <v>0</v>
      </c>
      <c r="J87" s="361">
        <f t="shared" ca="1" si="46"/>
        <v>0</v>
      </c>
      <c r="K87" s="362">
        <f t="shared" ca="1" si="47"/>
        <v>0</v>
      </c>
    </row>
    <row r="88" spans="2:11">
      <c r="B88" s="520">
        <v>8</v>
      </c>
      <c r="C88" s="506" t="s">
        <v>149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Set</v>
      </c>
      <c r="F88" s="507">
        <f>F78*1</f>
        <v>1</v>
      </c>
      <c r="G88" s="360">
        <f ca="1">IF(ISERROR(OFFSET('HARGA SATUAN'!$I$6,MATCH(RAB!C88,'HARGA SATUAN'!$C$7:$C$1492,0),0)),0,OFFSET('HARGA SATUAN'!$I$6,MATCH(RAB!C88,'HARGA SATUAN'!$C$7:$C$1492,0),0))</f>
        <v>67800</v>
      </c>
      <c r="H88" s="361">
        <f t="shared" ca="1" si="44"/>
        <v>0</v>
      </c>
      <c r="I88" s="361">
        <f t="shared" ca="1" si="45"/>
        <v>67800</v>
      </c>
      <c r="J88" s="361">
        <f t="shared" ca="1" si="46"/>
        <v>0</v>
      </c>
      <c r="K88" s="362">
        <f t="shared" ca="1" si="47"/>
        <v>67800</v>
      </c>
    </row>
    <row r="89" spans="2:11">
      <c r="B89" s="520">
        <v>9</v>
      </c>
      <c r="C89" s="506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507">
        <f>F78*2</f>
        <v>2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44"/>
        <v>0</v>
      </c>
      <c r="I89" s="361">
        <f t="shared" ca="1" si="45"/>
        <v>60000</v>
      </c>
      <c r="J89" s="361">
        <f t="shared" ca="1" si="46"/>
        <v>0</v>
      </c>
      <c r="K89" s="362">
        <f t="shared" ca="1" si="47"/>
        <v>60000</v>
      </c>
    </row>
    <row r="90" spans="2:11">
      <c r="B90" s="520">
        <v>10</v>
      </c>
      <c r="C90" s="506" t="s">
        <v>781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07">
        <f>F78*1</f>
        <v>1</v>
      </c>
      <c r="G90" s="360">
        <f ca="1">IF(ISERROR(OFFSET('HARGA SATUAN'!$I$6,MATCH(RAB!C90,'HARGA SATUAN'!$C$7:$C$1492,0),0)),0,OFFSET('HARGA SATUAN'!$I$6,MATCH(RAB!C90,'HARGA SATUAN'!$C$7:$C$1492,0),0))</f>
        <v>346400</v>
      </c>
      <c r="H90" s="361">
        <f t="shared" ca="1" si="44"/>
        <v>0</v>
      </c>
      <c r="I90" s="361">
        <f t="shared" ca="1" si="45"/>
        <v>0</v>
      </c>
      <c r="J90" s="361">
        <f t="shared" ca="1" si="46"/>
        <v>346400</v>
      </c>
      <c r="K90" s="362">
        <f t="shared" ca="1" si="47"/>
        <v>346400</v>
      </c>
    </row>
    <row r="91" spans="2:11">
      <c r="B91" s="508"/>
      <c r="C91" s="109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501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ref="H91" ca="1" si="48">IF(OR(D91="MDU",D91="MDU-KD"),(IF($O$3="RAB NON MDU","PLN KD",G91*F91)),0)</f>
        <v>0</v>
      </c>
      <c r="I91" s="361">
        <f t="shared" ref="I91" ca="1" si="49">IF(D91="HDW",G91*F91,0)</f>
        <v>0</v>
      </c>
      <c r="J91" s="361">
        <f t="shared" ref="J91" ca="1" si="50">IF(D91="JASA",G91*F91,0)</f>
        <v>0</v>
      </c>
      <c r="K91" s="362">
        <f t="shared" ref="K91" ca="1" si="51">SUM(H91:J91)</f>
        <v>0</v>
      </c>
    </row>
    <row r="92" spans="2:11">
      <c r="B92" s="503" t="s">
        <v>1035</v>
      </c>
      <c r="C92" s="504" t="s">
        <v>1613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501">
        <v>2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ref="H92:H102" ca="1" si="52">IF(OR(D92="MDU",D92="MDU-KD"),(IF($O$3="RAB NON MDU","PLN KD",G92*F92)),0)</f>
        <v>0</v>
      </c>
      <c r="I92" s="361">
        <f t="shared" ref="I92:I102" ca="1" si="53">IF(D92="HDW",G92*F92,0)</f>
        <v>0</v>
      </c>
      <c r="J92" s="361">
        <f t="shared" ref="J92:J102" ca="1" si="54">IF(D92="JASA",G92*F92,0)</f>
        <v>0</v>
      </c>
      <c r="K92" s="362">
        <f t="shared" ref="K92:K102" ca="1" si="55">SUM(H92:J92)</f>
        <v>0</v>
      </c>
    </row>
    <row r="93" spans="2:11">
      <c r="B93" s="503">
        <v>1</v>
      </c>
      <c r="C93" s="505" t="s">
        <v>29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1">
        <f>F92*1</f>
        <v>2</v>
      </c>
      <c r="G93" s="360">
        <f ca="1">IF(ISERROR(OFFSET('HARGA SATUAN'!$I$6,MATCH(RAB!C93,'HARGA SATUAN'!$C$7:$C$1492,0),0)),0,OFFSET('HARGA SATUAN'!$I$6,MATCH(RAB!C93,'HARGA SATUAN'!$C$7:$C$1492,0),0))</f>
        <v>185200</v>
      </c>
      <c r="H93" s="361">
        <f t="shared" ca="1" si="52"/>
        <v>0</v>
      </c>
      <c r="I93" s="361">
        <f t="shared" ca="1" si="53"/>
        <v>370400</v>
      </c>
      <c r="J93" s="361">
        <f t="shared" ca="1" si="54"/>
        <v>0</v>
      </c>
      <c r="K93" s="362">
        <f t="shared" ca="1" si="55"/>
        <v>370400</v>
      </c>
    </row>
    <row r="94" spans="2:11">
      <c r="B94" s="498">
        <v>2</v>
      </c>
      <c r="C94" s="499" t="s">
        <v>30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1">
        <f>F92*1</f>
        <v>2</v>
      </c>
      <c r="G94" s="360">
        <f ca="1">IF(ISERROR(OFFSET('HARGA SATUAN'!$I$6,MATCH(RAB!C94,'HARGA SATUAN'!$C$7:$C$1492,0),0)),0,OFFSET('HARGA SATUAN'!$I$6,MATCH(RAB!C94,'HARGA SATUAN'!$C$7:$C$1492,0),0))</f>
        <v>47459</v>
      </c>
      <c r="H94" s="361">
        <f t="shared" ca="1" si="52"/>
        <v>0</v>
      </c>
      <c r="I94" s="361">
        <f t="shared" ca="1" si="53"/>
        <v>94918</v>
      </c>
      <c r="J94" s="361">
        <f t="shared" ca="1" si="54"/>
        <v>0</v>
      </c>
      <c r="K94" s="362">
        <f t="shared" ca="1" si="55"/>
        <v>94918</v>
      </c>
    </row>
    <row r="95" spans="2:11">
      <c r="B95" s="498">
        <v>3</v>
      </c>
      <c r="C95" s="499" t="s">
        <v>31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1">
        <f>F92*1</f>
        <v>2</v>
      </c>
      <c r="G95" s="360">
        <f ca="1">IF(ISERROR(OFFSET('HARGA SATUAN'!$I$6,MATCH(RAB!C95,'HARGA SATUAN'!$C$7:$C$1492,0),0)),0,OFFSET('HARGA SATUAN'!$I$6,MATCH(RAB!C95,'HARGA SATUAN'!$C$7:$C$1492,0),0))</f>
        <v>4880</v>
      </c>
      <c r="H95" s="361">
        <f t="shared" ca="1" si="52"/>
        <v>0</v>
      </c>
      <c r="I95" s="361">
        <f t="shared" ca="1" si="53"/>
        <v>9760</v>
      </c>
      <c r="J95" s="361">
        <f t="shared" ca="1" si="54"/>
        <v>0</v>
      </c>
      <c r="K95" s="362">
        <f t="shared" ca="1" si="55"/>
        <v>9760</v>
      </c>
    </row>
    <row r="96" spans="2:11">
      <c r="B96" s="498">
        <v>4</v>
      </c>
      <c r="C96" s="499" t="s">
        <v>32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501">
        <f>F92*10</f>
        <v>20</v>
      </c>
      <c r="G96" s="360">
        <f ca="1">IF(ISERROR(OFFSET('HARGA SATUAN'!$I$6,MATCH(RAB!C96,'HARGA SATUAN'!$C$7:$C$1492,0),0)),0,OFFSET('HARGA SATUAN'!$I$6,MATCH(RAB!C96,'HARGA SATUAN'!$C$7:$C$1492,0),0))</f>
        <v>30000</v>
      </c>
      <c r="H96" s="361">
        <f t="shared" ca="1" si="52"/>
        <v>0</v>
      </c>
      <c r="I96" s="361">
        <f t="shared" ca="1" si="53"/>
        <v>600000</v>
      </c>
      <c r="J96" s="361">
        <f t="shared" ca="1" si="54"/>
        <v>0</v>
      </c>
      <c r="K96" s="362">
        <f t="shared" ca="1" si="55"/>
        <v>600000</v>
      </c>
    </row>
    <row r="97" spans="2:11">
      <c r="B97" s="498">
        <v>5</v>
      </c>
      <c r="C97" s="499" t="s">
        <v>33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01">
        <f>F92*2</f>
        <v>4</v>
      </c>
      <c r="G97" s="360">
        <f ca="1">IF(ISERROR(OFFSET('HARGA SATUAN'!$I$6,MATCH(RAB!C97,'HARGA SATUAN'!$C$7:$C$1492,0),0)),0,OFFSET('HARGA SATUAN'!$I$6,MATCH(RAB!C97,'HARGA SATUAN'!$C$7:$C$1492,0),0))</f>
        <v>9500</v>
      </c>
      <c r="H97" s="361">
        <f t="shared" ca="1" si="52"/>
        <v>0</v>
      </c>
      <c r="I97" s="361">
        <f t="shared" ca="1" si="53"/>
        <v>38000</v>
      </c>
      <c r="J97" s="361">
        <f t="shared" ca="1" si="54"/>
        <v>0</v>
      </c>
      <c r="K97" s="362">
        <f t="shared" ca="1" si="55"/>
        <v>38000</v>
      </c>
    </row>
    <row r="98" spans="2:11">
      <c r="B98" s="498">
        <v>6</v>
      </c>
      <c r="C98" s="499" t="s">
        <v>34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1">
        <f>F92*5.5</f>
        <v>11</v>
      </c>
      <c r="G98" s="360">
        <f ca="1">IF(ISERROR(OFFSET('HARGA SATUAN'!$I$6,MATCH(RAB!C98,'HARGA SATUAN'!$C$7:$C$1492,0),0)),0,OFFSET('HARGA SATUAN'!$I$6,MATCH(RAB!C98,'HARGA SATUAN'!$C$7:$C$1492,0),0))</f>
        <v>6100</v>
      </c>
      <c r="H98" s="361">
        <f t="shared" ca="1" si="52"/>
        <v>0</v>
      </c>
      <c r="I98" s="361">
        <f t="shared" ca="1" si="53"/>
        <v>67100</v>
      </c>
      <c r="J98" s="361">
        <f t="shared" ca="1" si="54"/>
        <v>0</v>
      </c>
      <c r="K98" s="362">
        <f t="shared" ca="1" si="55"/>
        <v>67100</v>
      </c>
    </row>
    <row r="99" spans="2:11">
      <c r="B99" s="498">
        <v>7</v>
      </c>
      <c r="C99" s="499" t="s">
        <v>35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1">
        <f>F92*6</f>
        <v>12</v>
      </c>
      <c r="G99" s="360">
        <f ca="1">IF(ISERROR(OFFSET('HARGA SATUAN'!$I$6,MATCH(RAB!C99,'HARGA SATUAN'!$C$7:$C$1492,0),0)),0,OFFSET('HARGA SATUAN'!$I$6,MATCH(RAB!C99,'HARGA SATUAN'!$C$7:$C$1492,0),0))</f>
        <v>2300</v>
      </c>
      <c r="H99" s="361">
        <f t="shared" ca="1" si="52"/>
        <v>0</v>
      </c>
      <c r="I99" s="361">
        <f t="shared" ca="1" si="53"/>
        <v>27600</v>
      </c>
      <c r="J99" s="361">
        <f t="shared" ca="1" si="54"/>
        <v>0</v>
      </c>
      <c r="K99" s="362">
        <f t="shared" ca="1" si="55"/>
        <v>27600</v>
      </c>
    </row>
    <row r="100" spans="2:11">
      <c r="B100" s="498">
        <v>8</v>
      </c>
      <c r="C100" s="499" t="s">
        <v>1614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Mtr</v>
      </c>
      <c r="F100" s="501">
        <f>F92*4.8</f>
        <v>9.6</v>
      </c>
      <c r="G100" s="360">
        <f ca="1">IF(ISERROR(OFFSET('HARGA SATUAN'!$I$6,MATCH(RAB!C100,'HARGA SATUAN'!$C$7:$C$1492,0),0)),0,OFFSET('HARGA SATUAN'!$I$6,MATCH(RAB!C100,'HARGA SATUAN'!$C$7:$C$1492,0),0))</f>
        <v>23310</v>
      </c>
      <c r="H100" s="361">
        <f t="shared" ca="1" si="52"/>
        <v>0</v>
      </c>
      <c r="I100" s="361">
        <f t="shared" ca="1" si="53"/>
        <v>223776</v>
      </c>
      <c r="J100" s="361">
        <f t="shared" ca="1" si="54"/>
        <v>0</v>
      </c>
      <c r="K100" s="362">
        <f t="shared" ca="1" si="55"/>
        <v>223776</v>
      </c>
    </row>
    <row r="101" spans="2:11">
      <c r="B101" s="498">
        <v>9</v>
      </c>
      <c r="C101" s="499" t="s">
        <v>736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01">
        <f>F92*1</f>
        <v>2</v>
      </c>
      <c r="G101" s="360">
        <f ca="1">IF(ISERROR(OFFSET('HARGA SATUAN'!$I$6,MATCH(RAB!C101,'HARGA SATUAN'!$C$7:$C$1492,0),0)),0,OFFSET('HARGA SATUAN'!$I$6,MATCH(RAB!C101,'HARGA SATUAN'!$C$7:$C$1492,0),0))</f>
        <v>65400</v>
      </c>
      <c r="H101" s="361">
        <f t="shared" ca="1" si="52"/>
        <v>0</v>
      </c>
      <c r="I101" s="361">
        <f t="shared" ca="1" si="53"/>
        <v>0</v>
      </c>
      <c r="J101" s="361">
        <f t="shared" ca="1" si="54"/>
        <v>130800</v>
      </c>
      <c r="K101" s="362">
        <f t="shared" ca="1" si="55"/>
        <v>130800</v>
      </c>
    </row>
    <row r="102" spans="2:11">
      <c r="B102" s="494"/>
      <c r="C102" s="497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502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52"/>
        <v>0</v>
      </c>
      <c r="I102" s="361">
        <f t="shared" ca="1" si="53"/>
        <v>0</v>
      </c>
      <c r="J102" s="361">
        <f t="shared" ca="1" si="54"/>
        <v>0</v>
      </c>
      <c r="K102" s="362">
        <f t="shared" ca="1" si="55"/>
        <v>0</v>
      </c>
    </row>
    <row r="103" spans="2:11">
      <c r="B103" s="495" t="s">
        <v>1609</v>
      </c>
      <c r="C103" s="500" t="s">
        <v>1615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368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ref="H103:H109" ca="1" si="56">IF(OR(D103="MDU",D103="MDU-KD"),(IF($O$3="RAB NON MDU","PLN KD",G103*F103)),0)</f>
        <v>0</v>
      </c>
      <c r="I103" s="361">
        <f t="shared" ref="I103:I109" ca="1" si="57">IF(D103="HDW",G103*F103,0)</f>
        <v>0</v>
      </c>
      <c r="J103" s="361">
        <f t="shared" ref="J103:J109" ca="1" si="58">IF(D103="JASA",G103*F103,0)</f>
        <v>0</v>
      </c>
      <c r="K103" s="362">
        <f t="shared" ref="K103:K109" ca="1" si="59">SUM(H103:J103)</f>
        <v>0</v>
      </c>
    </row>
    <row r="104" spans="2:11">
      <c r="B104" s="495"/>
      <c r="C104" s="496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510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56"/>
        <v>0</v>
      </c>
      <c r="I104" s="361">
        <f t="shared" ca="1" si="57"/>
        <v>0</v>
      </c>
      <c r="J104" s="361">
        <f t="shared" ca="1" si="58"/>
        <v>0</v>
      </c>
      <c r="K104" s="362">
        <f t="shared" ca="1" si="59"/>
        <v>0</v>
      </c>
    </row>
    <row r="105" spans="2:11">
      <c r="B105" s="495" t="s">
        <v>1035</v>
      </c>
      <c r="C105" s="496" t="s">
        <v>1628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23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56"/>
        <v>0</v>
      </c>
      <c r="I105" s="361">
        <f t="shared" ca="1" si="57"/>
        <v>0</v>
      </c>
      <c r="J105" s="361">
        <f t="shared" ca="1" si="58"/>
        <v>0</v>
      </c>
      <c r="K105" s="362">
        <f t="shared" ca="1" si="59"/>
        <v>0</v>
      </c>
    </row>
    <row r="106" spans="2:11">
      <c r="B106" s="520">
        <v>1</v>
      </c>
      <c r="C106" s="109" t="s">
        <v>482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23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327600</v>
      </c>
      <c r="H106" s="361">
        <f t="shared" ca="1" si="56"/>
        <v>327600</v>
      </c>
      <c r="I106" s="361">
        <f t="shared" ca="1" si="57"/>
        <v>0</v>
      </c>
      <c r="J106" s="361">
        <f t="shared" ca="1" si="58"/>
        <v>0</v>
      </c>
      <c r="K106" s="362">
        <f t="shared" ca="1" si="59"/>
        <v>327600</v>
      </c>
    </row>
    <row r="107" spans="2:11">
      <c r="B107" s="520">
        <v>2</v>
      </c>
      <c r="C107" s="522" t="s">
        <v>493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23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39000</v>
      </c>
      <c r="H107" s="361">
        <f t="shared" ca="1" si="56"/>
        <v>39000</v>
      </c>
      <c r="I107" s="361">
        <f t="shared" ca="1" si="57"/>
        <v>0</v>
      </c>
      <c r="J107" s="361">
        <f t="shared" ca="1" si="58"/>
        <v>0</v>
      </c>
      <c r="K107" s="362">
        <f t="shared" ca="1" si="59"/>
        <v>39000</v>
      </c>
    </row>
    <row r="108" spans="2:11">
      <c r="B108" s="520">
        <v>3</v>
      </c>
      <c r="C108" s="522" t="s">
        <v>74</v>
      </c>
      <c r="D108" s="358" t="str">
        <f ca="1">IF(ISERROR(OFFSET('HARGA SATUAN'!$D$6,MATCH(RAB!C108,'HARGA SATUAN'!$C$7:$C$1492,0),0)),"",OFFSET('HARGA SATUAN'!$D$6,MATCH(RAB!C108,'HARGA SATUAN'!$C$7:$C$1492,0),0))</f>
        <v>MDU-KD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523">
        <f>F105*35</f>
        <v>35</v>
      </c>
      <c r="G108" s="360">
        <f ca="1">IF(ISERROR(OFFSET('HARGA SATUAN'!$I$6,MATCH(RAB!C108,'HARGA SATUAN'!$C$7:$C$1492,0),0)),0,OFFSET('HARGA SATUAN'!$I$6,MATCH(RAB!C108,'HARGA SATUAN'!$C$7:$C$1492,0),0))</f>
        <v>6600</v>
      </c>
      <c r="H108" s="361">
        <f t="shared" ca="1" si="56"/>
        <v>231000</v>
      </c>
      <c r="I108" s="361">
        <f t="shared" ca="1" si="57"/>
        <v>0</v>
      </c>
      <c r="J108" s="361">
        <f t="shared" ca="1" si="58"/>
        <v>0</v>
      </c>
      <c r="K108" s="362">
        <f t="shared" ca="1" si="59"/>
        <v>231000</v>
      </c>
    </row>
    <row r="109" spans="2:11">
      <c r="B109" s="520">
        <v>4</v>
      </c>
      <c r="C109" s="522" t="s">
        <v>798</v>
      </c>
      <c r="D109" s="358" t="str">
        <f ca="1">IF(ISERROR(OFFSET('HARGA SATUAN'!$D$6,MATCH(RAB!C109,'HARGA SATUAN'!$C$7:$C$1492,0),0)),"",OFFSET('HARGA SATUAN'!$D$6,MATCH(RAB!C109,'HARGA SATUAN'!$C$7:$C$1492,0),0))</f>
        <v>JASA</v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523">
        <f>F105*1</f>
        <v>1</v>
      </c>
      <c r="G109" s="360">
        <f ca="1">IF(ISERROR(OFFSET('HARGA SATUAN'!$I$6,MATCH(RAB!C109,'HARGA SATUAN'!$C$7:$C$1492,0),0)),0,OFFSET('HARGA SATUAN'!$I$6,MATCH(RAB!C109,'HARGA SATUAN'!$C$7:$C$1492,0),0))</f>
        <v>54400</v>
      </c>
      <c r="H109" s="361">
        <f t="shared" ca="1" si="56"/>
        <v>0</v>
      </c>
      <c r="I109" s="361">
        <f t="shared" ca="1" si="57"/>
        <v>0</v>
      </c>
      <c r="J109" s="361">
        <f t="shared" ca="1" si="58"/>
        <v>54400</v>
      </c>
      <c r="K109" s="362">
        <f t="shared" ca="1" si="59"/>
        <v>54400</v>
      </c>
    </row>
    <row r="110" spans="2:11">
      <c r="B110" s="374"/>
      <c r="C110" s="509"/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368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ref="H110:H122" ca="1" si="60">IF(OR(D110="MDU",D110="MDU-KD"),(IF($O$3="RAB NON MDU","PLN KD",G110*F110)),0)</f>
        <v>0</v>
      </c>
      <c r="I110" s="361">
        <f t="shared" ref="I110:I122" ca="1" si="61">IF(D110="HDW",G110*F110,0)</f>
        <v>0</v>
      </c>
      <c r="J110" s="361">
        <f t="shared" ref="J110:J122" ca="1" si="62">IF(D110="JASA",G110*F110,0)</f>
        <v>0</v>
      </c>
      <c r="K110" s="362">
        <f t="shared" ref="K110:K122" ca="1" si="63">SUM(H110:J110)</f>
        <v>0</v>
      </c>
    </row>
    <row r="111" spans="2:11">
      <c r="B111" s="520" t="s">
        <v>1035</v>
      </c>
      <c r="C111" s="522" t="s">
        <v>1627</v>
      </c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523">
        <v>1</v>
      </c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60"/>
        <v>0</v>
      </c>
      <c r="I111" s="361">
        <f t="shared" ca="1" si="61"/>
        <v>0</v>
      </c>
      <c r="J111" s="361">
        <f t="shared" ca="1" si="62"/>
        <v>0</v>
      </c>
      <c r="K111" s="362">
        <f t="shared" ca="1" si="63"/>
        <v>0</v>
      </c>
    </row>
    <row r="112" spans="2:11">
      <c r="B112" s="520">
        <v>1</v>
      </c>
      <c r="C112" s="522" t="s">
        <v>115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Set</v>
      </c>
      <c r="F112" s="523">
        <f>F111*1</f>
        <v>1</v>
      </c>
      <c r="G112" s="360">
        <f ca="1">IF(ISERROR(OFFSET('HARGA SATUAN'!$I$6,MATCH(RAB!C112,'HARGA SATUAN'!$C$7:$C$1492,0),0)),0,OFFSET('HARGA SATUAN'!$I$6,MATCH(RAB!C112,'HARGA SATUAN'!$C$7:$C$1492,0),0))</f>
        <v>11500</v>
      </c>
      <c r="H112" s="361">
        <f t="shared" ca="1" si="60"/>
        <v>0</v>
      </c>
      <c r="I112" s="361">
        <f t="shared" ca="1" si="61"/>
        <v>11500</v>
      </c>
      <c r="J112" s="361">
        <f t="shared" ca="1" si="62"/>
        <v>0</v>
      </c>
      <c r="K112" s="362">
        <f t="shared" ca="1" si="63"/>
        <v>11500</v>
      </c>
    </row>
    <row r="113" spans="2:13">
      <c r="B113" s="520">
        <v>2</v>
      </c>
      <c r="C113" s="522" t="s">
        <v>145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23">
        <f>F111*1</f>
        <v>1</v>
      </c>
      <c r="G113" s="360">
        <f ca="1">IF(ISERROR(OFFSET('HARGA SATUAN'!$I$6,MATCH(RAB!C113,'HARGA SATUAN'!$C$7:$C$1492,0),0)),0,OFFSET('HARGA SATUAN'!$I$6,MATCH(RAB!C113,'HARGA SATUAN'!$C$7:$C$1492,0),0))</f>
        <v>6200</v>
      </c>
      <c r="H113" s="361">
        <f t="shared" ca="1" si="60"/>
        <v>0</v>
      </c>
      <c r="I113" s="361">
        <f t="shared" ca="1" si="61"/>
        <v>6200</v>
      </c>
      <c r="J113" s="361">
        <f t="shared" ca="1" si="62"/>
        <v>0</v>
      </c>
      <c r="K113" s="362">
        <f t="shared" ca="1" si="63"/>
        <v>6200</v>
      </c>
    </row>
    <row r="114" spans="2:13">
      <c r="B114" s="520">
        <v>3</v>
      </c>
      <c r="C114" s="522" t="s">
        <v>587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Btg</v>
      </c>
      <c r="F114" s="523">
        <f>F111*1</f>
        <v>1</v>
      </c>
      <c r="G114" s="360">
        <f ca="1">IF(ISERROR(OFFSET('HARGA SATUAN'!$I$6,MATCH(RAB!C114,'HARGA SATUAN'!$C$7:$C$1492,0),0)),0,OFFSET('HARGA SATUAN'!$I$6,MATCH(RAB!C114,'HARGA SATUAN'!$C$7:$C$1492,0),0))</f>
        <v>45796</v>
      </c>
      <c r="H114" s="361">
        <f t="shared" ca="1" si="60"/>
        <v>0</v>
      </c>
      <c r="I114" s="361">
        <f t="shared" ca="1" si="61"/>
        <v>45796</v>
      </c>
      <c r="J114" s="361">
        <f t="shared" ca="1" si="62"/>
        <v>0</v>
      </c>
      <c r="K114" s="362">
        <f t="shared" ca="1" si="63"/>
        <v>45796</v>
      </c>
    </row>
    <row r="115" spans="2:13">
      <c r="B115" s="520">
        <v>4</v>
      </c>
      <c r="C115" s="522" t="s">
        <v>118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Set</v>
      </c>
      <c r="F115" s="523">
        <f>F111*1</f>
        <v>1</v>
      </c>
      <c r="G115" s="360">
        <f ca="1">IF(ISERROR(OFFSET('HARGA SATUAN'!$I$6,MATCH(RAB!C115,'HARGA SATUAN'!$C$7:$C$1492,0),0)),0,OFFSET('HARGA SATUAN'!$I$6,MATCH(RAB!C115,'HARGA SATUAN'!$C$7:$C$1492,0),0))</f>
        <v>5300</v>
      </c>
      <c r="H115" s="361">
        <f t="shared" ca="1" si="60"/>
        <v>0</v>
      </c>
      <c r="I115" s="361">
        <f t="shared" ca="1" si="61"/>
        <v>5300</v>
      </c>
      <c r="J115" s="361">
        <f t="shared" ca="1" si="62"/>
        <v>0</v>
      </c>
      <c r="K115" s="362">
        <f t="shared" ca="1" si="63"/>
        <v>5300</v>
      </c>
    </row>
    <row r="116" spans="2:13">
      <c r="B116" s="520">
        <v>5</v>
      </c>
      <c r="C116" s="522" t="s">
        <v>117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23">
        <f>F111*1</f>
        <v>1</v>
      </c>
      <c r="G116" s="360">
        <f ca="1">IF(ISERROR(OFFSET('HARGA SATUAN'!$I$6,MATCH(RAB!C116,'HARGA SATUAN'!$C$7:$C$1492,0),0)),0,OFFSET('HARGA SATUAN'!$I$6,MATCH(RAB!C116,'HARGA SATUAN'!$C$7:$C$1492,0),0))</f>
        <v>58600</v>
      </c>
      <c r="H116" s="361">
        <f t="shared" ca="1" si="60"/>
        <v>0</v>
      </c>
      <c r="I116" s="361">
        <f t="shared" ca="1" si="61"/>
        <v>58600</v>
      </c>
      <c r="J116" s="361">
        <f t="shared" ca="1" si="62"/>
        <v>0</v>
      </c>
      <c r="K116" s="362">
        <f t="shared" ca="1" si="63"/>
        <v>58600</v>
      </c>
    </row>
    <row r="117" spans="2:13">
      <c r="B117" s="520">
        <v>6</v>
      </c>
      <c r="C117" s="109" t="s">
        <v>1154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Set</v>
      </c>
      <c r="F117" s="523">
        <f>F111*1</f>
        <v>1</v>
      </c>
      <c r="G117" s="360">
        <f ca="1">IF(ISERROR(OFFSET('HARGA SATUAN'!$I$6,MATCH(RAB!C117,'HARGA SATUAN'!$C$7:$C$1492,0),0)),0,OFFSET('HARGA SATUAN'!$I$6,MATCH(RAB!C117,'HARGA SATUAN'!$C$7:$C$1492,0),0))</f>
        <v>3888</v>
      </c>
      <c r="H117" s="361">
        <f t="shared" ca="1" si="60"/>
        <v>0</v>
      </c>
      <c r="I117" s="361">
        <f t="shared" ca="1" si="61"/>
        <v>3888</v>
      </c>
      <c r="J117" s="361">
        <f t="shared" ca="1" si="62"/>
        <v>0</v>
      </c>
      <c r="K117" s="362">
        <f t="shared" ca="1" si="63"/>
        <v>3888</v>
      </c>
    </row>
    <row r="118" spans="2:13">
      <c r="B118" s="520">
        <v>7</v>
      </c>
      <c r="C118" s="522" t="s">
        <v>119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23">
        <f>F111*2</f>
        <v>2</v>
      </c>
      <c r="G118" s="360">
        <f ca="1">IF(ISERROR(OFFSET('HARGA SATUAN'!$I$6,MATCH(RAB!C118,'HARGA SATUAN'!$C$7:$C$1492,0),0)),0,OFFSET('HARGA SATUAN'!$I$6,MATCH(RAB!C118,'HARGA SATUAN'!$C$7:$C$1492,0),0))</f>
        <v>8900</v>
      </c>
      <c r="H118" s="361">
        <f t="shared" ca="1" si="60"/>
        <v>0</v>
      </c>
      <c r="I118" s="361">
        <f t="shared" ca="1" si="61"/>
        <v>17800</v>
      </c>
      <c r="J118" s="361">
        <f t="shared" ca="1" si="62"/>
        <v>0</v>
      </c>
      <c r="K118" s="362">
        <f t="shared" ca="1" si="63"/>
        <v>17800</v>
      </c>
    </row>
    <row r="119" spans="2:13">
      <c r="B119" s="374"/>
      <c r="C119" s="509"/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/>
      </c>
      <c r="F119" s="368"/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60"/>
        <v>0</v>
      </c>
      <c r="I119" s="361">
        <f t="shared" ca="1" si="61"/>
        <v>0</v>
      </c>
      <c r="J119" s="361">
        <f t="shared" ca="1" si="62"/>
        <v>0</v>
      </c>
      <c r="K119" s="362">
        <f t="shared" ca="1" si="63"/>
        <v>0</v>
      </c>
    </row>
    <row r="120" spans="2:13">
      <c r="B120" s="366" t="s">
        <v>22</v>
      </c>
      <c r="C120" s="367" t="s">
        <v>1611</v>
      </c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368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60"/>
        <v>0</v>
      </c>
      <c r="I120" s="361">
        <f t="shared" ca="1" si="61"/>
        <v>0</v>
      </c>
      <c r="J120" s="361">
        <f t="shared" ca="1" si="62"/>
        <v>0</v>
      </c>
      <c r="K120" s="362">
        <f t="shared" ca="1" si="63"/>
        <v>0</v>
      </c>
    </row>
    <row r="121" spans="2:13">
      <c r="B121" s="374"/>
      <c r="C121" s="373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368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60"/>
        <v>0</v>
      </c>
      <c r="I121" s="361">
        <f t="shared" ca="1" si="61"/>
        <v>0</v>
      </c>
      <c r="J121" s="361">
        <f t="shared" ca="1" si="62"/>
        <v>0</v>
      </c>
      <c r="K121" s="362">
        <f t="shared" ca="1" si="63"/>
        <v>0</v>
      </c>
    </row>
    <row r="122" spans="2:13">
      <c r="B122" s="375"/>
      <c r="C122" s="376" t="s">
        <v>475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368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60"/>
        <v>0</v>
      </c>
      <c r="I122" s="361">
        <f t="shared" ca="1" si="61"/>
        <v>0</v>
      </c>
      <c r="J122" s="361">
        <f t="shared" ca="1" si="62"/>
        <v>0</v>
      </c>
      <c r="K122" s="362">
        <f t="shared" ca="1" si="63"/>
        <v>0</v>
      </c>
    </row>
    <row r="123" spans="2:13">
      <c r="B123" s="378">
        <v>1</v>
      </c>
      <c r="C123" s="379" t="s">
        <v>1091</v>
      </c>
      <c r="D123" s="380" t="str">
        <f ca="1">IF(ISERROR(OFFSET('HARGA SATUAN'!$D$6,MATCH(RAB!C123,'HARGA SATUAN'!$C$7:$C$1492,0),0)),"",OFFSET('HARGA SATUAN'!$D$6,MATCH(RAB!C123,'HARGA SATUAN'!$C$7:$C$1492,0),0))</f>
        <v>JASA</v>
      </c>
      <c r="E123" s="381" t="str">
        <f ca="1">IF(ISERROR(OFFSET('HARGA SATUAN'!$E$6,MATCH(RAB!C123,'HARGA SATUAN'!$C$7:$C$1492,0),0)),"",OFFSET('HARGA SATUAN'!$E$6,MATCH(RAB!C123,'HARGA SATUAN'!$C$7:$C$1492,0),0))</f>
        <v>Lot</v>
      </c>
      <c r="F123" s="382">
        <v>1</v>
      </c>
      <c r="G123" s="383">
        <f ca="1">IF(ISERROR(OFFSET('HARGA SATUAN'!$I$6,MATCH(RAB!C123,'HARGA SATUAN'!$C$7:$C$1492,0),0)),0,OFFSET('HARGA SATUAN'!$I$6,MATCH(RAB!C123,'HARGA SATUAN'!$C$7:$C$1492,0),0))</f>
        <v>2.5000000000000001E-2</v>
      </c>
      <c r="H123" s="384"/>
      <c r="I123" s="384"/>
      <c r="J123" s="384">
        <f ca="1">SUM(K15:K21)*G123</f>
        <v>259450</v>
      </c>
      <c r="K123" s="385">
        <f ca="1">SUM(H123:J123)</f>
        <v>259450</v>
      </c>
    </row>
    <row r="124" spans="2:13">
      <c r="B124" s="386"/>
      <c r="C124" s="387"/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IF(ISERROR(OFFSET('HARGA SATUAN'!$E$6,MATCH(RAB!C124,'HARGA SATUAN'!$C$7:$C$1492,0),0)),"",OFFSET('HARGA SATUAN'!$E$6,MATCH(RAB!C124,'HARGA SATUAN'!$C$7:$C$1492,0),0))</f>
        <v/>
      </c>
      <c r="F124" s="377"/>
      <c r="G124" s="360" t="str">
        <f ca="1">IF(ISERROR(OFFSET('HARGA SATUAN'!$I$6,MATCH(RAB!C124,'HARGA SATUAN'!$C$7:$C$1492,0),0)),"",OFFSET('HARGA SATUAN'!$I$6,MATCH(RAB!C124,'HARGA SATUAN'!$C$7:$C$1492,0),0))</f>
        <v/>
      </c>
      <c r="H124" s="361">
        <f ca="1">IF(OR(D124="MDU",D124="MDU-KD"),IF(G124="PLN",0,G124*F124),0)</f>
        <v>0</v>
      </c>
      <c r="I124" s="361">
        <f ca="1">IF(D124="HDW",IF(G124="PLN",0,G124*F124),0)</f>
        <v>0</v>
      </c>
      <c r="J124" s="361">
        <f ca="1">IF(D124="JASA",IF(G124="PLN",0,G124*F124),0)</f>
        <v>0</v>
      </c>
      <c r="K124" s="362">
        <f ca="1">SUM(H124:J124)</f>
        <v>0</v>
      </c>
    </row>
    <row r="125" spans="2:13" ht="15.75" thickBot="1">
      <c r="B125" s="388"/>
      <c r="C125" s="389"/>
      <c r="D125" s="390"/>
      <c r="E125" s="391"/>
      <c r="F125" s="391"/>
      <c r="G125" s="391"/>
      <c r="H125" s="392"/>
      <c r="I125" s="392"/>
      <c r="J125" s="392"/>
      <c r="K125" s="393"/>
    </row>
    <row r="126" spans="2:13">
      <c r="B126" s="394"/>
      <c r="C126" s="626" t="s">
        <v>1008</v>
      </c>
      <c r="D126" s="626"/>
      <c r="E126" s="626"/>
      <c r="F126" s="626"/>
      <c r="G126" s="395" t="s">
        <v>9</v>
      </c>
      <c r="H126" s="396">
        <f ca="1">SUM(H14:H124)</f>
        <v>35182650</v>
      </c>
      <c r="I126" s="396">
        <f ca="1">SUM(I14:I124)</f>
        <v>14543319.24</v>
      </c>
      <c r="J126" s="396">
        <f ca="1">SUM(J14:J124)</f>
        <v>1332850</v>
      </c>
      <c r="K126" s="396">
        <f ca="1">SUM(K14:K124)</f>
        <v>51058819.240000002</v>
      </c>
    </row>
    <row r="127" spans="2:13">
      <c r="B127" s="398"/>
      <c r="C127" s="642" t="s">
        <v>1457</v>
      </c>
      <c r="D127" s="642"/>
      <c r="E127" s="642"/>
      <c r="F127" s="642"/>
      <c r="G127" s="399" t="s">
        <v>9</v>
      </c>
      <c r="H127" s="400">
        <f ca="1">H126*0.11</f>
        <v>3870091.5</v>
      </c>
      <c r="I127" s="400">
        <f ca="1">I126*0.11</f>
        <v>1599765.1163999999</v>
      </c>
      <c r="J127" s="400">
        <f ca="1">J126*0.11</f>
        <v>146613.5</v>
      </c>
      <c r="K127" s="400">
        <f ca="1">K126*0.11</f>
        <v>5616470.1164000006</v>
      </c>
    </row>
    <row r="128" spans="2:13" ht="15.75" thickBot="1">
      <c r="B128" s="398"/>
      <c r="C128" s="640" t="s">
        <v>463</v>
      </c>
      <c r="D128" s="640"/>
      <c r="E128" s="640"/>
      <c r="F128" s="640"/>
      <c r="G128" s="401" t="s">
        <v>9</v>
      </c>
      <c r="H128" s="402">
        <f ca="1">SUM(H126:H127)</f>
        <v>39052741.5</v>
      </c>
      <c r="I128" s="402">
        <f ca="1">SUM(I126:I127)</f>
        <v>16143084.3564</v>
      </c>
      <c r="J128" s="401">
        <f ca="1">SUM(J126:J127)</f>
        <v>1479463.5</v>
      </c>
      <c r="K128" s="401">
        <f ca="1">SUM(K126:K127)</f>
        <v>56675289.356400006</v>
      </c>
      <c r="M128" s="484"/>
    </row>
    <row r="129" spans="2:11">
      <c r="B129" s="643" t="str">
        <f ca="1">"Terbilang : "&amp;PROPER(IF(K128=0,"nol",IF(K128&lt;0,"minus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IF(--MID(TEXT(ABS(K128),"000000000000000"),1,3)=0,"",MID(TEXT(ABS(K128),"000000000000000"),1,1)&amp;" ratus "&amp;MID(TEXT(ABS(K128),"000000000000000"),2,1)&amp;" puluh "&amp;MID(TEXT(ABS(K128),"000000000000000"),3,1)&amp;" trilyun ")&amp; IF(--MID(TEXT(ABS(K128),"000000000000000"),4,3)=0,"",MID(TEXT(ABS(K128),"000000000000000"),4,1)&amp;" ratus "&amp;MID(TEXT(ABS(K128),"000000000000000"),5,1)&amp;" puluh "&amp;MID(TEXT(ABS(K128),"000000000000000"),6,1)&amp;" milyar ")&amp; IF(--MID(TEXT(ABS(K128),"000000000000000"),7,3)=0,"",MID(TEXT(ABS(K128),"000000000000000"),7,1)&amp;" ratus "&amp;MID(TEXT(ABS(K128),"000000000000000"),8,1)&amp;" puluh "&amp;MID(TEXT(ABS(K128),"000000000000000"),9,1)&amp;" juta ")&amp; IF(--MID(TEXT(ABS(K128),"000000000000000"),10,3)=0,"",IF(--MID(TEXT(ABS(K128),"000000000000000"),10,3)=1,"*",MID(TEXT(ABS(K128),"000000000000000"),10,1)&amp;" ratus "&amp;MID(TEXT(ABS(K128),"000000000000000"),11,1)&amp;" puluh ")&amp;MID(TEXT(ABS(K128),"000000000000000"),12,1)&amp;" ribu ")&amp; IF(--MID(TEXT(ABS(K128),"000000000000000"),13,3)=0,"",MID(TEXT(ABS(K128),"000000000000000"),13,1)&amp;" ratus "&amp;MID(TEXT(ABS(K128),"000000000000000"),14,1)&amp;" puluh "&amp;MID(TEXT(ABS(K128),"000000000000000"),15,1)),1,"satu"),2,"dua"),3,"tiga"),4,"empat"),5,"lima"),6,"enam"),7,"tujuh"),8,"delapan"),9,"sembilan"),"0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Enam Juta Enam Ratus Tujuh Puluh Lima Ribu Dua Ratus Delapan Puluh Sembilan Rupiah</v>
      </c>
      <c r="C129" s="644"/>
      <c r="D129" s="644"/>
      <c r="E129" s="644"/>
      <c r="F129" s="644"/>
      <c r="G129" s="644"/>
      <c r="H129" s="644"/>
      <c r="I129" s="644"/>
      <c r="J129" s="644"/>
      <c r="K129" s="645"/>
    </row>
    <row r="130" spans="2:11">
      <c r="B130" s="646"/>
      <c r="C130" s="647"/>
      <c r="D130" s="647"/>
      <c r="E130" s="647"/>
      <c r="F130" s="647"/>
      <c r="G130" s="647"/>
      <c r="H130" s="647"/>
      <c r="I130" s="647"/>
      <c r="J130" s="647"/>
      <c r="K130" s="648"/>
    </row>
    <row r="131" spans="2:11" ht="15.75" thickBot="1">
      <c r="B131" s="403" t="str">
        <f>"Harga yang dipakai adalah "&amp;'HARGA SATUAN'!I5&amp;""</f>
        <v>Harga yang dipakai adalah RAB HSS 2023</v>
      </c>
      <c r="C131" s="404"/>
      <c r="D131" s="405"/>
      <c r="E131" s="405"/>
      <c r="F131" s="405"/>
      <c r="G131" s="406"/>
      <c r="H131" s="406"/>
      <c r="I131" s="406"/>
      <c r="J131" s="406"/>
      <c r="K131" s="407"/>
    </row>
    <row r="132" spans="2:11">
      <c r="C132" s="408"/>
      <c r="E132" s="410"/>
      <c r="F132" s="410"/>
      <c r="G132" s="410"/>
    </row>
    <row r="133" spans="2:11">
      <c r="C133" s="337"/>
      <c r="E133" s="410"/>
      <c r="F133" s="410"/>
      <c r="G133" s="410"/>
      <c r="H133" s="649"/>
      <c r="I133" s="649"/>
      <c r="J133" s="650"/>
      <c r="K133" s="650"/>
    </row>
    <row r="134" spans="2:11">
      <c r="C134" s="337"/>
      <c r="E134" s="410"/>
      <c r="F134" s="410"/>
      <c r="G134" s="410"/>
      <c r="H134" s="411"/>
      <c r="I134" s="639" t="s">
        <v>1638</v>
      </c>
      <c r="J134" s="639"/>
      <c r="K134" s="639"/>
    </row>
    <row r="135" spans="2:11">
      <c r="C135" s="337"/>
      <c r="E135" s="410"/>
      <c r="F135" s="410"/>
      <c r="G135" s="410"/>
      <c r="H135" s="411"/>
      <c r="I135" s="639" t="s">
        <v>1639</v>
      </c>
      <c r="J135" s="639"/>
      <c r="K135" s="639"/>
    </row>
    <row r="136" spans="2:11">
      <c r="C136" s="337"/>
      <c r="E136" s="410"/>
      <c r="F136" s="410"/>
      <c r="G136" s="410"/>
      <c r="H136" s="412"/>
      <c r="I136" s="413"/>
      <c r="J136" s="413"/>
      <c r="K136" s="413"/>
    </row>
    <row r="137" spans="2:11">
      <c r="C137" s="337"/>
      <c r="E137" s="410"/>
      <c r="F137" s="410"/>
      <c r="G137" s="410"/>
      <c r="H137" s="412"/>
      <c r="I137" s="412"/>
      <c r="J137" s="412"/>
      <c r="K137" s="412"/>
    </row>
    <row r="138" spans="2:11">
      <c r="C138" s="337"/>
      <c r="E138" s="410"/>
      <c r="F138" s="410"/>
      <c r="G138" s="410"/>
      <c r="H138" s="412"/>
      <c r="I138" s="412"/>
      <c r="J138" s="412"/>
      <c r="K138" s="412"/>
    </row>
    <row r="139" spans="2:11">
      <c r="C139" s="337"/>
      <c r="E139" s="410"/>
      <c r="F139" s="410"/>
      <c r="G139" s="410"/>
      <c r="H139" s="412"/>
      <c r="I139" s="412"/>
      <c r="J139" s="412"/>
      <c r="K139" s="412"/>
    </row>
    <row r="140" spans="2:11">
      <c r="C140" s="337"/>
      <c r="E140" s="410"/>
      <c r="F140" s="410"/>
      <c r="G140" s="410"/>
      <c r="H140" s="414"/>
      <c r="I140" s="639" t="s">
        <v>1640</v>
      </c>
      <c r="J140" s="639"/>
      <c r="K140" s="639"/>
    </row>
    <row r="141" spans="2:11">
      <c r="C141" s="408"/>
      <c r="E141" s="410"/>
      <c r="F141" s="410"/>
      <c r="G141" s="410"/>
      <c r="H141" s="412"/>
      <c r="I141" s="412"/>
      <c r="J141" s="412"/>
      <c r="K141" s="412"/>
    </row>
    <row r="142" spans="2:11">
      <c r="C142" s="408"/>
      <c r="E142" s="410"/>
      <c r="F142" s="410"/>
      <c r="G142" s="410"/>
      <c r="H142" s="412"/>
      <c r="I142" s="412"/>
      <c r="J142" s="412"/>
      <c r="K142" s="412"/>
    </row>
    <row r="143" spans="2:11">
      <c r="C143" s="408"/>
      <c r="E143" s="410"/>
      <c r="F143" s="410"/>
      <c r="G143" s="410"/>
      <c r="H143" s="412"/>
      <c r="I143" s="412"/>
      <c r="J143" s="412"/>
      <c r="K143" s="412"/>
    </row>
  </sheetData>
  <sheetProtection sort="0" autoFilter="0"/>
  <protectedRanges>
    <protectedRange sqref="B121 B104:B119" name="Range1_1"/>
    <protectedRange sqref="F47:F62 F103:F122 F68:F70 F77 F14:F45" name="Range1_1_2_2"/>
    <protectedRange sqref="C121 C104:C107 C109:C119" name="Range1_1_1"/>
    <protectedRange sqref="B91 B80:C81 B86 B102:C103 B82 B79 B70:C70 B83:C85 B87:C90 B77:C78" name="Range1_6_2"/>
    <protectedRange sqref="C91" name="Range1_1_3_2"/>
    <protectedRange sqref="C86" name="Range1_1_3_3"/>
    <protectedRange sqref="C82" name="Range1_1_3_10"/>
    <protectedRange sqref="C108" name="Range1_1_3_13"/>
    <protectedRange sqref="C17" name="Range1_1_3_14"/>
    <protectedRange sqref="C18:C20" name="Range1_1_3"/>
    <protectedRange sqref="C79" name="Range1_1_3_1"/>
    <protectedRange sqref="G46" name="Range1_3_7"/>
    <protectedRange sqref="C46" name="Range1_1_3_5"/>
    <protectedRange sqref="C45" name="Range1_1_3_6"/>
  </protectedRanges>
  <mergeCells count="22">
    <mergeCell ref="I135:K135"/>
    <mergeCell ref="I140:K140"/>
    <mergeCell ref="C128:F128"/>
    <mergeCell ref="G6:K6"/>
    <mergeCell ref="I134:K134"/>
    <mergeCell ref="C127:F127"/>
    <mergeCell ref="B129:K130"/>
    <mergeCell ref="H133:K133"/>
    <mergeCell ref="H11:K11"/>
    <mergeCell ref="H12:H13"/>
    <mergeCell ref="J12:J13"/>
    <mergeCell ref="K12:K13"/>
    <mergeCell ref="O3:P4"/>
    <mergeCell ref="B4:K4"/>
    <mergeCell ref="C126:F126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 C91 C17:C21">
    <cfRule type="cellIs" dxfId="13" priority="495" operator="equal">
      <formula>0</formula>
    </cfRule>
  </conditionalFormatting>
  <conditionalFormatting sqref="C45:C46">
    <cfRule type="cellIs" dxfId="12" priority="13" operator="equal">
      <formula>0</formula>
    </cfRule>
  </conditionalFormatting>
  <conditionalFormatting sqref="C69">
    <cfRule type="cellIs" dxfId="11" priority="120" operator="equal">
      <formula>0</formula>
    </cfRule>
  </conditionalFormatting>
  <conditionalFormatting sqref="C73">
    <cfRule type="cellIs" dxfId="10" priority="4" operator="equal">
      <formula>0</formula>
    </cfRule>
  </conditionalFormatting>
  <conditionalFormatting sqref="C75">
    <cfRule type="cellIs" dxfId="9" priority="5" operator="equal">
      <formula>0</formula>
    </cfRule>
  </conditionalFormatting>
  <conditionalFormatting sqref="C106">
    <cfRule type="cellIs" dxfId="8" priority="9" operator="equal">
      <formula>0</formula>
    </cfRule>
  </conditionalFormatting>
  <conditionalFormatting sqref="C117">
    <cfRule type="cellIs" dxfId="7" priority="11" operator="equal">
      <formula>0</formula>
    </cfRule>
  </conditionalFormatting>
  <conditionalFormatting sqref="C120">
    <cfRule type="cellIs" dxfId="6" priority="118" operator="equal">
      <formula>0</formula>
    </cfRule>
  </conditionalFormatting>
  <conditionalFormatting sqref="D46:G46">
    <cfRule type="cellIs" dxfId="5" priority="21" operator="equal">
      <formula>0</formula>
    </cfRule>
  </conditionalFormatting>
  <conditionalFormatting sqref="E1:E3 G1:G13 E5:E13 H12:I12 O13 H46:K46 E78:E90 G78:K90 E123:G123 H123:K125 E124:H124 E125:F125 S14:V21 E14:K45">
    <cfRule type="cellIs" dxfId="4" priority="1075" stopIfTrue="1" operator="equal">
      <formula>0</formula>
    </cfRule>
  </conditionalFormatting>
  <conditionalFormatting sqref="E47:K77">
    <cfRule type="cellIs" dxfId="3" priority="2" stopIfTrue="1" operator="equal">
      <formula>0</formula>
    </cfRule>
  </conditionalFormatting>
  <conditionalFormatting sqref="E91:K122">
    <cfRule type="cellIs" dxfId="2" priority="8" stopIfTrue="1" operator="equal">
      <formula>0</formula>
    </cfRule>
  </conditionalFormatting>
  <conditionalFormatting sqref="F79:F90">
    <cfRule type="cellIs" dxfId="1" priority="12" stopIfTrue="1" operator="equal">
      <formula>0</formula>
    </cfRule>
  </conditionalFormatting>
  <conditionalFormatting sqref="G124:G65590 E129:E65590">
    <cfRule type="cellIs" dxfId="0" priority="209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47:F59 C80:C82 C87:C90 F79:F102 F61:F77 H14:K125 F23:F4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6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4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3" t="s">
        <v>1439</v>
      </c>
      <c r="X2" s="654"/>
      <c r="Y2" s="654"/>
      <c r="Z2" s="654"/>
      <c r="AA2" s="654"/>
      <c r="AB2" s="654"/>
      <c r="AC2" s="654"/>
      <c r="AD2" s="655"/>
    </row>
    <row r="3" spans="3:30">
      <c r="C3" s="238"/>
      <c r="W3" s="656"/>
      <c r="X3" s="657"/>
      <c r="Y3" s="657"/>
      <c r="Z3" s="657"/>
      <c r="AA3" s="657"/>
      <c r="AB3" s="657"/>
      <c r="AC3" s="657"/>
      <c r="AD3" s="65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9" t="s">
        <v>990</v>
      </c>
      <c r="Y5" s="659"/>
      <c r="Z5" s="659"/>
      <c r="AA5" s="659" t="s">
        <v>988</v>
      </c>
      <c r="AB5" s="659"/>
      <c r="AC5" s="659" t="s">
        <v>989</v>
      </c>
      <c r="AD5" s="660"/>
    </row>
    <row r="6" spans="3:30">
      <c r="C6" s="238"/>
      <c r="W6" s="241">
        <v>1</v>
      </c>
      <c r="X6" s="659" t="s">
        <v>993</v>
      </c>
      <c r="Y6" s="659"/>
      <c r="Z6" s="659"/>
      <c r="AA6" s="659"/>
      <c r="AB6" s="659"/>
      <c r="AC6" s="659"/>
      <c r="AD6" s="660"/>
    </row>
    <row r="7" spans="3:30">
      <c r="C7" s="238"/>
      <c r="E7" s="490" t="str">
        <f>PETA!C6</f>
        <v>KOORDINAT : -6.934796, 110.751049</v>
      </c>
      <c r="W7" s="241">
        <v>2</v>
      </c>
      <c r="X7" s="659" t="s">
        <v>994</v>
      </c>
      <c r="Y7" s="659"/>
      <c r="Z7" s="659"/>
      <c r="AA7" s="659"/>
      <c r="AB7" s="659"/>
      <c r="AC7" s="659"/>
      <c r="AD7" s="660"/>
    </row>
    <row r="8" spans="3:30">
      <c r="C8" s="238"/>
      <c r="W8" s="241">
        <v>3</v>
      </c>
      <c r="X8" s="659" t="s">
        <v>995</v>
      </c>
      <c r="Y8" s="659"/>
      <c r="Z8" s="659"/>
      <c r="AA8" s="659"/>
      <c r="AB8" s="659"/>
      <c r="AC8" s="659"/>
      <c r="AD8" s="660"/>
    </row>
    <row r="9" spans="3:30">
      <c r="C9" s="238"/>
      <c r="W9" s="241">
        <v>4</v>
      </c>
      <c r="X9" s="659" t="s">
        <v>996</v>
      </c>
      <c r="Y9" s="659"/>
      <c r="Z9" s="659"/>
      <c r="AA9" s="659"/>
      <c r="AB9" s="659"/>
      <c r="AC9" s="659"/>
      <c r="AD9" s="660"/>
    </row>
    <row r="10" spans="3:30">
      <c r="C10" s="238"/>
      <c r="W10" s="241">
        <v>5</v>
      </c>
      <c r="X10" s="659" t="s">
        <v>997</v>
      </c>
      <c r="Y10" s="659"/>
      <c r="Z10" s="659"/>
      <c r="AA10" s="659"/>
      <c r="AB10" s="659"/>
      <c r="AC10" s="659"/>
      <c r="AD10" s="660"/>
    </row>
    <row r="11" spans="3:30">
      <c r="C11" s="238"/>
      <c r="W11" s="241">
        <v>6</v>
      </c>
      <c r="X11" s="659" t="s">
        <v>998</v>
      </c>
      <c r="Y11" s="659"/>
      <c r="Z11" s="659"/>
      <c r="AA11" s="659"/>
      <c r="AB11" s="659"/>
      <c r="AC11" s="659"/>
      <c r="AD11" s="660"/>
    </row>
    <row r="12" spans="3:30">
      <c r="C12" s="238"/>
      <c r="W12" s="241">
        <v>7</v>
      </c>
      <c r="X12" s="659" t="s">
        <v>999</v>
      </c>
      <c r="Y12" s="659"/>
      <c r="Z12" s="659"/>
      <c r="AA12" s="659"/>
      <c r="AB12" s="659"/>
      <c r="AC12" s="659"/>
      <c r="AD12" s="660"/>
    </row>
    <row r="13" spans="3:30" ht="12.75" customHeight="1">
      <c r="C13" s="238"/>
      <c r="W13" s="241">
        <v>8</v>
      </c>
      <c r="X13" s="659" t="s">
        <v>1000</v>
      </c>
      <c r="Y13" s="659"/>
      <c r="Z13" s="659"/>
      <c r="AA13" s="659"/>
      <c r="AB13" s="659"/>
      <c r="AC13" s="659"/>
      <c r="AD13" s="660"/>
    </row>
    <row r="14" spans="3:30">
      <c r="C14" s="238"/>
      <c r="W14" s="241">
        <v>9</v>
      </c>
      <c r="X14" s="659" t="s">
        <v>1001</v>
      </c>
      <c r="Y14" s="659"/>
      <c r="Z14" s="659"/>
      <c r="AA14" s="659"/>
      <c r="AB14" s="659"/>
      <c r="AC14" s="659"/>
      <c r="AD14" s="660"/>
    </row>
    <row r="15" spans="3:30">
      <c r="C15" s="238"/>
      <c r="W15" s="241">
        <v>10</v>
      </c>
      <c r="X15" s="659" t="s">
        <v>1010</v>
      </c>
      <c r="Y15" s="659"/>
      <c r="Z15" s="659"/>
      <c r="AA15" s="659"/>
      <c r="AB15" s="659"/>
      <c r="AC15" s="659"/>
      <c r="AD15" s="660"/>
    </row>
    <row r="16" spans="3:30">
      <c r="C16" s="238"/>
      <c r="W16" s="241">
        <v>11</v>
      </c>
      <c r="X16" s="659" t="s">
        <v>1455</v>
      </c>
      <c r="Y16" s="659"/>
      <c r="Z16" s="659"/>
      <c r="AA16" s="659"/>
      <c r="AB16" s="659"/>
      <c r="AC16" s="659"/>
      <c r="AD16" s="660"/>
    </row>
    <row r="17" spans="3:30">
      <c r="C17" s="238"/>
      <c r="S17" s="242"/>
      <c r="W17" s="241">
        <v>12</v>
      </c>
      <c r="X17" s="659" t="s">
        <v>1011</v>
      </c>
      <c r="Y17" s="659"/>
      <c r="Z17" s="659"/>
      <c r="AA17" s="659"/>
      <c r="AB17" s="659"/>
      <c r="AC17" s="659"/>
      <c r="AD17" s="660"/>
    </row>
    <row r="18" spans="3:30">
      <c r="C18" s="243"/>
      <c r="D18" s="244"/>
      <c r="E18" s="244"/>
      <c r="W18" s="241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1" t="s">
        <v>992</v>
      </c>
      <c r="X20" s="662"/>
      <c r="Y20" s="662"/>
      <c r="Z20" s="662"/>
      <c r="AA20" s="662"/>
      <c r="AB20" s="662"/>
      <c r="AC20" s="662"/>
      <c r="AD20" s="663"/>
    </row>
    <row r="21" spans="3:30">
      <c r="C21" s="238"/>
      <c r="W21" s="664" t="s">
        <v>985</v>
      </c>
      <c r="X21" s="665"/>
      <c r="Y21" s="665"/>
      <c r="Z21" s="666"/>
      <c r="AA21" s="667" t="s">
        <v>986</v>
      </c>
      <c r="AB21" s="668"/>
      <c r="AC21" s="668"/>
      <c r="AD21" s="669"/>
    </row>
    <row r="22" spans="3:30">
      <c r="C22" s="238"/>
      <c r="W22" s="670"/>
      <c r="X22" s="671"/>
      <c r="Y22" s="492"/>
      <c r="Z22" s="493"/>
      <c r="AA22" s="672"/>
      <c r="AB22" s="673"/>
      <c r="AC22" s="248"/>
      <c r="AD22" s="249"/>
    </row>
    <row r="23" spans="3:30">
      <c r="C23" s="238"/>
      <c r="W23" s="670"/>
      <c r="X23" s="671"/>
      <c r="Y23" s="492"/>
      <c r="Z23" s="493"/>
      <c r="AA23" s="674"/>
      <c r="AB23" s="675"/>
      <c r="AC23" s="248"/>
      <c r="AD23" s="249"/>
    </row>
    <row r="24" spans="3:30">
      <c r="C24" s="238"/>
      <c r="W24" s="680"/>
      <c r="X24" s="681"/>
      <c r="Y24" s="246"/>
      <c r="Z24" s="247"/>
      <c r="AA24" s="682"/>
      <c r="AB24" s="683"/>
      <c r="AC24" s="248"/>
      <c r="AD24" s="249"/>
    </row>
    <row r="25" spans="3:30">
      <c r="C25" s="238"/>
      <c r="W25" s="680"/>
      <c r="X25" s="681"/>
      <c r="Y25" s="246"/>
      <c r="Z25" s="247"/>
      <c r="AA25" s="674"/>
      <c r="AB25" s="675"/>
      <c r="AC25" s="248"/>
      <c r="AD25" s="249"/>
    </row>
    <row r="26" spans="3:30">
      <c r="C26" s="238"/>
      <c r="W26" s="480"/>
      <c r="X26" s="481"/>
      <c r="Y26" s="246"/>
      <c r="Z26" s="247"/>
      <c r="AA26" s="674"/>
      <c r="AB26" s="675"/>
      <c r="AC26" s="248"/>
      <c r="AD26" s="249"/>
    </row>
    <row r="27" spans="3:30">
      <c r="C27" s="238"/>
      <c r="W27" s="480"/>
      <c r="X27" s="481"/>
      <c r="Y27" s="246"/>
      <c r="Z27" s="247"/>
      <c r="AA27" s="678"/>
      <c r="AB27" s="679"/>
      <c r="AC27" s="248"/>
      <c r="AD27" s="249"/>
    </row>
    <row r="28" spans="3:30">
      <c r="C28" s="238"/>
      <c r="W28" s="480"/>
      <c r="X28" s="481"/>
      <c r="Y28" s="246"/>
      <c r="Z28" s="247"/>
      <c r="AA28" s="678"/>
      <c r="AB28" s="679"/>
      <c r="AC28" s="248"/>
      <c r="AD28" s="249"/>
    </row>
    <row r="29" spans="3:30">
      <c r="C29" s="238"/>
      <c r="W29" s="480"/>
      <c r="X29" s="481"/>
      <c r="Y29" s="246"/>
      <c r="Z29" s="247"/>
      <c r="AA29" s="678"/>
      <c r="AB29" s="67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8"/>
      <c r="AB30" s="67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8"/>
      <c r="AB31" s="67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8"/>
      <c r="AB32" s="679"/>
      <c r="AC32" s="248"/>
      <c r="AD32" s="249"/>
    </row>
    <row r="33" spans="3:30">
      <c r="C33" s="238"/>
      <c r="W33" s="480"/>
      <c r="X33" s="481"/>
      <c r="Y33" s="246"/>
      <c r="Z33" s="247"/>
      <c r="AA33" s="678"/>
      <c r="AB33" s="679"/>
      <c r="AC33" s="248"/>
      <c r="AD33" s="249"/>
    </row>
    <row r="34" spans="3:30">
      <c r="C34" s="238"/>
      <c r="W34" s="480"/>
      <c r="X34" s="481"/>
      <c r="Y34" s="246"/>
      <c r="Z34" s="247"/>
      <c r="AA34" s="678"/>
      <c r="AB34" s="679"/>
      <c r="AC34" s="248"/>
      <c r="AD34" s="249"/>
    </row>
    <row r="35" spans="3:30">
      <c r="C35" s="238"/>
      <c r="W35" s="680"/>
      <c r="X35" s="693"/>
      <c r="Y35" s="246"/>
      <c r="Z35" s="247"/>
      <c r="AA35" s="678"/>
      <c r="AB35" s="679"/>
      <c r="AC35" s="248"/>
      <c r="AD35" s="249"/>
    </row>
    <row r="36" spans="3:30">
      <c r="C36" s="238"/>
      <c r="W36" s="684"/>
      <c r="X36" s="685"/>
      <c r="Y36" s="246"/>
      <c r="Z36" s="251"/>
      <c r="AA36" s="686"/>
      <c r="AB36" s="679"/>
      <c r="AC36" s="248"/>
      <c r="AD36" s="249"/>
    </row>
    <row r="37" spans="3:30" ht="12.75" customHeight="1">
      <c r="C37" s="238"/>
      <c r="W37" s="687"/>
      <c r="X37" s="688"/>
      <c r="Y37" s="246"/>
      <c r="Z37" s="251"/>
      <c r="AA37" s="689"/>
      <c r="AB37" s="690"/>
      <c r="AC37" s="252"/>
      <c r="AD37" s="253"/>
    </row>
    <row r="38" spans="3:30" ht="12.75" customHeight="1">
      <c r="C38" s="238"/>
      <c r="W38" s="687"/>
      <c r="X38" s="68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7"/>
      <c r="X39" s="688"/>
      <c r="Y39" s="254"/>
      <c r="Z39" s="257"/>
      <c r="AA39" s="691"/>
      <c r="AB39" s="692"/>
      <c r="AC39" s="252"/>
      <c r="AD39" s="253"/>
    </row>
    <row r="40" spans="3:30" ht="12" customHeight="1">
      <c r="C40" s="238"/>
      <c r="W40" s="697"/>
      <c r="X40" s="69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9"/>
      <c r="X41" s="700"/>
      <c r="Y41" s="260"/>
      <c r="Z41" s="261"/>
      <c r="AA41" s="691"/>
      <c r="AB41" s="692"/>
      <c r="AC41" s="252"/>
      <c r="AD41" s="253"/>
    </row>
    <row r="42" spans="3:30" ht="12" customHeight="1">
      <c r="C42" s="238"/>
      <c r="W42" s="701" t="s">
        <v>1456</v>
      </c>
      <c r="X42" s="702"/>
      <c r="Y42" s="702"/>
      <c r="Z42" s="70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4" t="s">
        <v>11</v>
      </c>
      <c r="X44" s="695"/>
      <c r="Y44" s="659"/>
      <c r="Z44" s="659"/>
      <c r="AA44" s="659"/>
      <c r="AB44" s="659"/>
      <c r="AC44" s="659"/>
      <c r="AD44" s="66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4" t="s">
        <v>984</v>
      </c>
      <c r="X45" s="695"/>
      <c r="Y45" s="659">
        <v>1</v>
      </c>
      <c r="Z45" s="659"/>
      <c r="AA45" s="659"/>
      <c r="AB45" s="659" t="s">
        <v>12</v>
      </c>
      <c r="AC45" s="65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4" t="s">
        <v>15</v>
      </c>
      <c r="X46" s="695"/>
      <c r="Y46" s="696"/>
      <c r="Z46" s="696"/>
      <c r="AA46" s="696"/>
      <c r="AB46" s="659" t="s">
        <v>16</v>
      </c>
      <c r="AC46" s="65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7" t="s">
        <v>17</v>
      </c>
      <c r="X47" s="707"/>
      <c r="Y47" s="707"/>
      <c r="Z47" s="707"/>
      <c r="AA47" s="707"/>
      <c r="AB47" s="707"/>
      <c r="AC47" s="707"/>
      <c r="AD47" s="70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9" t="str">
        <f>RAB!G6</f>
        <v>TNK MUHAMMAD NGALIM</v>
      </c>
      <c r="X48" s="709"/>
      <c r="Y48" s="709"/>
      <c r="Z48" s="709"/>
      <c r="AA48" s="709"/>
      <c r="AB48" s="709"/>
      <c r="AC48" s="709"/>
      <c r="AD48" s="71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9"/>
      <c r="X49" s="709"/>
      <c r="Y49" s="709"/>
      <c r="Z49" s="709"/>
      <c r="AA49" s="709"/>
      <c r="AB49" s="709"/>
      <c r="AC49" s="709"/>
      <c r="AD49" s="71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9"/>
      <c r="X50" s="709"/>
      <c r="Y50" s="709"/>
      <c r="Z50" s="709"/>
      <c r="AA50" s="709"/>
      <c r="AB50" s="709"/>
      <c r="AC50" s="709"/>
      <c r="AD50" s="71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1"/>
      <c r="X51" s="711"/>
      <c r="Y51" s="711"/>
      <c r="Z51" s="711"/>
      <c r="AA51" s="711"/>
      <c r="AB51" s="711"/>
      <c r="AC51" s="711"/>
      <c r="AD51" s="71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4" t="s">
        <v>18</v>
      </c>
      <c r="X52" s="695"/>
      <c r="Y52" s="659" t="s">
        <v>1634</v>
      </c>
      <c r="Z52" s="659"/>
      <c r="AA52" s="659"/>
      <c r="AB52" s="659"/>
      <c r="AC52" s="659"/>
      <c r="AD52" s="66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4" t="s">
        <v>19</v>
      </c>
      <c r="X53" s="695"/>
      <c r="Y53" s="659" t="s">
        <v>1635</v>
      </c>
      <c r="Z53" s="659"/>
      <c r="AA53" s="659"/>
      <c r="AB53" s="659"/>
      <c r="AC53" s="659"/>
      <c r="AD53" s="66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4" t="s">
        <v>20</v>
      </c>
      <c r="X54" s="695"/>
      <c r="Y54" s="703" t="s">
        <v>1636</v>
      </c>
      <c r="Z54" s="703"/>
      <c r="AA54" s="703"/>
      <c r="AB54" s="659"/>
      <c r="AC54" s="659"/>
      <c r="AD54" s="66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4" t="s">
        <v>21</v>
      </c>
      <c r="X55" s="705"/>
      <c r="Y55" s="703" t="s">
        <v>1637</v>
      </c>
      <c r="Z55" s="703"/>
      <c r="AA55" s="703"/>
      <c r="AB55" s="703"/>
      <c r="AC55" s="703"/>
      <c r="AD55" s="706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3" t="s">
        <v>1528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17"/>
      <c r="AE4" s="216"/>
      <c r="AF4" s="216"/>
    </row>
    <row r="5" spans="2:32" ht="13.5" customHeight="1">
      <c r="B5" s="215"/>
      <c r="C5" s="215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17"/>
      <c r="AE5" s="216"/>
      <c r="AF5" s="216"/>
    </row>
    <row r="6" spans="2:32" ht="12.75" customHeight="1">
      <c r="B6" s="215"/>
      <c r="C6" s="215"/>
      <c r="D6" s="716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717"/>
      <c r="AA6" s="717"/>
      <c r="AB6" s="717"/>
      <c r="AC6" s="718"/>
      <c r="AE6" s="216"/>
      <c r="AF6" s="216"/>
    </row>
    <row r="7" spans="2:32" ht="12.75" customHeight="1" thickBot="1">
      <c r="B7" s="215"/>
      <c r="C7" s="215"/>
      <c r="D7" s="719"/>
      <c r="E7" s="720"/>
      <c r="F7" s="720"/>
      <c r="G7" s="720"/>
      <c r="H7" s="720"/>
      <c r="I7" s="720"/>
      <c r="J7" s="720"/>
      <c r="K7" s="720"/>
      <c r="L7" s="720"/>
      <c r="M7" s="720"/>
      <c r="N7" s="720"/>
      <c r="O7" s="720"/>
      <c r="P7" s="720"/>
      <c r="Q7" s="720"/>
      <c r="R7" s="720"/>
      <c r="S7" s="720"/>
      <c r="T7" s="720"/>
      <c r="U7" s="720"/>
      <c r="V7" s="720"/>
      <c r="W7" s="720"/>
      <c r="X7" s="720"/>
      <c r="Y7" s="720"/>
      <c r="Z7" s="720"/>
      <c r="AA7" s="720"/>
      <c r="AB7" s="720"/>
      <c r="AC7" s="72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U37" sqref="U37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7" t="s">
        <v>1527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2" t="s">
        <v>1631</v>
      </c>
      <c r="D6" s="722"/>
      <c r="E6" s="722"/>
      <c r="F6" s="722"/>
      <c r="G6" s="722"/>
      <c r="H6" s="722"/>
      <c r="I6" s="722"/>
      <c r="J6" s="722"/>
      <c r="K6" s="722"/>
      <c r="L6" s="722"/>
      <c r="M6" s="722"/>
      <c r="W6" s="182"/>
      <c r="Y6" s="428"/>
      <c r="Z6" s="428"/>
      <c r="AA6" s="428"/>
      <c r="AB6" s="429"/>
      <c r="AC6" s="429"/>
    </row>
    <row r="7" spans="1:29" ht="18" customHeight="1">
      <c r="A7" s="181"/>
      <c r="C7" s="722"/>
      <c r="D7" s="722"/>
      <c r="E7" s="722"/>
      <c r="F7" s="722"/>
      <c r="G7" s="722"/>
      <c r="H7" s="722"/>
      <c r="I7" s="722"/>
      <c r="J7" s="722"/>
      <c r="K7" s="722"/>
      <c r="L7" s="722"/>
      <c r="M7" s="722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2024-01-19T08:56:52Z</dcterms:modified>
</cp:coreProperties>
</file>