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NOV\UD RESTU\"/>
    </mc:Choice>
  </mc:AlternateContent>
  <xr:revisionPtr revIDLastSave="0" documentId="13_ncr:1_{943D9BE3-ED11-459B-A65A-A918F4F87D27}" xr6:coauthVersionLast="47" xr6:coauthVersionMax="47" xr10:uidLastSave="{00000000-0000-0000-0000-000000000000}"/>
  <bookViews>
    <workbookView xWindow="-120" yWindow="-120" windowWidth="24240" windowHeight="13140" tabRatio="859" firstSheet="1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RAB!$A$1:$K$168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146" i="11"/>
  <c r="F145" i="11"/>
  <c r="F144" i="11"/>
  <c r="F143" i="11"/>
  <c r="F142" i="11"/>
  <c r="F139" i="11"/>
  <c r="F138" i="11"/>
  <c r="F137" i="11"/>
  <c r="F136" i="11"/>
  <c r="F135" i="11"/>
  <c r="F134" i="11"/>
  <c r="F133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D131" i="11"/>
  <c r="H131" i="11" s="1"/>
  <c r="E131" i="11"/>
  <c r="D132" i="11"/>
  <c r="J132" i="11" s="1"/>
  <c r="E132" i="11"/>
  <c r="D133" i="11"/>
  <c r="E133" i="11"/>
  <c r="D134" i="11"/>
  <c r="H134" i="11" s="1"/>
  <c r="E134" i="11"/>
  <c r="D135" i="11"/>
  <c r="H135" i="11" s="1"/>
  <c r="E135" i="11"/>
  <c r="D136" i="11"/>
  <c r="J136" i="11" s="1"/>
  <c r="E136" i="11"/>
  <c r="D137" i="11"/>
  <c r="E137" i="11"/>
  <c r="D138" i="11"/>
  <c r="H138" i="11" s="1"/>
  <c r="E138" i="11"/>
  <c r="D139" i="11"/>
  <c r="H139" i="11" s="1"/>
  <c r="E139" i="11"/>
  <c r="D140" i="11"/>
  <c r="J140" i="11" s="1"/>
  <c r="E140" i="11"/>
  <c r="D141" i="11"/>
  <c r="I141" i="11" s="1"/>
  <c r="E141" i="11"/>
  <c r="D142" i="11"/>
  <c r="H142" i="11" s="1"/>
  <c r="E142" i="11"/>
  <c r="D143" i="11"/>
  <c r="H143" i="11" s="1"/>
  <c r="E143" i="11"/>
  <c r="D144" i="11"/>
  <c r="J144" i="11" s="1"/>
  <c r="E144" i="11"/>
  <c r="D145" i="11"/>
  <c r="E145" i="11"/>
  <c r="D146" i="11"/>
  <c r="H146" i="11" s="1"/>
  <c r="E146" i="11"/>
  <c r="D147" i="11"/>
  <c r="H147" i="11" s="1"/>
  <c r="E147" i="11"/>
  <c r="D148" i="11"/>
  <c r="J148" i="11" s="1"/>
  <c r="E148" i="11"/>
  <c r="D149" i="11"/>
  <c r="I149" i="11" s="1"/>
  <c r="E149" i="11"/>
  <c r="D150" i="11"/>
  <c r="H150" i="11" s="1"/>
  <c r="E150" i="11"/>
  <c r="F86" i="11"/>
  <c r="F85" i="11"/>
  <c r="F84" i="11"/>
  <c r="F83" i="11"/>
  <c r="F80" i="11"/>
  <c r="F79" i="11"/>
  <c r="F78" i="11"/>
  <c r="F77" i="11"/>
  <c r="F74" i="11"/>
  <c r="F73" i="11"/>
  <c r="F72" i="11"/>
  <c r="F71" i="11"/>
  <c r="F70" i="11"/>
  <c r="F69" i="11"/>
  <c r="D67" i="11"/>
  <c r="H67" i="11" s="1"/>
  <c r="E67" i="11"/>
  <c r="G67" i="11"/>
  <c r="D68" i="11"/>
  <c r="J68" i="11" s="1"/>
  <c r="E68" i="11"/>
  <c r="G68" i="11"/>
  <c r="D69" i="11"/>
  <c r="H69" i="11" s="1"/>
  <c r="E69" i="11"/>
  <c r="G69" i="11"/>
  <c r="D70" i="11"/>
  <c r="H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H74" i="11" s="1"/>
  <c r="E74" i="11"/>
  <c r="G74" i="11"/>
  <c r="D75" i="11"/>
  <c r="J75" i="11" s="1"/>
  <c r="E75" i="11"/>
  <c r="G75" i="11"/>
  <c r="D76" i="11"/>
  <c r="J76" i="11" s="1"/>
  <c r="E76" i="11"/>
  <c r="G76" i="11"/>
  <c r="D77" i="11"/>
  <c r="H77" i="11" s="1"/>
  <c r="E77" i="11"/>
  <c r="G77" i="11"/>
  <c r="D78" i="11"/>
  <c r="H78" i="11" s="1"/>
  <c r="E78" i="11"/>
  <c r="G78" i="11"/>
  <c r="D79" i="11"/>
  <c r="J79" i="11" s="1"/>
  <c r="E79" i="11"/>
  <c r="G79" i="11"/>
  <c r="D80" i="11"/>
  <c r="E80" i="11"/>
  <c r="G80" i="11"/>
  <c r="D81" i="11"/>
  <c r="H81" i="11" s="1"/>
  <c r="E81" i="11"/>
  <c r="G81" i="11"/>
  <c r="D82" i="11"/>
  <c r="H82" i="11" s="1"/>
  <c r="E82" i="11"/>
  <c r="G82" i="11"/>
  <c r="D83" i="11"/>
  <c r="J83" i="11" s="1"/>
  <c r="E83" i="11"/>
  <c r="G83" i="11"/>
  <c r="D84" i="11"/>
  <c r="J84" i="11" s="1"/>
  <c r="E84" i="11"/>
  <c r="G84" i="11"/>
  <c r="D85" i="11"/>
  <c r="H85" i="11" s="1"/>
  <c r="E85" i="11"/>
  <c r="G85" i="11"/>
  <c r="D86" i="11"/>
  <c r="H86" i="11" s="1"/>
  <c r="E86" i="11"/>
  <c r="G86" i="11"/>
  <c r="D87" i="11"/>
  <c r="H87" i="11" s="1"/>
  <c r="E87" i="11"/>
  <c r="G87" i="11"/>
  <c r="D88" i="11"/>
  <c r="J88" i="11" s="1"/>
  <c r="E88" i="11"/>
  <c r="G88" i="11"/>
  <c r="D89" i="11"/>
  <c r="J89" i="11" s="1"/>
  <c r="E89" i="11"/>
  <c r="G89" i="11"/>
  <c r="F64" i="11"/>
  <c r="F65" i="11" s="1"/>
  <c r="I145" i="11" l="1"/>
  <c r="I137" i="11"/>
  <c r="I133" i="11"/>
  <c r="J143" i="11"/>
  <c r="H141" i="11"/>
  <c r="I139" i="11"/>
  <c r="J147" i="11"/>
  <c r="H145" i="11"/>
  <c r="I143" i="11"/>
  <c r="J131" i="11"/>
  <c r="H149" i="11"/>
  <c r="I147" i="11"/>
  <c r="J135" i="11"/>
  <c r="H133" i="11"/>
  <c r="I131" i="11"/>
  <c r="J139" i="11"/>
  <c r="H137" i="11"/>
  <c r="I135" i="11"/>
  <c r="I148" i="11"/>
  <c r="I144" i="11"/>
  <c r="I140" i="11"/>
  <c r="I136" i="11"/>
  <c r="I132" i="11"/>
  <c r="J150" i="11"/>
  <c r="H148" i="11"/>
  <c r="J146" i="11"/>
  <c r="H144" i="11"/>
  <c r="J142" i="11"/>
  <c r="H140" i="11"/>
  <c r="K140" i="11" s="1"/>
  <c r="J138" i="11"/>
  <c r="H136" i="11"/>
  <c r="J134" i="11"/>
  <c r="H132" i="11"/>
  <c r="I150" i="11"/>
  <c r="J149" i="11"/>
  <c r="I146" i="11"/>
  <c r="J145" i="11"/>
  <c r="I142" i="11"/>
  <c r="J141" i="11"/>
  <c r="I138" i="11"/>
  <c r="J137" i="11"/>
  <c r="I134" i="11"/>
  <c r="J133" i="11"/>
  <c r="I79" i="11"/>
  <c r="I73" i="11"/>
  <c r="I75" i="11"/>
  <c r="J67" i="11"/>
  <c r="I85" i="11"/>
  <c r="I67" i="11"/>
  <c r="J80" i="11"/>
  <c r="I77" i="11"/>
  <c r="H75" i="11"/>
  <c r="I74" i="11"/>
  <c r="I69" i="11"/>
  <c r="I88" i="11"/>
  <c r="I81" i="11"/>
  <c r="I83" i="11"/>
  <c r="H71" i="11"/>
  <c r="I70" i="11"/>
  <c r="I71" i="11"/>
  <c r="I86" i="11"/>
  <c r="J85" i="11"/>
  <c r="H83" i="11"/>
  <c r="I82" i="11"/>
  <c r="J81" i="11"/>
  <c r="H79" i="11"/>
  <c r="I78" i="11"/>
  <c r="J77" i="11"/>
  <c r="J73" i="11"/>
  <c r="K73" i="11" s="1"/>
  <c r="J69" i="11"/>
  <c r="H88" i="11"/>
  <c r="I89" i="11"/>
  <c r="I84" i="11"/>
  <c r="I80" i="11"/>
  <c r="I76" i="11"/>
  <c r="I72" i="11"/>
  <c r="I68" i="11"/>
  <c r="H89" i="11"/>
  <c r="J87" i="11"/>
  <c r="J86" i="11"/>
  <c r="H84" i="11"/>
  <c r="K84" i="11" s="1"/>
  <c r="J82" i="11"/>
  <c r="H80" i="11"/>
  <c r="J78" i="11"/>
  <c r="H76" i="11"/>
  <c r="J74" i="11"/>
  <c r="H72" i="11"/>
  <c r="J70" i="11"/>
  <c r="H68" i="11"/>
  <c r="K68" i="11" s="1"/>
  <c r="I87" i="11"/>
  <c r="K135" i="11" l="1"/>
  <c r="K137" i="11"/>
  <c r="K143" i="11"/>
  <c r="K141" i="11"/>
  <c r="K79" i="11"/>
  <c r="K134" i="11"/>
  <c r="K142" i="11"/>
  <c r="K150" i="11"/>
  <c r="K145" i="11"/>
  <c r="K132" i="11"/>
  <c r="K148" i="11"/>
  <c r="K147" i="11"/>
  <c r="K144" i="11"/>
  <c r="K139" i="11"/>
  <c r="K138" i="11"/>
  <c r="K133" i="11"/>
  <c r="K131" i="11"/>
  <c r="K149" i="11"/>
  <c r="K146" i="11"/>
  <c r="K136" i="11"/>
  <c r="K67" i="11"/>
  <c r="K72" i="11"/>
  <c r="K75" i="11"/>
  <c r="K83" i="11"/>
  <c r="K74" i="11"/>
  <c r="K82" i="11"/>
  <c r="K89" i="11"/>
  <c r="K87" i="11"/>
  <c r="K71" i="11"/>
  <c r="K85" i="11"/>
  <c r="K69" i="11"/>
  <c r="K77" i="11"/>
  <c r="K70" i="11"/>
  <c r="K88" i="11"/>
  <c r="K76" i="11"/>
  <c r="K81" i="11"/>
  <c r="K78" i="11"/>
  <c r="K86" i="11"/>
  <c r="K80" i="11"/>
  <c r="F61" i="11" l="1"/>
  <c r="F60" i="11"/>
  <c r="F59" i="11"/>
  <c r="F58" i="11"/>
  <c r="F57" i="11"/>
  <c r="F54" i="11"/>
  <c r="F53" i="11"/>
  <c r="F52" i="11"/>
  <c r="F51" i="11"/>
  <c r="F50" i="11"/>
  <c r="F47" i="11"/>
  <c r="F46" i="11"/>
  <c r="F45" i="11"/>
  <c r="F44" i="11"/>
  <c r="F43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J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J59" i="11" s="1"/>
  <c r="E59" i="11"/>
  <c r="G59" i="11"/>
  <c r="D60" i="11"/>
  <c r="J60" i="11" s="1"/>
  <c r="E60" i="11"/>
  <c r="G60" i="11"/>
  <c r="D61" i="11"/>
  <c r="H61" i="11" s="1"/>
  <c r="E61" i="11"/>
  <c r="G61" i="11"/>
  <c r="D63" i="11"/>
  <c r="H63" i="11" s="1"/>
  <c r="E63" i="11"/>
  <c r="G63" i="11"/>
  <c r="D64" i="11"/>
  <c r="E64" i="11"/>
  <c r="G64" i="11"/>
  <c r="J65" i="11"/>
  <c r="D66" i="11"/>
  <c r="H66" i="11" s="1"/>
  <c r="E66" i="11"/>
  <c r="G66" i="11"/>
  <c r="D124" i="11"/>
  <c r="D125" i="11"/>
  <c r="D126" i="11"/>
  <c r="D127" i="11"/>
  <c r="D128" i="11"/>
  <c r="D129" i="11"/>
  <c r="F19" i="11"/>
  <c r="D19" i="11"/>
  <c r="H19" i="11" s="1"/>
  <c r="E19" i="11"/>
  <c r="G19" i="11"/>
  <c r="D20" i="11"/>
  <c r="J20" i="11" s="1"/>
  <c r="E20" i="11"/>
  <c r="G20" i="11"/>
  <c r="D22" i="11"/>
  <c r="H22" i="11" s="1"/>
  <c r="E22" i="11"/>
  <c r="G22" i="11"/>
  <c r="E7" i="64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H36" i="11" s="1"/>
  <c r="E36" i="11"/>
  <c r="G36" i="11"/>
  <c r="D37" i="11"/>
  <c r="J37" i="11" s="1"/>
  <c r="E37" i="11"/>
  <c r="G37" i="11"/>
  <c r="D38" i="11"/>
  <c r="E38" i="11"/>
  <c r="G38" i="11"/>
  <c r="D39" i="11"/>
  <c r="H39" i="11" s="1"/>
  <c r="E39" i="11"/>
  <c r="G39" i="11"/>
  <c r="D25" i="1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J29" i="11" s="1"/>
  <c r="E29" i="11"/>
  <c r="G29" i="11"/>
  <c r="D24" i="11"/>
  <c r="J24" i="11" s="1"/>
  <c r="E24" i="11"/>
  <c r="G24" i="11"/>
  <c r="D18" i="11"/>
  <c r="J18" i="11" s="1"/>
  <c r="E18" i="11"/>
  <c r="G18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G110" i="11"/>
  <c r="G111" i="11"/>
  <c r="D110" i="11"/>
  <c r="H110" i="11" s="1"/>
  <c r="E110" i="11"/>
  <c r="D111" i="11"/>
  <c r="J111" i="11" s="1"/>
  <c r="E111" i="11"/>
  <c r="F129" i="11"/>
  <c r="F127" i="11"/>
  <c r="F126" i="11"/>
  <c r="F125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1" i="11"/>
  <c r="H64" i="11" l="1"/>
  <c r="I52" i="11"/>
  <c r="J66" i="11"/>
  <c r="I40" i="11"/>
  <c r="I53" i="11"/>
  <c r="I50" i="11"/>
  <c r="I43" i="11"/>
  <c r="J42" i="11"/>
  <c r="I66" i="11"/>
  <c r="I59" i="11"/>
  <c r="J61" i="11"/>
  <c r="J54" i="11"/>
  <c r="I56" i="11"/>
  <c r="I54" i="11"/>
  <c r="J47" i="11"/>
  <c r="I46" i="11"/>
  <c r="I48" i="11"/>
  <c r="I42" i="11"/>
  <c r="I61" i="11"/>
  <c r="K61" i="11" s="1"/>
  <c r="H59" i="11"/>
  <c r="J58" i="11"/>
  <c r="H56" i="11"/>
  <c r="J55" i="11"/>
  <c r="I47" i="11"/>
  <c r="H40" i="11"/>
  <c r="I65" i="11"/>
  <c r="J64" i="11"/>
  <c r="J63" i="11"/>
  <c r="H52" i="11"/>
  <c r="I51" i="11"/>
  <c r="J50" i="11"/>
  <c r="H46" i="11"/>
  <c r="I45" i="11"/>
  <c r="I44" i="11"/>
  <c r="H43" i="11"/>
  <c r="I55" i="11"/>
  <c r="H48" i="11"/>
  <c r="K48" i="11" s="1"/>
  <c r="I64" i="11"/>
  <c r="H51" i="11"/>
  <c r="H44" i="11"/>
  <c r="I63" i="11"/>
  <c r="I58" i="11"/>
  <c r="I57" i="11"/>
  <c r="I41" i="11"/>
  <c r="I49" i="11"/>
  <c r="H57" i="11"/>
  <c r="H53" i="11"/>
  <c r="H49" i="11"/>
  <c r="H45" i="11"/>
  <c r="H41" i="11"/>
  <c r="I60" i="11"/>
  <c r="H65" i="11"/>
  <c r="H60" i="11"/>
  <c r="J19" i="11"/>
  <c r="I19" i="11"/>
  <c r="J22" i="11"/>
  <c r="I22" i="11"/>
  <c r="I20" i="11"/>
  <c r="H20" i="11"/>
  <c r="H25" i="11"/>
  <c r="J25" i="11"/>
  <c r="J39" i="11"/>
  <c r="I39" i="11"/>
  <c r="I27" i="11"/>
  <c r="J33" i="11"/>
  <c r="I33" i="11"/>
  <c r="I25" i="11"/>
  <c r="I30" i="11"/>
  <c r="J38" i="11"/>
  <c r="I38" i="11"/>
  <c r="I37" i="11"/>
  <c r="J36" i="11"/>
  <c r="I35" i="11"/>
  <c r="I34" i="11"/>
  <c r="J32" i="11"/>
  <c r="H30" i="11"/>
  <c r="H37" i="11"/>
  <c r="H38" i="11"/>
  <c r="I36" i="11"/>
  <c r="I29" i="11"/>
  <c r="H34" i="11"/>
  <c r="I32" i="11"/>
  <c r="I31" i="11"/>
  <c r="H27" i="11"/>
  <c r="H35" i="11"/>
  <c r="H31" i="11"/>
  <c r="H29" i="11"/>
  <c r="I28" i="11"/>
  <c r="J28" i="11"/>
  <c r="H26" i="11"/>
  <c r="I26" i="11"/>
  <c r="I24" i="11"/>
  <c r="H24" i="11"/>
  <c r="I15" i="11"/>
  <c r="J17" i="11"/>
  <c r="H15" i="11"/>
  <c r="I17" i="11"/>
  <c r="I18" i="11"/>
  <c r="H18" i="11"/>
  <c r="I16" i="11"/>
  <c r="H16" i="11"/>
  <c r="J110" i="11"/>
  <c r="I111" i="11"/>
  <c r="H111" i="11"/>
  <c r="I110" i="11"/>
  <c r="D23" i="11"/>
  <c r="J23" i="11" s="1"/>
  <c r="E23" i="11"/>
  <c r="G23" i="11"/>
  <c r="K42" i="11" l="1"/>
  <c r="K52" i="11"/>
  <c r="K47" i="11"/>
  <c r="K60" i="11"/>
  <c r="K55" i="11"/>
  <c r="K43" i="11"/>
  <c r="K44" i="11"/>
  <c r="K40" i="11"/>
  <c r="K66" i="11"/>
  <c r="K65" i="11"/>
  <c r="K46" i="11"/>
  <c r="K54" i="11"/>
  <c r="K53" i="11"/>
  <c r="K63" i="11"/>
  <c r="K59" i="11"/>
  <c r="K50" i="11"/>
  <c r="K56" i="11"/>
  <c r="K64" i="11"/>
  <c r="K41" i="11"/>
  <c r="K58" i="11"/>
  <c r="K51" i="11"/>
  <c r="K57" i="11"/>
  <c r="K19" i="11"/>
  <c r="K45" i="11"/>
  <c r="K49" i="11"/>
  <c r="K22" i="11"/>
  <c r="K25" i="11"/>
  <c r="K20" i="11"/>
  <c r="K39" i="11"/>
  <c r="K33" i="11"/>
  <c r="K27" i="11"/>
  <c r="K29" i="11"/>
  <c r="K32" i="11"/>
  <c r="K36" i="11"/>
  <c r="K38" i="11"/>
  <c r="K30" i="11"/>
  <c r="K37" i="11"/>
  <c r="K35" i="11"/>
  <c r="K31" i="11"/>
  <c r="K28" i="11"/>
  <c r="K34" i="11"/>
  <c r="K26" i="11"/>
  <c r="K24" i="11"/>
  <c r="K15" i="11"/>
  <c r="K17" i="11"/>
  <c r="K18" i="11"/>
  <c r="K110" i="11"/>
  <c r="K111" i="11"/>
  <c r="K16" i="11"/>
  <c r="I23" i="11"/>
  <c r="H23" i="11"/>
  <c r="K23" i="11" l="1"/>
  <c r="F121" i="11" l="1"/>
  <c r="F120" i="11"/>
  <c r="F119" i="11"/>
  <c r="F118" i="11"/>
  <c r="F117" i="11"/>
  <c r="F116" i="11"/>
  <c r="F115" i="11"/>
  <c r="F114" i="11"/>
  <c r="F113" i="11"/>
  <c r="D112" i="11"/>
  <c r="H112" i="11" s="1"/>
  <c r="E112" i="11"/>
  <c r="G112" i="11"/>
  <c r="D113" i="11"/>
  <c r="J113" i="11" s="1"/>
  <c r="E113" i="11"/>
  <c r="G113" i="11"/>
  <c r="D114" i="11"/>
  <c r="J114" i="11" s="1"/>
  <c r="E114" i="11"/>
  <c r="G114" i="11"/>
  <c r="D115" i="11"/>
  <c r="H115" i="11" s="1"/>
  <c r="E115" i="11"/>
  <c r="G115" i="11"/>
  <c r="D116" i="11"/>
  <c r="J116" i="11" s="1"/>
  <c r="E116" i="11"/>
  <c r="G116" i="11"/>
  <c r="D117" i="11"/>
  <c r="J117" i="11" s="1"/>
  <c r="E117" i="11"/>
  <c r="G117" i="11"/>
  <c r="D118" i="11"/>
  <c r="J118" i="11" s="1"/>
  <c r="E118" i="11"/>
  <c r="G118" i="11"/>
  <c r="D119" i="11"/>
  <c r="H119" i="11" s="1"/>
  <c r="E119" i="11"/>
  <c r="G119" i="11"/>
  <c r="D120" i="11"/>
  <c r="H120" i="11" s="1"/>
  <c r="E120" i="11"/>
  <c r="G120" i="11"/>
  <c r="D121" i="11"/>
  <c r="E121" i="11"/>
  <c r="G121" i="11"/>
  <c r="D122" i="11"/>
  <c r="J122" i="11" s="1"/>
  <c r="E122" i="11"/>
  <c r="G122" i="11"/>
  <c r="D90" i="11"/>
  <c r="J90" i="11" s="1"/>
  <c r="E90" i="11"/>
  <c r="G90" i="11"/>
  <c r="D91" i="11"/>
  <c r="I91" i="11" s="1"/>
  <c r="E91" i="11"/>
  <c r="G91" i="11"/>
  <c r="D92" i="11"/>
  <c r="J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I95" i="11" s="1"/>
  <c r="E95" i="11"/>
  <c r="G95" i="11"/>
  <c r="D96" i="11"/>
  <c r="J96" i="11" s="1"/>
  <c r="E96" i="11"/>
  <c r="G96" i="11"/>
  <c r="D97" i="11"/>
  <c r="J97" i="11" s="1"/>
  <c r="E97" i="11"/>
  <c r="G97" i="11"/>
  <c r="D98" i="11"/>
  <c r="J98" i="11" s="1"/>
  <c r="E98" i="11"/>
  <c r="G98" i="11"/>
  <c r="D99" i="11"/>
  <c r="J99" i="11" s="1"/>
  <c r="E99" i="11"/>
  <c r="G99" i="11"/>
  <c r="D100" i="11"/>
  <c r="H100" i="11" s="1"/>
  <c r="E100" i="11"/>
  <c r="G100" i="11"/>
  <c r="D101" i="11"/>
  <c r="J101" i="11" s="1"/>
  <c r="E101" i="11"/>
  <c r="G101" i="11"/>
  <c r="D102" i="11"/>
  <c r="J102" i="11" s="1"/>
  <c r="E102" i="11"/>
  <c r="G102" i="11"/>
  <c r="D103" i="11"/>
  <c r="H103" i="11" s="1"/>
  <c r="E103" i="11"/>
  <c r="G103" i="11"/>
  <c r="D104" i="11"/>
  <c r="H104" i="11" s="1"/>
  <c r="E104" i="11"/>
  <c r="G104" i="11"/>
  <c r="D105" i="11"/>
  <c r="J105" i="11" s="1"/>
  <c r="E105" i="11"/>
  <c r="G105" i="11"/>
  <c r="D106" i="11"/>
  <c r="J106" i="11" s="1"/>
  <c r="E106" i="11"/>
  <c r="G106" i="11"/>
  <c r="D107" i="11"/>
  <c r="H107" i="11" s="1"/>
  <c r="E107" i="11"/>
  <c r="G107" i="11"/>
  <c r="D108" i="11"/>
  <c r="H108" i="11" s="1"/>
  <c r="E108" i="11"/>
  <c r="G108" i="11"/>
  <c r="D109" i="11"/>
  <c r="E109" i="11"/>
  <c r="G109" i="11"/>
  <c r="G6" i="11"/>
  <c r="D123" i="11"/>
  <c r="J123" i="11" s="1"/>
  <c r="E123" i="11"/>
  <c r="G123" i="11"/>
  <c r="H124" i="11"/>
  <c r="E124" i="11"/>
  <c r="G124" i="11"/>
  <c r="E125" i="11"/>
  <c r="G125" i="11"/>
  <c r="J126" i="11"/>
  <c r="E126" i="11"/>
  <c r="G126" i="11"/>
  <c r="J127" i="11"/>
  <c r="E127" i="11"/>
  <c r="G127" i="11"/>
  <c r="E128" i="11"/>
  <c r="G128" i="11"/>
  <c r="H129" i="11"/>
  <c r="E129" i="11"/>
  <c r="G129" i="11"/>
  <c r="D130" i="11"/>
  <c r="E130" i="11"/>
  <c r="G130" i="11"/>
  <c r="D20" i="60"/>
  <c r="J130" i="11" l="1"/>
  <c r="J109" i="11"/>
  <c r="J121" i="11"/>
  <c r="J120" i="11"/>
  <c r="J112" i="11"/>
  <c r="I116" i="11"/>
  <c r="I112" i="11"/>
  <c r="I118" i="11"/>
  <c r="H118" i="11"/>
  <c r="H114" i="11"/>
  <c r="I114" i="11"/>
  <c r="I122" i="11"/>
  <c r="I120" i="11"/>
  <c r="I119" i="11"/>
  <c r="J91" i="11"/>
  <c r="H122" i="11"/>
  <c r="H116" i="11"/>
  <c r="I115" i="11"/>
  <c r="I121" i="11"/>
  <c r="I104" i="11"/>
  <c r="J103" i="11"/>
  <c r="H121" i="11"/>
  <c r="J119" i="11"/>
  <c r="H117" i="11"/>
  <c r="J115" i="11"/>
  <c r="H113" i="11"/>
  <c r="J104" i="11"/>
  <c r="I117" i="11"/>
  <c r="I113" i="11"/>
  <c r="I103" i="11"/>
  <c r="I99" i="11"/>
  <c r="J95" i="11"/>
  <c r="I107" i="11"/>
  <c r="H95" i="11"/>
  <c r="J108" i="11"/>
  <c r="J107" i="11"/>
  <c r="H99" i="11"/>
  <c r="J100" i="11"/>
  <c r="H96" i="11"/>
  <c r="I93" i="11"/>
  <c r="I92" i="11"/>
  <c r="I108" i="11"/>
  <c r="I100" i="11"/>
  <c r="I96" i="11"/>
  <c r="H91" i="11"/>
  <c r="H109" i="11"/>
  <c r="H105" i="11"/>
  <c r="H101" i="11"/>
  <c r="H97" i="11"/>
  <c r="H92" i="11"/>
  <c r="I97" i="11"/>
  <c r="H93" i="11"/>
  <c r="K93" i="11" s="1"/>
  <c r="I109" i="11"/>
  <c r="I105" i="11"/>
  <c r="I101" i="11"/>
  <c r="I98" i="11"/>
  <c r="I90" i="11"/>
  <c r="H106" i="11"/>
  <c r="H102" i="11"/>
  <c r="H98" i="11"/>
  <c r="H94" i="11"/>
  <c r="H90" i="11"/>
  <c r="I106" i="11"/>
  <c r="I102" i="11"/>
  <c r="I94" i="11"/>
  <c r="H125" i="11"/>
  <c r="H128" i="11"/>
  <c r="I130" i="11"/>
  <c r="H130" i="11"/>
  <c r="J129" i="11"/>
  <c r="J128" i="11"/>
  <c r="I126" i="11"/>
  <c r="H126" i="11"/>
  <c r="J125" i="11"/>
  <c r="J124" i="11"/>
  <c r="I124" i="11"/>
  <c r="I128" i="11"/>
  <c r="H127" i="11"/>
  <c r="H123" i="11"/>
  <c r="I127" i="11"/>
  <c r="I123" i="11"/>
  <c r="I129" i="11"/>
  <c r="I125" i="11"/>
  <c r="D14" i="11"/>
  <c r="J14" i="11" s="1"/>
  <c r="E14" i="11"/>
  <c r="G14" i="11"/>
  <c r="K19" i="60"/>
  <c r="D19" i="60"/>
  <c r="K118" i="11" l="1"/>
  <c r="K98" i="11"/>
  <c r="K112" i="11"/>
  <c r="K108" i="11"/>
  <c r="K116" i="11"/>
  <c r="K95" i="11"/>
  <c r="K120" i="11"/>
  <c r="K100" i="11"/>
  <c r="K119" i="11"/>
  <c r="K99" i="11"/>
  <c r="K103" i="11"/>
  <c r="K114" i="11"/>
  <c r="K96" i="11"/>
  <c r="K92" i="11"/>
  <c r="K91" i="11"/>
  <c r="K107" i="11"/>
  <c r="K104" i="11"/>
  <c r="K122" i="11"/>
  <c r="K115" i="11"/>
  <c r="K113" i="11"/>
  <c r="K121" i="11"/>
  <c r="K117" i="11"/>
  <c r="K105" i="11"/>
  <c r="K97" i="11"/>
  <c r="K101" i="11"/>
  <c r="K109" i="11"/>
  <c r="K102" i="11"/>
  <c r="K90" i="11"/>
  <c r="K106" i="11"/>
  <c r="K94" i="11"/>
  <c r="K130" i="11"/>
  <c r="K124" i="11"/>
  <c r="K126" i="11"/>
  <c r="K128" i="11"/>
  <c r="K129" i="11"/>
  <c r="K125" i="11"/>
  <c r="K123" i="11"/>
  <c r="K12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5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51" i="11"/>
  <c r="D152" i="11"/>
  <c r="H152" i="11" s="1"/>
  <c r="E15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5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5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52" i="11"/>
  <c r="I15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52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4" i="11"/>
  <c r="H155" i="11" s="1"/>
  <c r="I154" i="11"/>
  <c r="I155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56" i="11"/>
  <c r="I156" i="11"/>
  <c r="F364" i="29"/>
  <c r="F69" i="39"/>
  <c r="F72" i="39"/>
  <c r="F367" i="29"/>
  <c r="J151" i="11"/>
  <c r="K15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54" i="11" l="1"/>
  <c r="K155" i="11" s="1"/>
  <c r="K156" i="11" s="1"/>
  <c r="B15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54" i="11"/>
  <c r="J15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<sst xmlns="http://schemas.openxmlformats.org/spreadsheetml/2006/main" count="4819" uniqueCount="1645">
  <si>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</si>
  <si>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</si>
  <si>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</si>
  <si>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</si>
  <si>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</si>
  <si>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</si>
  <si>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</si>
  <si>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</si>
  <si>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</si>
  <si>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</si>
  <si>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</si>
  <si>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</si>
  <si>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</si>
  <si>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</si>
  <si>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</si>
  <si>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</si>
  <si>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</si>
  <si>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</si>
  <si>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</si>
  <si>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</si>
  <si>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</si>
  <si>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</si>
  <si>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</si>
  <si>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</si>
  <si>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</si>
  <si>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</si>
  <si>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</si>
  <si>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</si>
  <si>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</si>
  <si>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</si>
  <si>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</si>
  <si>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</si>
  <si>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</si>
  <si>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</si>
  <si>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</si>
  <si>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</si>
  <si>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</si>
  <si>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</si>
  <si>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</si>
  <si>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</si>
  <si>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</si>
  <si>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</si>
  <si>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</si>
  <si>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</si>
  <si>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</si>
  <si>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</si>
  <si>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</si>
  <si>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</si>
  <si>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</si>
  <si>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</si>
  <si>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</si>
  <si>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</si>
  <si>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</si>
  <si>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</si>
  <si>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</si>
  <si>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</si>
  <si>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</si>
  <si>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</si>
  <si>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</si>
  <si>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</si>
  <si>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</si>
  <si>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</si>
  <si>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</si>
  <si>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</si>
  <si>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</si>
  <si>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</si>
  <si>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</si>
  <si>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</si>
  <si>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</si>
  <si>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</si>
  <si>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</si>
  <si>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</si>
  <si>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</si>
  <si>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</si>
  <si>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</si>
  <si>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</si>
  <si>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</si>
  <si>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</si>
  <si>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</si>
  <si>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</si>
  <si>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</si>
  <si>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</si>
  <si>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</si>
  <si>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</si>
  <si>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</si>
  <si>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</si>
  <si>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</si>
  <si>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</si>
  <si>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</si>
  <si>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</si>
  <si>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</si>
  <si>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</si>
  <si>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</si>
  <si>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</si>
  <si>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</si>
  <si>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</si>
  <si>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</si>
  <si>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</si>
  <si>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</si>
  <si>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</si>
  <si>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</si>
  <si>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</si>
  <si>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</si>
  <si>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</si>
  <si>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</si>
  <si>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</si>
  <si>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</si>
  <si>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</si>
  <si>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</si>
  <si>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</si>
  <si>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</si>
  <si>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</si>
  <si>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</si>
  <si>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</si>
  <si>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</si>
  <si>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</si>
  <si>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</si>
  <si>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</si>
  <si>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</si>
  <si>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</si>
  <si>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</si>
  <si>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</si>
  <si>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</si>
  <si>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</si>
  <si>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</si>
  <si>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</si>
  <si>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</si>
  <si>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</si>
  <si>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</si>
  <si>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</si>
  <si>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</si>
  <si>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</si>
  <si>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</si>
  <si>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</si>
  <si>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</si>
  <si>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</si>
  <si>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</si>
  <si>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</si>
  <si>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</si>
  <si>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</si>
  <si>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</si>
  <si>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</si>
  <si>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</si>
  <si>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</si>
  <si>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</si>
  <si>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</si>
  <si>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</si>
  <si>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</si>
  <si>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</si>
  <si>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</si>
  <si>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</si>
  <si>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</si>
  <si>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</si>
  <si>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</si>
  <si>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</si>
  <si>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</si>
  <si>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</si>
  <si>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</si>
  <si>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</si>
  <si>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</si>
  <si>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</si>
  <si>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</si>
  <si>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</si>
  <si>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</si>
  <si>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</si>
  <si>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</si>
  <si>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</si>
  <si>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</si>
  <si>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</si>
  <si>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</si>
  <si>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</si>
  <si>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</si>
  <si>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</si>
  <si>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</si>
  <si>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</si>
  <si>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</si>
  <si>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</si>
  <si>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</si>
  <si>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</si>
  <si>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</si>
  <si>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</si>
  <si>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</si>
  <si>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</si>
  <si>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</si>
  <si>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</si>
  <si>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</si>
  <si>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</si>
  <si>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</si>
  <si>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</si>
  <si>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</si>
  <si>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</si>
  <si>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</si>
  <si>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</si>
  <si>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</si>
  <si>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</si>
  <si>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</si>
  <si>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</si>
  <si>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</si>
  <si>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</si>
  <si>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</si>
  <si>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</si>
  <si>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</si>
  <si>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</si>
  <si>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</si>
  <si>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</si>
  <si>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</si>
  <si>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</si>
  <si>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</si>
  <si>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</si>
  <si>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</si>
  <si>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</si>
  <si>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</si>
  <si>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</si>
  <si>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</si>
  <si>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</si>
  <si>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</si>
  <si>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</si>
  <si>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</si>
  <si>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</si>
  <si>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</si>
  <si>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</si>
  <si>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</si>
  <si>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</si>
  <si>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</si>
  <si>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</si>
  <si>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</si>
  <si>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</si>
  <si>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</si>
  <si>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</si>
  <si>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</si>
  <si>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</si>
  <si>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</si>
  <si>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</si>
  <si>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</si>
  <si>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</si>
  <si>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</si>
  <si>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</si>
  <si>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</si>
  <si>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</si>
  <si>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</si>
  <si>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</si>
  <si>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</si>
  <si>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</si>
  <si>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</si>
  <si>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</si>
  <si>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</si>
  <si>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</si>
  <si>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</si>
  <si>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</si>
  <si>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</si>
  <si>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</si>
  <si>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</si>
  <si>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</si>
  <si>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</si>
  <si>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</si>
  <si>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</si>
  <si>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</si>
  <si>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</si>
  <si>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</si>
  <si>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</si>
  <si>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</si>
  <si>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</si>
  <si>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</si>
  <si>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</si>
  <si>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</si>
  <si>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</si>
  <si>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</si>
  <si>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</si>
  <si>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</si>
  <si>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</si>
  <si>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</si>
  <si>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</si>
  <si>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</si>
  <si>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</si>
  <si>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</si>
  <si>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</si>
  <si>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</si>
  <si>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</si>
  <si>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</si>
  <si>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</si>
  <si>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</si>
  <si>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</si>
  <si>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</si>
  <si>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</si>
  <si>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</si>
  <si>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</si>
  <si>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</si>
  <si>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</si>
  <si>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</si>
  <si>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</si>
  <si>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</si>
  <si>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</si>
  <si>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</si>
  <si>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</si>
  <si>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</si>
  <si>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</si>
  <si>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</si>
  <si>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</si>
  <si>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</si>
  <si>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</si>
  <si>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</si>
  <si>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</si>
  <si>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</si>
  <si>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</si>
  <si>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</si>
  <si>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</si>
  <si>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</si>
  <si>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</si>
  <si>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</si>
  <si>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</si>
  <si>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</si>
  <si>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</si>
  <si>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</si>
  <si>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</si>
  <si>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</si>
  <si>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</si>
  <si>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</si>
  <si>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</si>
  <si>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</si>
  <si>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</si>
  <si>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</si>
  <si>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</si>
  <si>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</si>
  <si>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</si>
  <si>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</si>
  <si>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</si>
  <si>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</si>
  <si>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</si>
  <si>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</si>
  <si>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</si>
  <si>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</si>
  <si>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</si>
  <si>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</si>
  <si>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</si>
  <si>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</si>
  <si>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</si>
  <si>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</si>
  <si>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</si>
  <si>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</si>
  <si>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</si>
  <si>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</si>
  <si>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</si>
  <si>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</si>
  <si>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</si>
  <si>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</si>
  <si>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</si>
  <si>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</si>
  <si>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</si>
  <si>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</si>
  <si>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</si>
  <si>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</si>
  <si>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</si>
  <si>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</si>
  <si>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</si>
  <si>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</si>
  <si>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</si>
  <si>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</si>
  <si>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</si>
  <si>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</si>
  <si>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</si>
  <si>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</si>
  <si>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</si>
  <si>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</si>
  <si>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</si>
  <si>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</si>
  <si>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</si>
  <si>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</si>
  <si>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</si>
  <si>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</si>
  <si>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</si>
  <si>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</si>
  <si>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</si>
  <si>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</si>
  <si>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</si>
  <si>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</si>
  <si>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</si>
  <si>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</si>
  <si>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</si>
  <si>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</si>
  <si>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</si>
  <si>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</si>
  <si>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</si>
  <si>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</si>
  <si>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</si>
  <si>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</si>
  <si>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</si>
  <si>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</si>
  <si>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</si>
  <si>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</si>
  <si>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</si>
  <si>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</si>
  <si>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</si>
  <si>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</si>
  <si>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</si>
  <si>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</si>
  <si>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</si>
  <si>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</si>
  <si>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</si>
  <si>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</si>
  <si>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</si>
  <si>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</si>
  <si>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</si>
  <si>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</si>
  <si>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</si>
  <si>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</si>
  <si>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</si>
  <si>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</si>
  <si>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</si>
  <si>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</si>
  <si>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</si>
  <si>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</si>
  <si>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</si>
  <si>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</si>
  <si>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</si>
  <si>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</si>
  <si>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</si>
  <si>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</si>
  <si>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</si>
  <si>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</si>
  <si>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</si>
  <si>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</si>
  <si>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</si>
  <si>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</si>
  <si>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</si>
  <si>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</si>
  <si>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</si>
  <si>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</si>
  <si>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</si>
  <si>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</si>
  <si>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</si>
  <si>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</si>
  <si>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</si>
  <si>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</si>
  <si>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</si>
  <si>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</si>
  <si>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</si>
  <si>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</si>
  <si>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</si>
  <si>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</si>
  <si>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</si>
  <si>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</si>
  <si>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</si>
  <si>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</si>
  <si>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</si>
  <si>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</si>
  <si>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</si>
  <si>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</si>
  <si>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</si>
  <si>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</si>
  <si>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</si>
  <si>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</si>
  <si>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</si>
  <si>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</si>
  <si>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</si>
  <si>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</si>
  <si>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</si>
  <si>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</si>
  <si>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</si>
  <si>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</si>
  <si>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</si>
  <si>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</si>
  <si>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</si>
  <si>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</si>
  <si>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</si>
  <si>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</si>
  <si>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</si>
  <si>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</si>
  <si>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</si>
  <si>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</si>
  <si>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</si>
  <si>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</si>
  <si>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</si>
  <si>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</si>
  <si>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</si>
  <si>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</si>
  <si>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</si>
  <si>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</si>
  <si>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</si>
  <si>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</si>
  <si>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</si>
  <si>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</si>
  <si>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</si>
  <si>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</si>
  <si>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</si>
  <si>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</si>
  <si>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</si>
  <si>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</si>
  <si>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</si>
  <si>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</si>
  <si>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</si>
  <si>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</si>
  <si>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</si>
  <si>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</si>
  <si>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</si>
  <si>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</si>
  <si>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</si>
  <si>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</si>
  <si>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</si>
  <si>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</si>
  <si>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</si>
  <si>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</si>
  <si>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</si>
  <si>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</si>
  <si>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</si>
  <si>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</si>
  <si>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</si>
  <si>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</si>
  <si>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</si>
  <si>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</si>
  <si>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</si>
  <si>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</si>
  <si>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</si>
  <si>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</si>
  <si>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</si>
  <si>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</si>
  <si>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</si>
  <si>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</si>
  <si>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</si>
  <si>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</si>
  <si>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</si>
  <si>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</si>
  <si>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</si>
  <si>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</si>
  <si>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</si>
  <si>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</si>
  <si>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</si>
  <si>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</si>
  <si>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</si>
  <si>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</si>
  <si>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</si>
  <si>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</si>
  <si>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</si>
  <si>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</si>
  <si>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</si>
  <si>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</si>
  <si>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</si>
  <si>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</si>
  <si>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</si>
  <si>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</si>
  <si>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</si>
  <si>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</si>
  <si>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</si>
  <si>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</si>
  <si>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</si>
  <si>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</si>
  <si>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</si>
  <si>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</si>
  <si>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</si>
  <si>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</si>
  <si>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</si>
  <si>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</si>
  <si>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</si>
  <si>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</si>
  <si>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</si>
  <si>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</si>
  <si>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</si>
  <si>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</si>
  <si>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</si>
  <si>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</si>
  <si>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</si>
  <si>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</si>
  <si>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</si>
  <si>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</si>
  <si>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</si>
  <si>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</si>
  <si>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</si>
  <si>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</si>
  <si>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</si>
  <si>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</si>
  <si>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</si>
  <si>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</si>
  <si>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</si>
  <si>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</si>
  <si>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</si>
  <si>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</si>
  <si>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</si>
  <si>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</si>
  <si>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</si>
  <si>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</si>
  <si>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</si>
  <si>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</si>
  <si>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</si>
  <si>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</si>
  <si>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</si>
  <si>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</si>
  <si>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</si>
  <si>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</si>
  <si>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</si>
  <si>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</si>
  <si>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</si>
  <si>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</si>
  <si>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</si>
  <si>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</si>
  <si>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</si>
  <si>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</si>
  <si>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</si>
  <si>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</si>
  <si>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</si>
  <si>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</si>
  <si>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</si>
  <si>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</si>
  <si>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</si>
  <si>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</si>
  <si>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</si>
  <si>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</si>
  <si>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</si>
  <si>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</si>
  <si>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</si>
  <si>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</si>
  <si>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</si>
  <si>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</si>
  <si>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</si>
  <si>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</si>
  <si>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</si>
  <si>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</si>
  <si>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</si>
  <si>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</si>
  <si>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</si>
  <si>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</si>
  <si>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</si>
  <si>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</si>
  <si>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</si>
  <si>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</si>
  <si>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</si>
  <si>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</si>
  <si>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</si>
  <si>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</si>
  <si>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</si>
  <si>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</si>
  <si>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</si>
  <si>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</si>
  <si>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</si>
  <si>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</si>
  <si>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</si>
  <si>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</si>
  <si>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</si>
  <si>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</si>
  <si>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</si>
  <si>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</si>
  <si>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</si>
  <si>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</si>
  <si>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</si>
  <si>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</si>
  <si>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</si>
  <si>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</si>
  <si>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</si>
  <si>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</si>
  <si>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</si>
  <si>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</si>
  <si>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</si>
  <si>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</si>
  <si>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</si>
  <si>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</si>
  <si>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</si>
  <si>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</si>
  <si>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</si>
  <si>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</si>
  <si>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</si>
  <si>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</si>
  <si>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</si>
  <si>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</si>
  <si>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</si>
  <si>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</si>
  <si>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</si>
  <si>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</si>
  <si>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</si>
  <si>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</si>
  <si>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</si>
  <si>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</si>
  <si>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</si>
  <si>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</si>
  <si>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</si>
  <si>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</si>
  <si>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</si>
  <si>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</si>
  <si>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</si>
  <si>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</si>
  <si>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</si>
  <si>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</si>
  <si>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</si>
  <si>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</si>
  <si>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</si>
  <si>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</si>
  <si>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</si>
  <si>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</si>
  <si>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</si>
  <si>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</si>
  <si>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</si>
  <si>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</si>
  <si>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</si>
  <si>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</si>
  <si>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</si>
  <si>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</si>
  <si>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</si>
  <si>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</si>
  <si>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</si>
  <si>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</si>
  <si>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</si>
  <si>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</si>
  <si>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</si>
  <si>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</si>
  <si>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</si>
  <si>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</si>
  <si>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</si>
  <si>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</si>
  <si>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</si>
  <si>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</si>
  <si>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</si>
  <si>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</si>
  <si>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</si>
  <si>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</si>
  <si>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</si>
  <si>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</si>
  <si>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</si>
  <si>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</si>
  <si>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</si>
  <si>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</si>
  <si>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</si>
  <si>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</si>
  <si>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</si>
  <si>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</si>
  <si>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</si>
  <si>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</si>
  <si>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</si>
  <si>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</si>
  <si>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</si>
  <si>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</si>
  <si>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</si>
  <si>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</si>
  <si>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</si>
  <si>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</si>
  <si>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</si>
  <si>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</si>
  <si>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</si>
  <si>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</si>
  <si>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</si>
  <si>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</si>
  <si>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</si>
  <si>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</si>
  <si>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</si>
  <si>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</si>
  <si>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</si>
  <si>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</si>
  <si>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</si>
  <si>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</si>
  <si>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</si>
  <si>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</si>
  <si>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</si>
  <si>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</si>
  <si>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</si>
  <si>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</si>
  <si>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</si>
  <si>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</si>
  <si>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</si>
  <si>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</si>
  <si>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</si>
  <si>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</si>
  <si>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</si>
  <si>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</si>
  <si>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</si>
  <si>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</si>
  <si>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</si>
  <si>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</si>
  <si>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</si>
  <si>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</si>
  <si>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</si>
  <si>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</si>
  <si>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</si>
  <si>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</si>
  <si>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</si>
  <si>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</si>
  <si>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</si>
  <si>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</si>
  <si>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</si>
  <si>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</si>
  <si>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</si>
  <si>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</si>
  <si>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</si>
  <si>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</si>
  <si>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</si>
  <si>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</si>
  <si>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</si>
  <si>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</si>
  <si>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</si>
  <si>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</si>
  <si>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</si>
  <si>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</si>
  <si>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</si>
  <si>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</si>
  <si>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</si>
  <si>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</si>
  <si>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</si>
  <si>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</si>
  <si>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</si>
  <si>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</si>
  <si>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</si>
  <si>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</si>
  <si>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</si>
  <si>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</si>
  <si>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</si>
  <si>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</si>
  <si>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</si>
  <si>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</si>
  <si>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</si>
  <si>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</si>
  <si>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</si>
  <si>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</si>
  <si>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</si>
  <si>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</si>
  <si>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</si>
  <si>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</si>
  <si>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</si>
  <si>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</si>
  <si>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</si>
  <si>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</si>
  <si>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</si>
  <si>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</si>
  <si>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</si>
  <si>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</si>
  <si>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</si>
  <si>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</si>
  <si>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</si>
  <si>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</si>
  <si>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</si>
  <si>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</si>
  <si>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</si>
  <si>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</si>
  <si>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</si>
  <si>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</si>
  <si>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</si>
  <si>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</si>
  <si>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</si>
  <si>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</si>
  <si>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</si>
  <si>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</si>
  <si>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</si>
  <si>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</si>
  <si>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</si>
  <si>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</si>
  <si>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</si>
  <si>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</si>
  <si>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</si>
  <si>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</si>
  <si>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</si>
  <si>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</si>
  <si>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</si>
  <si>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</si>
  <si>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</si>
  <si>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</si>
  <si>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</si>
  <si>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</si>
  <si>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</si>
  <si>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</si>
  <si>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</si>
  <si>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</si>
  <si>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</si>
  <si>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</si>
  <si>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</si>
  <si>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</si>
  <si>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</si>
  <si>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</si>
  <si>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</si>
  <si>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</si>
  <si>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</si>
  <si>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</si>
  <si>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</si>
  <si>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</si>
  <si>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</si>
  <si>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</si>
  <si>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</si>
  <si>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</si>
  <si>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</si>
  <si>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</si>
  <si>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</si>
  <si>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</si>
  <si>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</si>
  <si>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</si>
  <si>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</si>
  <si>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</si>
  <si>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</si>
  <si>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</si>
  <si>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</si>
  <si>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</si>
  <si>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</si>
  <si>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</si>
  <si>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</si>
  <si>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</si>
  <si>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</si>
  <si>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</si>
  <si>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</si>
  <si>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</si>
  <si>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</si>
  <si>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</si>
  <si>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</si>
  <si>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</si>
  <si>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</si>
  <si>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</si>
  <si>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</si>
  <si>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</si>
  <si>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</si>
  <si>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</si>
  <si>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</si>
  <si>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</si>
  <si>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</si>
  <si>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</si>
  <si>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</si>
  <si>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</si>
  <si>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</si>
  <si>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</si>
  <si>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</si>
  <si>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</si>
  <si>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</si>
  <si>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</si>
  <si>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</si>
  <si>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</si>
  <si>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</si>
  <si>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</si>
  <si>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</si>
  <si>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</si>
  <si>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</si>
  <si>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</si>
  <si>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</si>
  <si>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</si>
  <si>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</si>
  <si>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</si>
  <si>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</si>
  <si>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</si>
  <si>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</si>
  <si>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</si>
  <si>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</si>
  <si>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</si>
  <si>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</si>
  <si>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</si>
  <si>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</si>
  <si>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</si>
  <si>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</si>
  <si>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</si>
  <si>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</si>
  <si>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</si>
  <si>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</si>
  <si>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</si>
  <si>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</si>
  <si>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</si>
  <si>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</si>
  <si>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</si>
  <si>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</si>
  <si>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</si>
  <si>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</si>
  <si>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</si>
  <si>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</si>
  <si>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</si>
  <si>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</si>
  <si>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</si>
  <si>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</si>
  <si>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</si>
  <si>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</si>
  <si>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</si>
  <si>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</si>
  <si>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</si>
  <si>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</si>
  <si>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</si>
  <si>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</si>
  <si>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</si>
  <si>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</si>
  <si>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</si>
  <si>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</si>
  <si>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</si>
  <si>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</si>
  <si>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</si>
  <si>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</si>
  <si>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</si>
  <si>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</si>
  <si>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</si>
  <si>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</si>
  <si>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</si>
  <si>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</si>
  <si>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</si>
  <si>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</si>
  <si>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</si>
  <si>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</si>
  <si>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</si>
  <si>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</si>
  <si>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</si>
  <si>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</si>
  <si>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</si>
  <si>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</si>
  <si>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</si>
  <si>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</si>
  <si>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</si>
  <si>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</si>
  <si>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</si>
  <si>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</si>
  <si>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</si>
  <si>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</si>
  <si>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</si>
  <si>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</si>
  <si>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</si>
  <si>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</si>
  <si>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</si>
  <si>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</si>
  <si>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</si>
  <si>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</si>
  <si>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</si>
  <si>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</si>
  <si>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</si>
  <si>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</si>
  <si>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</si>
  <si>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</si>
  <si>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</si>
  <si>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</si>
  <si>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</si>
  <si>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</si>
  <si>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</si>
  <si>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</si>
  <si>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</si>
  <si>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</si>
  <si>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</si>
  <si>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</si>
  <si>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</si>
  <si>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</si>
  <si>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</si>
  <si>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</si>
  <si>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</si>
  <si>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</si>
  <si>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</si>
  <si>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</si>
  <si>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</si>
  <si>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</si>
  <si>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</si>
  <si>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</si>
  <si>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</si>
  <si>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</si>
  <si>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</si>
  <si>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</si>
  <si>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</si>
  <si>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</si>
  <si>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</si>
  <si>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</si>
  <si>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</si>
  <si>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</si>
  <si>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</si>
  <si>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</si>
  <si>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</si>
  <si>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</si>
  <si>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</si>
  <si>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</si>
  <si>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</si>
  <si>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</si>
  <si>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</si>
  <si>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</si>
  <si>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</si>
  <si>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</si>
  <si>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</si>
  <si>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</si>
  <si>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</si>
  <si>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</si>
  <si>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</si>
  <si>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</si>
  <si>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</si>
  <si>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</si>
  <si>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</si>
  <si>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</si>
  <si>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</si>
  <si>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</si>
  <si>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</si>
  <si>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</si>
  <si>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</si>
  <si>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</si>
  <si>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</si>
  <si>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</si>
  <si>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</si>
  <si>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</si>
  <si>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</si>
  <si>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</si>
  <si>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</si>
  <si>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</si>
  <si>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</si>
  <si>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</si>
  <si>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</si>
  <si>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</si>
  <si>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</si>
  <si>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</si>
  <si>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</si>
  <si>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</si>
  <si>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</si>
  <si>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</si>
  <si>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</si>
  <si>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</si>
  <si>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</si>
  <si>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</si>
  <si>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</si>
  <si>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</si>
  <si>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</si>
  <si>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</si>
  <si>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</si>
  <si>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</si>
  <si>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</si>
  <si>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</si>
  <si>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</si>
  <si>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</si>
  <si>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</si>
  <si>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</si>
  <si>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</si>
  <si>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</si>
  <si>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</si>
  <si>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</si>
  <si>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</si>
  <si>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</si>
  <si>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</si>
  <si>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</si>
  <si>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</si>
  <si>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</si>
  <si>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</si>
  <si>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</si>
  <si>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</si>
  <si>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</si>
  <si>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</si>
  <si>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</si>
  <si>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</si>
  <si>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</si>
  <si>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</si>
  <si>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</si>
  <si>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</si>
  <si>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</si>
  <si>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</si>
  <si>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</si>
  <si>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</si>
  <si>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</si>
  <si>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</si>
  <si>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</si>
  <si>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</si>
  <si>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</si>
  <si>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</si>
  <si>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</si>
  <si>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</si>
  <si>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</si>
  <si>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</si>
  <si>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</si>
  <si>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</si>
  <si>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</si>
  <si>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</si>
  <si>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</si>
  <si>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</si>
  <si>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</si>
  <si>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</si>
  <si>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</si>
  <si>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</si>
  <si>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</si>
  <si>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</si>
  <si>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</si>
  <si>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</si>
  <si>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</si>
  <si>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</si>
  <si>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</si>
  <si>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</si>
  <si>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</si>
  <si>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</si>
  <si>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</si>
  <si>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</si>
  <si>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</si>
  <si>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</si>
  <si>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</si>
  <si>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</si>
  <si>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</si>
  <si>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</si>
  <si>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</si>
  <si>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</si>
  <si>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</si>
  <si>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</si>
  <si>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</si>
  <si>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</si>
  <si>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</si>
  <si>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</si>
  <si>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</si>
  <si>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</si>
  <si>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</si>
  <si>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</si>
  <si>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</si>
  <si>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</si>
  <si>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</si>
  <si>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</si>
  <si>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</si>
  <si>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</si>
  <si>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</si>
  <si>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</si>
  <si>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</si>
  <si>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</si>
  <si>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</si>
  <si>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</si>
  <si>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</si>
  <si>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</si>
  <si>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</si>
  <si>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</si>
  <si>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</si>
  <si>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</si>
  <si>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</si>
  <si>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</si>
  <si>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</si>
  <si>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</si>
  <si>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</si>
  <si>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</si>
  <si>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</si>
  <si>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</si>
  <si>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</si>
  <si>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</si>
  <si>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</si>
  <si>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</si>
  <si>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</si>
  <si>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</si>
  <si>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</si>
  <si>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</si>
  <si>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</si>
  <si>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</si>
  <si>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</si>
  <si>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</si>
  <si>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</si>
  <si>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</si>
  <si>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</si>
  <si>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</si>
  <si>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</si>
  <si>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</si>
  <si>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</si>
  <si>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</si>
  <si>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</si>
  <si>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</si>
  <si>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</si>
  <si>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</si>
  <si>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</si>
  <si>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</si>
  <si>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</si>
  <si>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</si>
  <si>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</si>
  <si>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</si>
  <si>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</si>
  <si>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</si>
  <si>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</si>
  <si>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</si>
  <si>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</si>
  <si>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</si>
  <si>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</si>
  <si>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</si>
  <si>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</si>
  <si>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</si>
  <si>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</si>
  <si>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</si>
  <si>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</si>
  <si>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</si>
  <si>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</si>
  <si>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</si>
  <si>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</si>
  <si>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</si>
  <si>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</si>
  <si>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</si>
  <si>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</si>
  <si>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</si>
  <si>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</si>
  <si>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</si>
  <si>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</si>
  <si>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</si>
  <si>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</si>
  <si>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</si>
  <si>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</si>
  <si>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</si>
  <si>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</si>
  <si>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</si>
  <si>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</si>
  <si>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</si>
  <si>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</si>
  <si>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</si>
  <si>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</si>
  <si>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</si>
  <si>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</si>
  <si>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</si>
  <si>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</si>
  <si>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</si>
  <si>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</si>
  <si>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</si>
  <si>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</si>
  <si>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</si>
  <si>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</si>
  <si>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</si>
  <si>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</si>
  <si>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</si>
  <si>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</si>
  <si>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</si>
  <si>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</si>
  <si>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</si>
  <si>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</si>
  <si>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</si>
  <si>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</si>
  <si>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</si>
  <si>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</si>
  <si>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</si>
  <si>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</si>
  <si>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</si>
  <si>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</si>
  <si>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</si>
  <si>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</si>
  <si>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</si>
  <si>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</si>
  <si>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</si>
  <si>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</si>
  <si>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</si>
  <si>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</si>
  <si>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</si>
  <si>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</si>
  <si>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</si>
  <si>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</si>
  <si>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</si>
  <si>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</si>
  <si>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</si>
  <si>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</si>
  <si>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</si>
  <si>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</si>
  <si>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</si>
  <si>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</si>
  <si>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</si>
  <si>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</si>
  <si>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</si>
  <si>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</si>
  <si>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</si>
  <si>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</si>
  <si>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</si>
  <si>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</si>
  <si>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</si>
  <si>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</si>
  <si>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</si>
  <si>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</si>
  <si>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</si>
  <si>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</si>
  <si>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</si>
  <si>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</si>
  <si>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</si>
  <si>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</si>
  <si>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</si>
  <si>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</si>
  <si>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</si>
  <si>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</si>
  <si>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</si>
  <si>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</si>
  <si>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</si>
  <si>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</si>
  <si>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</si>
  <si>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</si>
  <si>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</si>
  <si>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</si>
  <si>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</si>
  <si>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</si>
  <si>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</si>
  <si>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</si>
  <si>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</si>
  <si>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</si>
  <si>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</si>
  <si>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</si>
  <si>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</si>
  <si>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</si>
  <si>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</si>
  <si>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</si>
  <si>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</si>
  <si>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</si>
  <si>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</si>
  <si>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</si>
  <si>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</si>
  <si>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</si>
  <si>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</si>
  <si>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</si>
  <si>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</si>
  <si>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</si>
  <si>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</si>
  <si>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</si>
  <si>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</si>
  <si>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</si>
  <si>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</si>
  <si>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</si>
  <si>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</si>
  <si>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</si>
  <si>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</si>
  <si>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</si>
  <si>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</si>
  <si>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</si>
  <si>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</si>
  <si>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</si>
  <si>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</si>
  <si>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</si>
  <si>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</si>
  <si>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</si>
  <si>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</si>
  <si>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</si>
  <si>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</si>
  <si>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</si>
  <si>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</si>
  <si>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</si>
  <si>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</si>
  <si>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</si>
  <si>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</si>
  <si>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</si>
  <si>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</si>
  <si>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</si>
  <si>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</si>
  <si>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</si>
  <si>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</si>
  <si>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</si>
  <si>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</si>
  <si>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</si>
  <si>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</si>
  <si>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</si>
  <si>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</si>
  <si>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</si>
  <si>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</si>
  <si>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</si>
  <si>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</si>
  <si>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</si>
  <si>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</si>
  <si>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</si>
  <si>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</si>
  <si>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</si>
  <si>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</si>
  <si>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</si>
  <si>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</si>
  <si>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</si>
  <si>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</si>
  <si>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</si>
  <si>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</si>
  <si>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</si>
  <si>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</si>
  <si>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</si>
  <si>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</si>
  <si>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</si>
  <si>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</si>
  <si>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</si>
  <si>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</si>
  <si>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</si>
  <si>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</si>
  <si>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</si>
  <si>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</si>
  <si>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</si>
  <si>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</si>
  <si>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</si>
  <si>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</si>
  <si>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</si>
  <si>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</si>
  <si>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</si>
  <si>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</si>
  <si>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</si>
  <si>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</si>
  <si>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</si>
  <si>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</si>
  <si>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</si>
  <si>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</si>
  <si>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</si>
  <si>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</si>
  <si>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</si>
  <si>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</si>
  <si>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</si>
  <si>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</si>
  <si>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</si>
  <si>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</si>
  <si>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</si>
  <si>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</si>
  <si>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</si>
  <si>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</si>
  <si>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</si>
  <si>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</si>
  <si>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</si>
  <si>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</si>
  <si>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</si>
  <si>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</si>
  <si>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</si>
  <si>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</si>
  <si>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</si>
  <si>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</si>
  <si>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</si>
  <si>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</si>
  <si>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</si>
  <si>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</si>
  <si>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</si>
  <si>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</si>
  <si>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</si>
  <si>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</si>
  <si>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</si>
  <si>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</si>
  <si>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</si>
  <si>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</si>
  <si>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</si>
  <si>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</si>
  <si>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</si>
  <si>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</si>
  <si>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</si>
  <si>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</si>
  <si>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</si>
  <si>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</si>
  <si>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</si>
  <si>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</si>
  <si>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</si>
  <si>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</si>
  <si>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</si>
  <si>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</si>
  <si>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</si>
  <si>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</si>
  <si>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</si>
  <si>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</si>
  <si>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</si>
  <si>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</si>
  <si>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</si>
  <si>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</si>
  <si>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</si>
  <si>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</si>
  <si>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</si>
  <si>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</si>
  <si>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</si>
  <si>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</si>
  <si>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</si>
  <si>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</si>
  <si>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</si>
  <si>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</si>
  <si>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</si>
  <si>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</si>
  <si>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</si>
  <si>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</si>
  <si>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</si>
  <si>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</si>
  <si>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</si>
  <si>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</si>
  <si>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</si>
  <si>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</si>
  <si>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</si>
  <si>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</si>
  <si>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</si>
  <si>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</si>
  <si>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</si>
  <si>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</si>
  <si>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</si>
  <si>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</si>
  <si>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</si>
  <si>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</si>
  <si>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</si>
  <si>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</si>
  <si>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</si>
  <si>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</si>
  <si>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</si>
  <si>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</si>
  <si>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</si>
  <si>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</si>
  <si>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</si>
  <si>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</si>
  <si>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</si>
  <si>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</si>
  <si>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</si>
  <si>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</si>
  <si>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</si>
  <si>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</si>
  <si>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</si>
  <si>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</si>
  <si>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</si>
  <si>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</si>
  <si>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</si>
  <si>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</si>
  <si>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</si>
  <si>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</si>
  <si>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</si>
  <si>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</si>
  <si>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</si>
  <si>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</si>
  <si>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</si>
  <si>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</si>
  <si>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</si>
  <si>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</si>
  <si>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</si>
  <si>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</si>
  <si>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</si>
  <si>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</si>
  <si>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</si>
  <si>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</si>
  <si>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</si>
  <si>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</si>
  <si>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</si>
  <si>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</si>
  <si>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</si>
  <si>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</si>
  <si>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</si>
  <si>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</si>
  <si>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</si>
  <si>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</si>
  <si>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</si>
  <si>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</si>
  <si>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</si>
  <si>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</si>
  <si>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</si>
  <si>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</si>
  <si>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</si>
  <si>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</si>
  <si>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</si>
  <si>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</si>
  <si>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</si>
  <si>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</si>
  <si>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</si>
  <si>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</si>
  <si>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</si>
  <si>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</si>
  <si>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</si>
  <si>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</si>
  <si>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</si>
  <si>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</si>
  <si>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</si>
  <si>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</si>
  <si>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</si>
  <si>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</si>
  <si>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</si>
  <si>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</si>
  <si>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</si>
  <si>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</si>
  <si>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</si>
  <si>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</si>
  <si>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</si>
  <si>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</si>
  <si>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>CC1-A</t>
  </si>
  <si>
    <t xml:space="preserve">Pemasangan APP </t>
  </si>
  <si>
    <t>Trafo 3 Fasa 50 KVA 1 Tiang (G312-A)</t>
  </si>
  <si>
    <t>Daya 41.500 VA</t>
  </si>
  <si>
    <t>KONSTRUKSI JTR 3 PHASE</t>
  </si>
  <si>
    <t>KOORDINAT : -6.895634, 110.750727</t>
  </si>
  <si>
    <t>K3-169/19/35</t>
  </si>
  <si>
    <t>KDS 16</t>
  </si>
  <si>
    <t>UD RESTU</t>
  </si>
  <si>
    <t>DS BANJARSARI 04/05 GAJAH DEMAK</t>
  </si>
  <si>
    <t>KONSTRUKSI JARINGAN 3 PHASE</t>
  </si>
  <si>
    <t>CJ5-T</t>
  </si>
  <si>
    <t>CJ6-T</t>
  </si>
  <si>
    <t>MJ6-T</t>
  </si>
  <si>
    <t>Upah Pasang Penghantar TR LVTC 2x35 + 1x35mm²</t>
  </si>
  <si>
    <t>CE1-3</t>
  </si>
  <si>
    <t>F1-3</t>
  </si>
  <si>
    <t>CM2-12A</t>
  </si>
  <si>
    <t>SCHOOR</t>
  </si>
  <si>
    <t>KONDUKTOR</t>
  </si>
  <si>
    <t>Pemasangan APP 3 Fasa Di Bangunan</t>
  </si>
  <si>
    <t>CM2-11</t>
  </si>
  <si>
    <t>I2</t>
  </si>
  <si>
    <t>ACHMAD SUHENDRO</t>
  </si>
  <si>
    <t>Demak, 21 NOVEMBER 2023</t>
  </si>
  <si>
    <t>MANAGER ULP</t>
  </si>
  <si>
    <t>Staf teknik</t>
  </si>
  <si>
    <t>TL Teknik</t>
  </si>
  <si>
    <t>MULP</t>
  </si>
  <si>
    <t>Mbag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</si>
</sst>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" fillId="0" borderId="0"/>
    <xf numFmtId="41" fontId="20" fillId="0" borderId="0" applyFont="0" applyFill="0" applyBorder="0" applyAlignment="0" applyProtection="0"/>
    <xf numFmtId="0" fontId="3" fillId="0" borderId="0"/>
    <xf numFmtId="43" fontId="20" fillId="0" borderId="0" applyFont="0" applyFill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100"/>
    <xf numFmtId="0" fontId="87" fillId="0" borderId="101"/>
    <xf numFmtId="43" fontId="20" fillId="0" borderId="0" applyFont="0" applyFill="0" applyBorder="0" applyAlignment="0" applyProtection="0"/>
  </cellStyleXfs>
  <cellXfs count="721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37" fontId="149" fillId="0" borderId="0" xfId="1614" applyNumberFormat="1" applyFont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74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7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9" fillId="0" borderId="21" xfId="1614" applyFont="1" applyBorder="1" applyAlignment="1">
      <alignment horizontal="center" vertical="center" wrapText="1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43" fillId="0" borderId="21" xfId="1450" applyFont="1" applyBorder="1" applyAlignment="1">
      <alignment vertical="center" wrapText="1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20" fillId="0" borderId="21" xfId="1451" applyBorder="1" applyAlignment="1">
      <alignment horizontal="left" vertical="center" wrapText="1"/>
    </xf>
    <xf numFmtId="0" fontId="20" fillId="0" borderId="21" xfId="1451" applyBorder="1" applyAlignment="1">
      <alignment horizontal="center" wrapText="1"/>
    </xf>
    <xf numFmtId="0" fontId="20" fillId="0" borderId="21" xfId="1451" applyBorder="1" applyAlignment="1">
      <alignment horizontal="center" vertical="center" wrapText="1"/>
    </xf>
    <xf numFmtId="3" fontId="113" fillId="0" borderId="21" xfId="1451" applyNumberFormat="1" applyFont="1" applyBorder="1" applyAlignment="1">
      <alignment horizontal="center" vertical="center" wrapText="1"/>
    </xf>
    <xf numFmtId="0" fontId="43" fillId="0" borderId="20" xfId="1652" applyFont="1" applyBorder="1" applyAlignment="1">
      <alignment horizontal="center" vertical="center"/>
    </xf>
    <xf numFmtId="0" fontId="43" fillId="0" borderId="21" xfId="1652" applyFont="1" applyBorder="1" applyAlignment="1">
      <alignment vertical="center"/>
    </xf>
    <xf numFmtId="0" fontId="1" fillId="0" borderId="21" xfId="1652" applyFont="1" applyBorder="1" applyAlignment="1">
      <alignment horizontal="center" vertical="center"/>
    </xf>
    <xf numFmtId="0" fontId="127" fillId="48" borderId="21" xfId="1652" applyFont="1" applyFill="1" applyBorder="1" applyAlignment="1">
      <alignment vertical="center" wrapText="1"/>
    </xf>
    <xf numFmtId="0" fontId="150" fillId="48" borderId="21" xfId="1451" applyFont="1" applyFill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5" fillId="35" borderId="3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74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9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0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56029</xdr:colOff>
      <xdr:row>37</xdr:row>
      <xdr:rowOff>44823</xdr:rowOff>
    </xdr:from>
    <xdr:to>
      <xdr:col>19</xdr:col>
      <xdr:colOff>351267</xdr:colOff>
      <xdr:row>39</xdr:row>
      <xdr:rowOff>181696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183906-1A7E-47D2-9BAD-52FB04EDB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84941" y="8852647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210511</xdr:colOff>
      <xdr:row>166</xdr:row>
      <xdr:rowOff>95250</xdr:rowOff>
    </xdr:from>
    <xdr:to>
      <xdr:col>10</xdr:col>
      <xdr:colOff>505749</xdr:colOff>
      <xdr:row>169</xdr:row>
      <xdr:rowOff>153681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5285C5-08BC-4F37-AE3B-63F873E73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2297" y="32072036"/>
          <a:ext cx="29523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</xdr:col>
      <xdr:colOff>326224</xdr:colOff>
      <xdr:row>17</xdr:row>
      <xdr:rowOff>47206</xdr:rowOff>
    </xdr:from>
    <xdr:to>
      <xdr:col>16</xdr:col>
      <xdr:colOff>177137</xdr:colOff>
      <xdr:row>23</xdr:row>
      <xdr:rowOff>1330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2980073F-58E1-4D5A-A5B9-0FED4F4EEFF4}"/>
            </a:ext>
          </a:extLst>
        </xdr:cNvPr>
        <xdr:cNvSpPr txBox="1"/>
      </xdr:nvSpPr>
      <xdr:spPr>
        <a:xfrm>
          <a:off x="5211989" y="2714206"/>
          <a:ext cx="612913" cy="89541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UD RESTU</a:t>
          </a:r>
        </a:p>
      </xdr:txBody>
    </xdr:sp>
    <xdr:clientData/>
  </xdr:twoCellAnchor>
  <xdr:twoCellAnchor>
    <xdr:from>
      <xdr:col>14</xdr:col>
      <xdr:colOff>380069</xdr:colOff>
      <xdr:row>22</xdr:row>
      <xdr:rowOff>144101</xdr:rowOff>
    </xdr:from>
    <xdr:to>
      <xdr:col>15</xdr:col>
      <xdr:colOff>137018</xdr:colOff>
      <xdr:row>23</xdr:row>
      <xdr:rowOff>48484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6B3D51F7-11B7-40BF-8D2B-2BAA0D9CE31D}"/>
            </a:ext>
          </a:extLst>
        </xdr:cNvPr>
        <xdr:cNvSpPr/>
      </xdr:nvSpPr>
      <xdr:spPr>
        <a:xfrm>
          <a:off x="5265834" y="3595513"/>
          <a:ext cx="137949" cy="61265"/>
        </a:xfrm>
        <a:prstGeom prst="rect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11206</xdr:colOff>
      <xdr:row>40</xdr:row>
      <xdr:rowOff>104027</xdr:rowOff>
    </xdr:from>
    <xdr:to>
      <xdr:col>18</xdr:col>
      <xdr:colOff>268941</xdr:colOff>
      <xdr:row>41</xdr:row>
      <xdr:rowOff>78445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BBA959F-4E90-46E5-85EA-6B4EA9DC6237}"/>
            </a:ext>
          </a:extLst>
        </xdr:cNvPr>
        <xdr:cNvGrpSpPr/>
      </xdr:nvGrpSpPr>
      <xdr:grpSpPr>
        <a:xfrm>
          <a:off x="706945" y="6142049"/>
          <a:ext cx="5972735" cy="123505"/>
          <a:chOff x="1264164" y="8433954"/>
          <a:chExt cx="8970619" cy="184005"/>
        </a:xfrm>
      </xdr:grpSpPr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133958EC-14C1-2B07-F898-6EF9040967EF}"/>
              </a:ext>
            </a:extLst>
          </xdr:cNvPr>
          <xdr:cNvCxnSpPr/>
        </xdr:nvCxnSpPr>
        <xdr:spPr>
          <a:xfrm flipH="1" flipV="1">
            <a:off x="1270721" y="8433954"/>
            <a:ext cx="8964062" cy="0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08480DCB-46FC-A851-3A86-6BC079E09464}"/>
              </a:ext>
            </a:extLst>
          </xdr:cNvPr>
          <xdr:cNvCxnSpPr/>
        </xdr:nvCxnSpPr>
        <xdr:spPr>
          <a:xfrm flipH="1" flipV="1">
            <a:off x="1264164" y="8617959"/>
            <a:ext cx="8964062" cy="0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215187</xdr:colOff>
      <xdr:row>24</xdr:row>
      <xdr:rowOff>126291</xdr:rowOff>
    </xdr:from>
    <xdr:to>
      <xdr:col>9</xdr:col>
      <xdr:colOff>223072</xdr:colOff>
      <xdr:row>40</xdr:row>
      <xdr:rowOff>152595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B5331B16-3C05-4413-80C4-AFB9EAD14446}"/>
            </a:ext>
          </a:extLst>
        </xdr:cNvPr>
        <xdr:cNvCxnSpPr/>
      </xdr:nvCxnSpPr>
      <xdr:spPr>
        <a:xfrm flipH="1" flipV="1">
          <a:off x="3195952" y="3891467"/>
          <a:ext cx="7885" cy="252521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34199</xdr:colOff>
      <xdr:row>22</xdr:row>
      <xdr:rowOff>119479</xdr:rowOff>
    </xdr:from>
    <xdr:to>
      <xdr:col>9</xdr:col>
      <xdr:colOff>163892</xdr:colOff>
      <xdr:row>24</xdr:row>
      <xdr:rowOff>80454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7699299-0DBD-469B-A8C3-E43C5D13ED76}"/>
            </a:ext>
          </a:extLst>
        </xdr:cNvPr>
        <xdr:cNvCxnSpPr/>
      </xdr:nvCxnSpPr>
      <xdr:spPr>
        <a:xfrm>
          <a:off x="1871964" y="3570891"/>
          <a:ext cx="1272693" cy="27473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148038</xdr:colOff>
      <xdr:row>24</xdr:row>
      <xdr:rowOff>60322</xdr:rowOff>
    </xdr:from>
    <xdr:to>
      <xdr:col>18</xdr:col>
      <xdr:colOff>214346</xdr:colOff>
      <xdr:row>24</xdr:row>
      <xdr:rowOff>85310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E918FB7E-FEFC-4C24-A955-24394B36E472}"/>
            </a:ext>
          </a:extLst>
        </xdr:cNvPr>
        <xdr:cNvCxnSpPr/>
      </xdr:nvCxnSpPr>
      <xdr:spPr>
        <a:xfrm flipV="1">
          <a:off x="3128803" y="3825498"/>
          <a:ext cx="3495308" cy="2498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363649</xdr:colOff>
      <xdr:row>38</xdr:row>
      <xdr:rowOff>127310</xdr:rowOff>
    </xdr:from>
    <xdr:to>
      <xdr:col>6</xdr:col>
      <xdr:colOff>86005</xdr:colOff>
      <xdr:row>39</xdr:row>
      <xdr:rowOff>86945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C3A1B4C-C107-459D-9C81-C087896A5FBA}"/>
            </a:ext>
          </a:extLst>
        </xdr:cNvPr>
        <xdr:cNvGrpSpPr/>
      </xdr:nvGrpSpPr>
      <xdr:grpSpPr>
        <a:xfrm>
          <a:off x="1821388" y="5867158"/>
          <a:ext cx="103356" cy="1087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40804A3E-2030-BFCB-1268-2AA5592B68A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7678E626-F9F6-1E22-5BFA-062572C6E0A8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6D03EAF5-904C-ECF6-E4C4-4EEB266FC264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289607</xdr:colOff>
      <xdr:row>38</xdr:row>
      <xdr:rowOff>129708</xdr:rowOff>
    </xdr:from>
    <xdr:to>
      <xdr:col>9</xdr:col>
      <xdr:colOff>11284</xdr:colOff>
      <xdr:row>39</xdr:row>
      <xdr:rowOff>89343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4E4F1190-8F8E-4E5A-A980-3118B3BBE54B}"/>
            </a:ext>
          </a:extLst>
        </xdr:cNvPr>
        <xdr:cNvGrpSpPr/>
      </xdr:nvGrpSpPr>
      <xdr:grpSpPr>
        <a:xfrm>
          <a:off x="2890346" y="5869556"/>
          <a:ext cx="102677" cy="108722"/>
          <a:chOff x="3725636" y="1945820"/>
          <a:chExt cx="153760" cy="144237"/>
        </a:xfrm>
        <a:noFill/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B4B57053-FCD7-E79D-9F71-0E66BDEF95F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9E3716A-601D-7FD8-C778-012DAFE7900D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7E47783D-EF4D-E4A6-C596-E9E73B02CD01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275441</xdr:colOff>
      <xdr:row>38</xdr:row>
      <xdr:rowOff>126423</xdr:rowOff>
    </xdr:from>
    <xdr:to>
      <xdr:col>12</xdr:col>
      <xdr:colOff>378118</xdr:colOff>
      <xdr:row>39</xdr:row>
      <xdr:rowOff>86058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CA91C448-9E2F-4B08-B1F7-D939444128E7}"/>
            </a:ext>
          </a:extLst>
        </xdr:cNvPr>
        <xdr:cNvGrpSpPr/>
      </xdr:nvGrpSpPr>
      <xdr:grpSpPr>
        <a:xfrm>
          <a:off x="4400180" y="5866271"/>
          <a:ext cx="102677" cy="1087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C05BBAD4-93C1-AE82-7016-61F75A197F9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C4AED65-B47A-6A16-4E5C-9F9830B24783}"/>
              </a:ext>
            </a:extLst>
          </xdr:cNvPr>
          <xdr:cNvCxnSpPr>
            <a:stCxn id="17" idx="1"/>
            <a:endCxn id="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1D09200F-0790-1AC6-84DE-2C02E79C53D3}"/>
              </a:ext>
            </a:extLst>
          </xdr:cNvPr>
          <xdr:cNvCxnSpPr>
            <a:stCxn id="17" idx="3"/>
            <a:endCxn id="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86005</xdr:colOff>
      <xdr:row>39</xdr:row>
      <xdr:rowOff>28687</xdr:rowOff>
    </xdr:from>
    <xdr:to>
      <xdr:col>8</xdr:col>
      <xdr:colOff>289606</xdr:colOff>
      <xdr:row>39</xdr:row>
      <xdr:rowOff>31085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32F18C9-59A3-48AA-BDE0-EE7C2B5463D1}"/>
            </a:ext>
          </a:extLst>
        </xdr:cNvPr>
        <xdr:cNvCxnSpPr>
          <a:stCxn id="9" idx="6"/>
          <a:endCxn id="13" idx="2"/>
        </xdr:cNvCxnSpPr>
      </xdr:nvCxnSpPr>
      <xdr:spPr>
        <a:xfrm>
          <a:off x="1923770" y="6135893"/>
          <a:ext cx="965601" cy="239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11284</xdr:colOff>
      <xdr:row>39</xdr:row>
      <xdr:rowOff>27800</xdr:rowOff>
    </xdr:from>
    <xdr:to>
      <xdr:col>12</xdr:col>
      <xdr:colOff>275441</xdr:colOff>
      <xdr:row>39</xdr:row>
      <xdr:rowOff>31085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42FB172-C45C-49E9-AD33-3B42D0C6547F}"/>
            </a:ext>
          </a:extLst>
        </xdr:cNvPr>
        <xdr:cNvCxnSpPr>
          <a:stCxn id="13" idx="6"/>
          <a:endCxn id="17" idx="2"/>
        </xdr:cNvCxnSpPr>
      </xdr:nvCxnSpPr>
      <xdr:spPr>
        <a:xfrm flipV="1">
          <a:off x="2992049" y="6135006"/>
          <a:ext cx="1407157" cy="328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279215</xdr:colOff>
      <xdr:row>37</xdr:row>
      <xdr:rowOff>124212</xdr:rowOff>
    </xdr:from>
    <xdr:to>
      <xdr:col>9</xdr:col>
      <xdr:colOff>21444</xdr:colOff>
      <xdr:row>38</xdr:row>
      <xdr:rowOff>81412</xdr:rowOff>
    </xdr:to>
    <xdr:sp macro="" textlink="">
      <xdr:nvSpPr>
        <xdr:cNvPr id="22" name="Isosceles Triangle 21">
          <a:extLst>
            <a:ext uri="{FF2B5EF4-FFF2-40B4-BE49-F238E27FC236}">
              <a16:creationId xmlns:a16="http://schemas.microsoft.com/office/drawing/2014/main" id="{4E9C17F0-4795-4B10-B266-5B91704CE0DB}"/>
            </a:ext>
          </a:extLst>
        </xdr:cNvPr>
        <xdr:cNvSpPr/>
      </xdr:nvSpPr>
      <xdr:spPr>
        <a:xfrm>
          <a:off x="2878980" y="5917653"/>
          <a:ext cx="123229" cy="114083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800" b="0"/>
        </a:p>
      </xdr:txBody>
    </xdr:sp>
    <xdr:clientData/>
  </xdr:twoCellAnchor>
  <xdr:twoCellAnchor>
    <xdr:from>
      <xdr:col>9</xdr:col>
      <xdr:colOff>369549</xdr:colOff>
      <xdr:row>34</xdr:row>
      <xdr:rowOff>41691</xdr:rowOff>
    </xdr:from>
    <xdr:to>
      <xdr:col>10</xdr:col>
      <xdr:colOff>92433</xdr:colOff>
      <xdr:row>35</xdr:row>
      <xdr:rowOff>1325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A8B49B8B-B93E-412D-9FB4-37FA025B1AB0}"/>
            </a:ext>
          </a:extLst>
        </xdr:cNvPr>
        <xdr:cNvGrpSpPr/>
      </xdr:nvGrpSpPr>
      <xdr:grpSpPr>
        <a:xfrm>
          <a:off x="3351288" y="5152061"/>
          <a:ext cx="103884" cy="1087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64E31000-7FC7-0197-0607-9AE1DAAF4F8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BA20DC82-FFBF-9868-FA0A-414B21A97FC2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C2DECBF2-31F2-92C6-CBEC-5EA5D073B916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354975</xdr:colOff>
      <xdr:row>27</xdr:row>
      <xdr:rowOff>136583</xdr:rowOff>
    </xdr:from>
    <xdr:to>
      <xdr:col>10</xdr:col>
      <xdr:colOff>77859</xdr:colOff>
      <xdr:row>28</xdr:row>
      <xdr:rowOff>96217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8644AC1-BE84-4757-A9D5-133077EA5580}"/>
            </a:ext>
          </a:extLst>
        </xdr:cNvPr>
        <xdr:cNvGrpSpPr/>
      </xdr:nvGrpSpPr>
      <xdr:grpSpPr>
        <a:xfrm>
          <a:off x="3336714" y="4211626"/>
          <a:ext cx="103884" cy="1087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3D780DBD-DCD3-3DC4-0CBB-8D9B830D50A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A5895735-E4D6-DAE3-E8AA-966081D67793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3E0FD426-B3A3-CDF5-FAEE-79B00EDE4D5A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124213</xdr:colOff>
      <xdr:row>25</xdr:row>
      <xdr:rowOff>31693</xdr:rowOff>
    </xdr:from>
    <xdr:to>
      <xdr:col>12</xdr:col>
      <xdr:colOff>223979</xdr:colOff>
      <xdr:row>25</xdr:row>
      <xdr:rowOff>148209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DE1D3443-EAA7-4F0E-834F-CD20A9D81681}"/>
            </a:ext>
          </a:extLst>
        </xdr:cNvPr>
        <xdr:cNvGrpSpPr/>
      </xdr:nvGrpSpPr>
      <xdr:grpSpPr>
        <a:xfrm>
          <a:off x="4248952" y="3808563"/>
          <a:ext cx="99766" cy="1165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FD34BE6F-192A-3B60-B90F-131152D9469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F53AE0D2-BB50-6675-FD38-0CADA558D9A3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97C83430-79A5-1049-213E-8BCFBED9618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123335</xdr:colOff>
      <xdr:row>25</xdr:row>
      <xdr:rowOff>32934</xdr:rowOff>
    </xdr:from>
    <xdr:to>
      <xdr:col>15</xdr:col>
      <xdr:colOff>224913</xdr:colOff>
      <xdr:row>25</xdr:row>
      <xdr:rowOff>149450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AF38845-7BAD-4725-B6EC-5023B0D8C409}"/>
            </a:ext>
          </a:extLst>
        </xdr:cNvPr>
        <xdr:cNvGrpSpPr/>
      </xdr:nvGrpSpPr>
      <xdr:grpSpPr>
        <a:xfrm>
          <a:off x="5391074" y="3809804"/>
          <a:ext cx="101578" cy="1165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8AABD32B-D739-B77B-A48D-9D0DB3AF94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41BB98A2-1BCC-026C-3B4C-A15CA12BF2D7}"/>
              </a:ext>
            </a:extLst>
          </xdr:cNvPr>
          <xdr:cNvCxnSpPr>
            <a:stCxn id="36" idx="1"/>
            <a:endCxn id="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58D05BCB-1336-8F9C-198E-284F42727175}"/>
              </a:ext>
            </a:extLst>
          </xdr:cNvPr>
          <xdr:cNvCxnSpPr>
            <a:stCxn id="36" idx="3"/>
            <a:endCxn id="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11284</xdr:colOff>
      <xdr:row>34</xdr:row>
      <xdr:rowOff>141143</xdr:rowOff>
    </xdr:from>
    <xdr:to>
      <xdr:col>10</xdr:col>
      <xdr:colOff>3763</xdr:colOff>
      <xdr:row>39</xdr:row>
      <xdr:rowOff>31085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1E14E90F-483A-478C-A48C-523A9244650A}"/>
            </a:ext>
          </a:extLst>
        </xdr:cNvPr>
        <xdr:cNvCxnSpPr>
          <a:stCxn id="13" idx="6"/>
          <a:endCxn id="24" idx="3"/>
        </xdr:cNvCxnSpPr>
      </xdr:nvCxnSpPr>
      <xdr:spPr>
        <a:xfrm flipV="1">
          <a:off x="2992049" y="5463937"/>
          <a:ext cx="373479" cy="67435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25917</xdr:colOff>
      <xdr:row>28</xdr:row>
      <xdr:rowOff>96217</xdr:rowOff>
    </xdr:from>
    <xdr:to>
      <xdr:col>10</xdr:col>
      <xdr:colOff>40492</xdr:colOff>
      <xdr:row>34</xdr:row>
      <xdr:rowOff>41691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7D2E2AFD-7B45-4B3D-958B-9D99FEF4290E}"/>
            </a:ext>
          </a:extLst>
        </xdr:cNvPr>
        <xdr:cNvCxnSpPr>
          <a:stCxn id="24" idx="0"/>
          <a:endCxn id="28" idx="4"/>
        </xdr:cNvCxnSpPr>
      </xdr:nvCxnSpPr>
      <xdr:spPr>
        <a:xfrm flipH="1" flipV="1">
          <a:off x="3387682" y="4488923"/>
          <a:ext cx="14575" cy="87556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62646</xdr:colOff>
      <xdr:row>25</xdr:row>
      <xdr:rowOff>89952</xdr:rowOff>
    </xdr:from>
    <xdr:to>
      <xdr:col>12</xdr:col>
      <xdr:colOff>124213</xdr:colOff>
      <xdr:row>27</xdr:row>
      <xdr:rowOff>153647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90FD75F0-7388-446D-8A07-45E2EEB11068}"/>
            </a:ext>
          </a:extLst>
        </xdr:cNvPr>
        <xdr:cNvCxnSpPr>
          <a:stCxn id="32" idx="2"/>
          <a:endCxn id="28" idx="7"/>
        </xdr:cNvCxnSpPr>
      </xdr:nvCxnSpPr>
      <xdr:spPr>
        <a:xfrm flipH="1">
          <a:off x="3424411" y="4012011"/>
          <a:ext cx="823567" cy="3774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223979</xdr:colOff>
      <xdr:row>25</xdr:row>
      <xdr:rowOff>89952</xdr:rowOff>
    </xdr:from>
    <xdr:to>
      <xdr:col>15</xdr:col>
      <xdr:colOff>123336</xdr:colOff>
      <xdr:row>25</xdr:row>
      <xdr:rowOff>91193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7D5D656D-7FC4-4333-A4FB-36630FFC6450}"/>
            </a:ext>
          </a:extLst>
        </xdr:cNvPr>
        <xdr:cNvCxnSpPr>
          <a:stCxn id="32" idx="6"/>
          <a:endCxn id="36" idx="2"/>
        </xdr:cNvCxnSpPr>
      </xdr:nvCxnSpPr>
      <xdr:spPr>
        <a:xfrm>
          <a:off x="4347744" y="4012011"/>
          <a:ext cx="1042357" cy="124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224914</xdr:colOff>
      <xdr:row>25</xdr:row>
      <xdr:rowOff>90957</xdr:rowOff>
    </xdr:from>
    <xdr:to>
      <xdr:col>16</xdr:col>
      <xdr:colOff>161273</xdr:colOff>
      <xdr:row>25</xdr:row>
      <xdr:rowOff>91192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35CF7CAC-6454-4F39-80E7-C8A350E5B286}"/>
            </a:ext>
          </a:extLst>
        </xdr:cNvPr>
        <xdr:cNvCxnSpPr>
          <a:stCxn id="36" idx="6"/>
        </xdr:cNvCxnSpPr>
      </xdr:nvCxnSpPr>
      <xdr:spPr>
        <a:xfrm flipV="1">
          <a:off x="5491679" y="4013016"/>
          <a:ext cx="317359" cy="235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370020</xdr:colOff>
      <xdr:row>31</xdr:row>
      <xdr:rowOff>9979</xdr:rowOff>
    </xdr:from>
    <xdr:to>
      <xdr:col>10</xdr:col>
      <xdr:colOff>68797</xdr:colOff>
      <xdr:row>31</xdr:row>
      <xdr:rowOff>73619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E1F98F7A-EB10-45F0-B0F1-B61ADDC35E38}"/>
            </a:ext>
          </a:extLst>
        </xdr:cNvPr>
        <xdr:cNvGrpSpPr/>
      </xdr:nvGrpSpPr>
      <xdr:grpSpPr>
        <a:xfrm rot="5400000">
          <a:off x="3359828" y="4665019"/>
          <a:ext cx="63640" cy="79777"/>
          <a:chOff x="5827632" y="7098831"/>
          <a:chExt cx="106506" cy="143091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F681E14E-64C9-C6C5-365C-1240E83A5B31}"/>
              </a:ext>
            </a:extLst>
          </xdr:cNvPr>
          <xdr:cNvCxnSpPr/>
        </xdr:nvCxnSpPr>
        <xdr:spPr>
          <a:xfrm flipV="1">
            <a:off x="5827632" y="7098831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1209CBC1-549D-9555-A6C7-769C9E7D5C53}"/>
              </a:ext>
            </a:extLst>
          </xdr:cNvPr>
          <xdr:cNvCxnSpPr/>
        </xdr:nvCxnSpPr>
        <xdr:spPr>
          <a:xfrm flipV="1">
            <a:off x="5863134" y="7099697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73AD7106-1170-D77F-0F51-B88AA856A369}"/>
              </a:ext>
            </a:extLst>
          </xdr:cNvPr>
          <xdr:cNvCxnSpPr/>
        </xdr:nvCxnSpPr>
        <xdr:spPr>
          <a:xfrm flipV="1">
            <a:off x="5902966" y="7100563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9D58B1A6-FDD7-8C84-3FAE-F00C4DA2C516}"/>
              </a:ext>
            </a:extLst>
          </xdr:cNvPr>
          <xdr:cNvCxnSpPr/>
        </xdr:nvCxnSpPr>
        <xdr:spPr>
          <a:xfrm flipV="1">
            <a:off x="5934138" y="7101429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41723</xdr:colOff>
      <xdr:row>26</xdr:row>
      <xdr:rowOff>113938</xdr:rowOff>
    </xdr:from>
    <xdr:to>
      <xdr:col>11</xdr:col>
      <xdr:colOff>101103</xdr:colOff>
      <xdr:row>27</xdr:row>
      <xdr:rowOff>42555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1F68F64F-1133-46D8-97F6-5842316AF620}"/>
            </a:ext>
          </a:extLst>
        </xdr:cNvPr>
        <xdr:cNvGrpSpPr/>
      </xdr:nvGrpSpPr>
      <xdr:grpSpPr>
        <a:xfrm rot="9490810">
          <a:off x="3785462" y="4039895"/>
          <a:ext cx="59380" cy="77703"/>
          <a:chOff x="5827632" y="7098831"/>
          <a:chExt cx="106506" cy="143091"/>
        </a:xfrm>
      </xdr:grpSpPr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06A1D432-6734-9BD2-E2F0-5DCB980A9555}"/>
              </a:ext>
            </a:extLst>
          </xdr:cNvPr>
          <xdr:cNvCxnSpPr/>
        </xdr:nvCxnSpPr>
        <xdr:spPr>
          <a:xfrm flipV="1">
            <a:off x="5827632" y="7098831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981D779-88A6-AD6B-DD01-74E370BDA833}"/>
              </a:ext>
            </a:extLst>
          </xdr:cNvPr>
          <xdr:cNvCxnSpPr/>
        </xdr:nvCxnSpPr>
        <xdr:spPr>
          <a:xfrm flipV="1">
            <a:off x="5863134" y="7099697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C428469E-CA1B-B004-6F2F-ACC711C8452F}"/>
              </a:ext>
            </a:extLst>
          </xdr:cNvPr>
          <xdr:cNvCxnSpPr/>
        </xdr:nvCxnSpPr>
        <xdr:spPr>
          <a:xfrm flipV="1">
            <a:off x="5902966" y="7100563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B7CCE44F-EB65-12C3-D001-864F051A5B8B}"/>
              </a:ext>
            </a:extLst>
          </xdr:cNvPr>
          <xdr:cNvCxnSpPr/>
        </xdr:nvCxnSpPr>
        <xdr:spPr>
          <a:xfrm flipV="1">
            <a:off x="5934138" y="7101429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374474</xdr:colOff>
      <xdr:row>25</xdr:row>
      <xdr:rowOff>59150</xdr:rowOff>
    </xdr:from>
    <xdr:to>
      <xdr:col>14</xdr:col>
      <xdr:colOff>52854</xdr:colOff>
      <xdr:row>25</xdr:row>
      <xdr:rowOff>144650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B5737294-2AD8-41F7-8AFB-356031FFA9F6}"/>
            </a:ext>
          </a:extLst>
        </xdr:cNvPr>
        <xdr:cNvGrpSpPr/>
      </xdr:nvGrpSpPr>
      <xdr:grpSpPr>
        <a:xfrm rot="10640359">
          <a:off x="4880213" y="3836020"/>
          <a:ext cx="59380" cy="85500"/>
          <a:chOff x="5827632" y="7098831"/>
          <a:chExt cx="106506" cy="143091"/>
        </a:xfrm>
      </xdr:grpSpPr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2132089F-9E86-87F1-181D-F3A29DBBE1B6}"/>
              </a:ext>
            </a:extLst>
          </xdr:cNvPr>
          <xdr:cNvCxnSpPr/>
        </xdr:nvCxnSpPr>
        <xdr:spPr>
          <a:xfrm flipV="1">
            <a:off x="5827632" y="7098831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BB763E5A-C01C-B46A-558B-DC973C21ABF4}"/>
              </a:ext>
            </a:extLst>
          </xdr:cNvPr>
          <xdr:cNvCxnSpPr/>
        </xdr:nvCxnSpPr>
        <xdr:spPr>
          <a:xfrm flipV="1">
            <a:off x="5863134" y="7099697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84E9C715-7F5E-2502-CA9F-106802A3BE2E}"/>
              </a:ext>
            </a:extLst>
          </xdr:cNvPr>
          <xdr:cNvCxnSpPr/>
        </xdr:nvCxnSpPr>
        <xdr:spPr>
          <a:xfrm flipV="1">
            <a:off x="5902966" y="7100563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3DCB609D-059C-C9F4-8D76-D29963399776}"/>
              </a:ext>
            </a:extLst>
          </xdr:cNvPr>
          <xdr:cNvCxnSpPr/>
        </xdr:nvCxnSpPr>
        <xdr:spPr>
          <a:xfrm flipV="1">
            <a:off x="5934138" y="7101429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130842</xdr:colOff>
      <xdr:row>36</xdr:row>
      <xdr:rowOff>124687</xdr:rowOff>
    </xdr:from>
    <xdr:to>
      <xdr:col>9</xdr:col>
      <xdr:colOff>210619</xdr:colOff>
      <xdr:row>37</xdr:row>
      <xdr:rowOff>31445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D30FBF2E-E6A1-4FF4-866B-073B71F6F503}"/>
            </a:ext>
          </a:extLst>
        </xdr:cNvPr>
        <xdr:cNvGrpSpPr/>
      </xdr:nvGrpSpPr>
      <xdr:grpSpPr>
        <a:xfrm rot="7693837">
          <a:off x="3116264" y="5529547"/>
          <a:ext cx="72411" cy="79777"/>
          <a:chOff x="5827632" y="7098831"/>
          <a:chExt cx="106506" cy="143091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DE2FA99A-F30A-E0B7-72CD-260790B93C1E}"/>
              </a:ext>
            </a:extLst>
          </xdr:cNvPr>
          <xdr:cNvCxnSpPr/>
        </xdr:nvCxnSpPr>
        <xdr:spPr>
          <a:xfrm flipV="1">
            <a:off x="5827632" y="7098831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A4D47BD5-6944-6936-343E-498A519B1D8D}"/>
              </a:ext>
            </a:extLst>
          </xdr:cNvPr>
          <xdr:cNvCxnSpPr/>
        </xdr:nvCxnSpPr>
        <xdr:spPr>
          <a:xfrm flipV="1">
            <a:off x="5863134" y="7099697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B10B5AD6-AB0F-12C1-3D67-64C850513B6F}"/>
              </a:ext>
            </a:extLst>
          </xdr:cNvPr>
          <xdr:cNvCxnSpPr/>
        </xdr:nvCxnSpPr>
        <xdr:spPr>
          <a:xfrm flipV="1">
            <a:off x="5902966" y="7100563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EEE561B7-3087-EFC9-0891-7A91F4B3356B}"/>
              </a:ext>
            </a:extLst>
          </xdr:cNvPr>
          <xdr:cNvCxnSpPr/>
        </xdr:nvCxnSpPr>
        <xdr:spPr>
          <a:xfrm flipV="1">
            <a:off x="5934138" y="7101429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347869</xdr:colOff>
      <xdr:row>26</xdr:row>
      <xdr:rowOff>74542</xdr:rowOff>
    </xdr:from>
    <xdr:to>
      <xdr:col>16</xdr:col>
      <xdr:colOff>149086</xdr:colOff>
      <xdr:row>31</xdr:row>
      <xdr:rowOff>49694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4EFC77C5-89B8-41BC-976B-ED34DDC2EDC6}"/>
            </a:ext>
          </a:extLst>
        </xdr:cNvPr>
        <xdr:cNvSpPr/>
      </xdr:nvSpPr>
      <xdr:spPr>
        <a:xfrm>
          <a:off x="5234608" y="4000499"/>
          <a:ext cx="563217" cy="712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CM2-12A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41413</xdr:colOff>
      <xdr:row>26</xdr:row>
      <xdr:rowOff>24847</xdr:rowOff>
    </xdr:from>
    <xdr:to>
      <xdr:col>13</xdr:col>
      <xdr:colOff>191681</xdr:colOff>
      <xdr:row>28</xdr:row>
      <xdr:rowOff>6035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39FFCE0-3450-4B1E-8BC3-D1B3B357CD59}"/>
            </a:ext>
          </a:extLst>
        </xdr:cNvPr>
        <xdr:cNvSpPr/>
      </xdr:nvSpPr>
      <xdr:spPr>
        <a:xfrm>
          <a:off x="4166152" y="3950804"/>
          <a:ext cx="531268" cy="27936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ctr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CJ7-T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115957</xdr:colOff>
      <xdr:row>25</xdr:row>
      <xdr:rowOff>124239</xdr:rowOff>
    </xdr:from>
    <xdr:to>
      <xdr:col>9</xdr:col>
      <xdr:colOff>298174</xdr:colOff>
      <xdr:row>30</xdr:row>
      <xdr:rowOff>81998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1BAFFC67-4A16-4936-8514-2FEACD5E72AC}"/>
            </a:ext>
          </a:extLst>
        </xdr:cNvPr>
        <xdr:cNvSpPr/>
      </xdr:nvSpPr>
      <xdr:spPr>
        <a:xfrm>
          <a:off x="2716696" y="3901109"/>
          <a:ext cx="563217" cy="69491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CM2-12A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223630</xdr:colOff>
      <xdr:row>33</xdr:row>
      <xdr:rowOff>91108</xdr:rowOff>
    </xdr:from>
    <xdr:to>
      <xdr:col>11</xdr:col>
      <xdr:colOff>373898</xdr:colOff>
      <xdr:row>35</xdr:row>
      <xdr:rowOff>72295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12E8C31E-D771-4D46-B652-967C4D3E74B1}"/>
            </a:ext>
          </a:extLst>
        </xdr:cNvPr>
        <xdr:cNvSpPr/>
      </xdr:nvSpPr>
      <xdr:spPr>
        <a:xfrm>
          <a:off x="3586369" y="5052391"/>
          <a:ext cx="531268" cy="27936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ctr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CJ7-T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49696</xdr:colOff>
      <xdr:row>40</xdr:row>
      <xdr:rowOff>8282</xdr:rowOff>
    </xdr:from>
    <xdr:to>
      <xdr:col>9</xdr:col>
      <xdr:colOff>256761</xdr:colOff>
      <xdr:row>44</xdr:row>
      <xdr:rowOff>66261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9BE9F35C-0A4F-4467-926D-1FB7DC5D47F0}"/>
            </a:ext>
          </a:extLst>
        </xdr:cNvPr>
        <xdr:cNvSpPr/>
      </xdr:nvSpPr>
      <xdr:spPr>
        <a:xfrm>
          <a:off x="2650435" y="6046304"/>
          <a:ext cx="588065" cy="65432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C12-350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 CG312A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27</xdr:col>
      <xdr:colOff>149087</xdr:colOff>
      <xdr:row>50</xdr:row>
      <xdr:rowOff>215348</xdr:rowOff>
    </xdr:from>
    <xdr:to>
      <xdr:col>27</xdr:col>
      <xdr:colOff>225287</xdr:colOff>
      <xdr:row>52</xdr:row>
      <xdr:rowOff>61779</xdr:rowOff>
    </xdr:to>
    <xdr:sp macro="" textlink="">
      <xdr:nvSpPr>
        <xdr:cNvPr id="164" name="Freeform: Shape 163">
          <a:extLst>
            <a:ext uri="{FF2B5EF4-FFF2-40B4-BE49-F238E27FC236}">
              <a16:creationId xmlns:a16="http://schemas.microsoft.com/office/drawing/2014/main" id="{405A8CCC-E342-4540-B37C-E6546C0B771D}"/>
            </a:ext>
          </a:extLst>
        </xdr:cNvPr>
        <xdr:cNvSpPr/>
      </xdr:nvSpPr>
      <xdr:spPr>
        <a:xfrm>
          <a:off x="10088217" y="7760805"/>
          <a:ext cx="76200" cy="243996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16566</xdr:colOff>
      <xdr:row>51</xdr:row>
      <xdr:rowOff>124239</xdr:rowOff>
    </xdr:from>
    <xdr:to>
      <xdr:col>28</xdr:col>
      <xdr:colOff>73716</xdr:colOff>
      <xdr:row>53</xdr:row>
      <xdr:rowOff>6905</xdr:rowOff>
    </xdr:to>
    <xdr:sp macro="" textlink="">
      <xdr:nvSpPr>
        <xdr:cNvPr id="165" name="Freeform: Shape 164">
          <a:extLst>
            <a:ext uri="{FF2B5EF4-FFF2-40B4-BE49-F238E27FC236}">
              <a16:creationId xmlns:a16="http://schemas.microsoft.com/office/drawing/2014/main" id="{FB6D0F58-3D32-4ABF-9A7F-6F73D2463EB8}"/>
            </a:ext>
          </a:extLst>
        </xdr:cNvPr>
        <xdr:cNvSpPr/>
      </xdr:nvSpPr>
      <xdr:spPr>
        <a:xfrm>
          <a:off x="10336696" y="7918174"/>
          <a:ext cx="57150" cy="18084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</xdr:colOff>
      <xdr:row>9</xdr:row>
      <xdr:rowOff>158029</xdr:rowOff>
    </xdr:from>
    <xdr:to>
      <xdr:col>19</xdr:col>
      <xdr:colOff>125962</xdr:colOff>
      <xdr:row>51</xdr:row>
      <xdr:rowOff>26188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027276-254D-38A8-39F9-5977B047F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3062" y="1801092"/>
          <a:ext cx="9389025" cy="686903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1134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1135</v>
      </c>
      <c r="G7" s="534" t="s">
        <v>41</v>
      </c>
      <c r="H7" s="530" t="s">
        <v>1042</v>
      </c>
      <c r="I7" s="530" t="s">
        <v>1137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3x35+1x35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183.6</v>
      </c>
      <c r="G19" s="41">
        <f ca="1">IF(ISERROR(OFFSET('HARGA SATUAN'!$I$6,MATCH(C19,'HARGA SATUAN'!$C$7:$C$1492,0),0)),"",OFFSET('HARGA SATUAN'!$I$6,MATCH(C19,'HARGA SATUAN'!$C$7:$C$1492,0),0))</f>
        <v>30400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SUMIFS(RAB!$F$14:$F$150,RAB!$C$14:$C$150,C714)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SUMIFS(RAB!$F$14:$F$150,RAB!$C$14:$C$150,C715)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SUMIFS(RAB!$F$14:$F$150,RAB!$C$14:$C$150,C716)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SUMIFS(RAB!$F$14:$F$150,RAB!$C$14:$C$150,C717)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SUMIFS(RAB!$F$14:$F$150,RAB!$C$14:$C$150,C718)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SUMIFS(RAB!$F$14:$F$150,RAB!$C$14:$C$150,C719)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SUMIFS(RAB!$F$14:$F$150,RAB!$C$14:$C$150,C720)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SUMIFS(RAB!$F$14:$F$150,RAB!$C$14:$C$150,C721)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SUMIFS(RAB!$F$14:$F$150,RAB!$C$14:$C$150,C722)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SUMIFS(RAB!$F$14:$F$150,RAB!$C$14:$C$150,C723)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SUMIFS(RAB!$F$14:$F$150,RAB!$C$14:$C$150,C724)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SUMIFS(RAB!$F$14:$F$150,RAB!$C$14:$C$150,C725)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SUMIFS(RAB!$F$14:$F$150,RAB!$C$14:$C$150,C726)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SUMIFS(RAB!$F$14:$F$150,RAB!$C$14:$C$150,C727)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SUMIFS(RAB!$F$14:$F$150,RAB!$C$14:$C$150,C728)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SUMIFS(RAB!$F$14:$F$150,RAB!$C$14:$C$150,C729)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SUMIFS(RAB!$F$14:$F$150,RAB!$C$14:$C$150,C730)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SUMIFS(RAB!$F$14:$F$150,RAB!$C$14:$C$150,C731)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SUMIFS(RAB!$F$14:$F$150,RAB!$C$14:$C$150,C732)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SUMIFS(RAB!$F$14:$F$150,RAB!$C$14:$C$150,C733)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SUMIFS(RAB!$F$14:$F$150,RAB!$C$14:$C$150,C734)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SUMIFS(RAB!$F$14:$F$150,RAB!$C$14:$C$150,C735)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SUMIFS(RAB!$F$14:$F$150,RAB!$C$14:$C$150,C736)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SUMIFS(RAB!$F$14:$F$150,RAB!$C$14:$C$150,C737)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SUMIFS(RAB!$F$14:$F$150,RAB!$C$14:$C$150,C738)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SUMIFS(RAB!$F$14:$F$150,RAB!$C$14:$C$150,C739)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SUMIFS(RAB!$F$14:$F$150,RAB!$C$14:$C$150,C740)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SUMIFS(RAB!$F$14:$F$150,RAB!$C$14:$C$150,C741)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SUMIFS(RAB!$F$14:$F$150,RAB!$C$14:$C$150,C742)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SUMIFS(RAB!$F$14:$F$150,RAB!$C$14:$C$150,C743)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SUMIFS(RAB!$F$14:$F$150,RAB!$C$14:$C$150,C744)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SUMIFS(RAB!$F$14:$F$150,RAB!$C$14:$C$150,C745)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SUMIFS(RAB!$F$14:$F$150,RAB!$C$14:$C$150,C746)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SUMIFS(RAB!$F$14:$F$150,RAB!$C$14:$C$150,C747)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SUMIFS(RAB!$F$14:$F$150,RAB!$C$14:$C$150,C748)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SUMIFS(RAB!$F$14:$F$150,RAB!$C$14:$C$150,C749)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SUMIFS(RAB!$F$14:$F$150,RAB!$C$14:$C$150,C750)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SUMIFS(RAB!$F$14:$F$150,RAB!$C$14:$C$150,C751)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SUMIFS(RAB!$F$14:$F$150,RAB!$C$14:$C$150,C752)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SUMIFS(RAB!$F$14:$F$150,RAB!$C$14:$C$150,C753)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SUMIFS(RAB!$F$14:$F$150,RAB!$C$14:$C$150,C754)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SUMIFS(RAB!$F$14:$F$150,RAB!$C$14:$C$150,C755)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SUMIFS(RAB!$F$14:$F$150,RAB!$C$14:$C$150,C756)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SUMIFS(RAB!$F$14:$F$150,RAB!$C$14:$C$150,C757)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SUMIFS(RAB!$F$14:$F$150,RAB!$C$14:$C$150,C758)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SUMIFS(RAB!$F$14:$F$150,RAB!$C$14:$C$150,C759)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SUMIFS(RAB!$F$14:$F$150,RAB!$C$14:$C$150,C760)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SUMIFS(RAB!$F$14:$F$150,RAB!$C$14:$C$150,C761)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SUMIFS(RAB!$F$14:$F$150,RAB!$C$14:$C$150,C762)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SUMIFS(RAB!$F$14:$F$150,RAB!$C$14:$C$150,C763)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SUMIFS(RAB!$F$14:$F$150,RAB!$C$14:$C$150,C764)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SUMIFS(RAB!$F$14:$F$150,RAB!$C$14:$C$150,C765)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SUMIFS(RAB!$F$14:$F$150,RAB!$C$14:$C$150,C766)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SUMIFS(RAB!$F$14:$F$150,RAB!$C$14:$C$150,C767)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SUMIFS(RAB!$F$14:$F$150,RAB!$C$14:$C$150,C768)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SUMIFS(RAB!$F$14:$F$150,RAB!$C$14:$C$150,C769)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SUMIFS(RAB!$F$14:$F$150,RAB!$C$14:$C$150,C770)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SUMIFS(RAB!$F$14:$F$150,RAB!$C$14:$C$150,C771)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SUMIFS(RAB!$F$14:$F$150,RAB!$C$14:$C$150,C772)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SUMIFS(RAB!$F$14:$F$150,RAB!$C$14:$C$150,C773)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SUMIFS(RAB!$F$14:$F$150,RAB!$C$14:$C$150,C774)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SUMIFS(RAB!$F$14:$F$150,RAB!$C$14:$C$150,C775)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SUMIFS(RAB!$F$14:$F$150,RAB!$C$14:$C$150,C776)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SUMIFS(RAB!$F$14:$F$150,RAB!$C$14:$C$150,C777)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SUMIFS(RAB!$F$14:$F$150,RAB!$C$14:$C$150,C778)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SUMIFS(RAB!$F$14:$F$150,RAB!$C$14:$C$150,C779)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SUMIFS(RAB!$F$14:$F$150,RAB!$C$14:$C$150,C780)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SUMIFS(RAB!$F$14:$F$150,RAB!$C$14:$C$150,C781)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SUMIFS(RAB!$F$14:$F$150,RAB!$C$14:$C$150,C782)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SUMIFS(RAB!$F$14:$F$150,RAB!$C$14:$C$150,C783)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SUMIFS(RAB!$F$14:$F$150,RAB!$C$14:$C$150,C784)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SUMIFS(RAB!$F$14:$F$150,RAB!$C$14:$C$150,C785)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SUMIFS(RAB!$F$14:$F$150,RAB!$C$14:$C$150,C786)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SUMIFS(RAB!$F$14:$F$150,RAB!$C$14:$C$150,C787)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SUMIFS(RAB!$F$14:$F$150,RAB!$C$14:$C$150,C788)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SUMIFS(RAB!$F$14:$F$150,RAB!$C$14:$C$150,C789)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SUMIFS(RAB!$F$14:$F$150,RAB!$C$14:$C$150,C790)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SUMIFS(RAB!$F$14:$F$150,RAB!$C$14:$C$150,C791)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SUMIFS(RAB!$F$14:$F$150,RAB!$C$14:$C$150,C792)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SUMIFS(RAB!$F$14:$F$150,RAB!$C$14:$C$150,C793)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SUMIFS(RAB!$F$14:$F$150,RAB!$C$14:$C$150,C794)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SUMIFS(RAB!$F$14:$F$150,RAB!$C$14:$C$150,C795)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SUMIFS(RAB!$F$14:$F$150,RAB!$C$14:$C$150,C796)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SUMIFS(RAB!$F$14:$F$150,RAB!$C$14:$C$150,C797)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SUMIFS(RAB!$F$14:$F$150,RAB!$C$14:$C$150,C798)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SUMIFS(RAB!$F$14:$F$150,RAB!$C$14:$C$150,C799)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SUMIFS(RAB!$F$14:$F$150,RAB!$C$14:$C$150,C800)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SUMIFS(RAB!$F$14:$F$150,RAB!$C$14:$C$150,C801)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SUMIFS(RAB!$F$14:$F$150,RAB!$C$14:$C$150,C802)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SUMIFS(RAB!$F$14:$F$150,RAB!$C$14:$C$150,C803)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SUMIFS(RAB!$F$14:$F$150,RAB!$C$14:$C$150,C804)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SUMIFS(RAB!$F$14:$F$150,RAB!$C$14:$C$150,C805)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SUMIFS(RAB!$F$14:$F$150,RAB!$C$14:$C$150,C806)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SUMIFS(RAB!$F$14:$F$150,RAB!$C$14:$C$150,C807)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SUMIFS(RAB!$F$14:$F$150,RAB!$C$14:$C$150,C808)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SUMIFS(RAB!$F$14:$F$150,RAB!$C$14:$C$150,C809)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SUMIFS(RAB!$F$14:$F$150,RAB!$C$14:$C$150,C810)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SUMIFS(RAB!$F$14:$F$150,RAB!$C$14:$C$150,C811)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SUMIFS(RAB!$F$14:$F$150,RAB!$C$14:$C$150,C812)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SUMIFS(RAB!$F$14:$F$150,RAB!$C$14:$C$150,C813)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SUMIFS(RAB!$F$14:$F$150,RAB!$C$14:$C$150,C814)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SUMIFS(RAB!$F$14:$F$150,RAB!$C$14:$C$150,C815)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SUMIFS(RAB!$F$14:$F$150,RAB!$C$14:$C$150,C816)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SUMIFS(RAB!$F$14:$F$150,RAB!$C$14:$C$150,C817)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SUMIFS(RAB!$F$14:$F$150,RAB!$C$14:$C$150,C818)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SUMIFS(RAB!$F$14:$F$150,RAB!$C$14:$C$150,C819)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SUMIFS(RAB!$F$14:$F$150,RAB!$C$14:$C$150,C820)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SUMIFS(RAB!$F$14:$F$150,RAB!$C$14:$C$150,C821)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SUMIFS(RAB!$F$14:$F$150,RAB!$C$14:$C$150,C822)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SUMIFS(RAB!$F$14:$F$150,RAB!$C$14:$C$150,C823)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SUMIFS(RAB!$F$14:$F$150,RAB!$C$14:$C$150,C824)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SUMIFS(RAB!$F$14:$F$150,RAB!$C$14:$C$150,C825)</f>
        <v>3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SUMIFS(RAB!$F$14:$F$150,RAB!$C$14:$C$150,C826)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SUMIFS(RAB!$F$14:$F$150,RAB!$C$14:$C$150,C827)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SUMIFS(RAB!$F$14:$F$150,RAB!$C$14:$C$150,C828)</f>
        <v>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SUMIFS(RAB!$F$14:$F$150,RAB!$C$14:$C$150,C829)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SUMIFS(RAB!$F$14:$F$150,RAB!$C$14:$C$150,C830)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SUMIFS(RAB!$F$14:$F$150,RAB!$C$14:$C$150,C831)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SUMIFS(RAB!$F$14:$F$150,RAB!$C$14:$C$150,C832)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SUMIFS(RAB!$F$14:$F$150,RAB!$C$14:$C$150,C833)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SUMIFS(RAB!$F$14:$F$150,RAB!$C$14:$C$150,C834)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SUMIFS(RAB!$F$14:$F$150,RAB!$C$14:$C$150,C835)</f>
        <v>183.6</v>
      </c>
      <c r="E835" s="26">
        <f t="shared" ca="1" si="34"/>
        <v>1</v>
      </c>
      <c r="F835" s="26">
        <f ca="1">IF(D835=0,0,SUM($E$713:E835))</f>
        <v>8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SUMIFS(RAB!$F$14:$F$150,RAB!$C$14:$C$150,C836)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SUMIFS(RAB!$F$14:$F$150,RAB!$C$14:$C$150,C837)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SUMIFS(RAB!$F$14:$F$150,RAB!$C$14:$C$150,C838)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SUMIFS(RAB!$F$14:$F$150,RAB!$C$14:$C$150,C839)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SUMIFS(RAB!$F$14:$F$150,RAB!$C$14:$C$150,C840)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SUMIFS(RAB!$F$14:$F$150,RAB!$C$14:$C$150,C841)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SUMIFS(RAB!$F$14:$F$150,RAB!$C$14:$C$150,C842)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SUMIFS(RAB!$F$14:$F$150,RAB!$C$14:$C$150,C843)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SUMIFS(RAB!$F$14:$F$150,RAB!$C$14:$C$150,C844)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SUMIFS(RAB!$F$14:$F$150,RAB!$C$14:$C$150,C845)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SUMIFS(RAB!$F$14:$F$150,RAB!$C$14:$C$150,C846)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SUMIFS(RAB!$F$14:$F$150,RAB!$C$14:$C$150,C847)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SUMIFS(RAB!$F$14:$F$150,RAB!$C$14:$C$150,C848)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SUMIFS(RAB!$F$14:$F$150,RAB!$C$14:$C$150,C849)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SUMIFS(RAB!$F$14:$F$150,RAB!$C$14:$C$150,C850)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SUMIFS(RAB!$F$14:$F$150,RAB!$C$14:$C$150,C851)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SUMIFS(RAB!$F$14:$F$150,RAB!$C$14:$C$150,C852)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SUMIFS(RAB!$F$14:$F$150,RAB!$C$14:$C$150,C853)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SUMIFS(RAB!$F$14:$F$150,RAB!$C$14:$C$150,C854)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SUMIFS(RAB!$F$14:$F$150,RAB!$C$14:$C$150,C855)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SUMIFS(RAB!$F$14:$F$150,RAB!$C$14:$C$150,C856)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SUMIFS(RAB!$F$14:$F$150,RAB!$C$14:$C$150,C857)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SUMIFS(RAB!$F$14:$F$150,RAB!$C$14:$C$150,C858)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SUMIFS(RAB!$F$14:$F$150,RAB!$C$14:$C$150,C859)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SUMIFS(RAB!$F$14:$F$150,RAB!$C$14:$C$150,C860)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SUMIFS(RAB!$F$14:$F$150,RAB!$C$14:$C$150,C861)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SUMIFS(RAB!$F$14:$F$150,RAB!$C$14:$C$150,C862)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SUMIFS(RAB!$F$14:$F$150,RAB!$C$14:$C$150,C863)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SUMIFS(RAB!$F$14:$F$150,RAB!$C$14:$C$150,C864)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SUMIFS(RAB!$F$14:$F$150,RAB!$C$14:$C$150,C865)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SUMIFS(RAB!$F$14:$F$150,RAB!$C$14:$C$150,C866)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SUMIFS(RAB!$F$14:$F$150,RAB!$C$14:$C$150,C867)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SUMIFS(RAB!$F$14:$F$150,RAB!$C$14:$C$150,C868)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SUMIFS(RAB!$F$14:$F$150,RAB!$C$14:$C$150,C869)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SUMIFS(RAB!$F$14:$F$150,RAB!$C$14:$C$150,C870)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SUMIFS(RAB!$F$14:$F$150,RAB!$C$14:$C$150,C871)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SUMIFS(RAB!$F$14:$F$150,RAB!$C$14:$C$150,C872)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SUMIFS(RAB!$F$14:$F$150,RAB!$C$14:$C$150,C873)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SUMIFS(RAB!$F$14:$F$150,RAB!$C$14:$C$150,C874)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SUMIFS(RAB!$F$14:$F$150,RAB!$C$14:$C$150,C875)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SUMIFS(RAB!$F$14:$F$150,RAB!$C$14:$C$150,C876)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SUMIFS(RAB!$F$14:$F$150,RAB!$C$14:$C$150,C877)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SUMIFS(RAB!$F$14:$F$150,RAB!$C$14:$C$150,C878)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SUMIFS(RAB!$F$14:$F$150,RAB!$C$14:$C$150,C879)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SUMIFS(RAB!$F$14:$F$150,RAB!$C$14:$C$150,C880)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SUMIFS(RAB!$F$14:$F$150,RAB!$C$14:$C$150,C881)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SUMIFS(RAB!$F$14:$F$150,RAB!$C$14:$C$150,C882)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SUMIFS(RAB!$F$14:$F$150,RAB!$C$14:$C$150,C883)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SUMIFS(RAB!$F$14:$F$150,RAB!$C$14:$C$150,C884)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SUMIFS(RAB!$F$14:$F$150,RAB!$C$14:$C$150,C885)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SUMIFS(RAB!$F$14:$F$150,RAB!$C$14:$C$150,C886)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SUMIFS(RAB!$F$14:$F$150,RAB!$C$14:$C$150,C887)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SUMIFS(RAB!$F$14:$F$150,RAB!$C$14:$C$150,C888)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SUMIFS(RAB!$F$14:$F$150,RAB!$C$14:$C$150,C889)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SUMIFS(RAB!$F$14:$F$150,RAB!$C$14:$C$150,C890)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SUMIFS(RAB!$F$14:$F$150,RAB!$C$14:$C$150,C891)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SUMIFS(RAB!$F$14:$F$150,RAB!$C$14:$C$150,C892)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SUMIFS(RAB!$F$14:$F$150,RAB!$C$14:$C$150,C893)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SUMIFS(RAB!$F$14:$F$150,RAB!$C$14:$C$150,C894)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SUMIFS(RAB!$F$14:$F$150,RAB!$C$14:$C$150,C895)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SUMIFS(RAB!$F$14:$F$150,RAB!$C$14:$C$150,C896)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SUMIFS(RAB!$F$14:$F$150,RAB!$C$14:$C$150,C897)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SUMIFS(RAB!$F$14:$F$150,RAB!$C$14:$C$150,C898)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SUMIFS(RAB!$F$14:$F$150,RAB!$C$14:$C$150,C899)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SUMIFS(RAB!$F$14:$F$150,RAB!$C$14:$C$150,C900)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SUMIFS(RAB!$F$14:$F$150,RAB!$C$14:$C$150,C901)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SUMIFS(RAB!$F$14:$F$150,RAB!$C$14:$C$150,C902)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SUMIFS(RAB!$F$14:$F$150,RAB!$C$14:$C$150,C903)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SUMIFS(RAB!$F$14:$F$150,RAB!$C$14:$C$150,C904)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SUMIFS(RAB!$F$14:$F$150,RAB!$C$14:$C$150,C905)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SUMIFS(RAB!$F$14:$F$150,RAB!$C$14:$C$150,C906)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SUMIFS(RAB!$F$14:$F$150,RAB!$C$14:$C$150,C907)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SUMIFS(RAB!$F$14:$F$150,RAB!$C$14:$C$150,C908)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SUMIFS(RAB!$F$14:$F$150,RAB!$C$14:$C$150,C909)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SUMIFS(RAB!$F$14:$F$150,RAB!$C$14:$C$150,C910)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SUMIFS(RAB!$F$14:$F$150,RAB!$C$14:$C$150,C911)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SUMIFS(RAB!$F$14:$F$150,RAB!$C$14:$C$150,C912)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SUMIFS(RAB!$F$14:$F$150,RAB!$C$14:$C$150,C913)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SUMIFS(RAB!$F$14:$F$150,RAB!$C$14:$C$150,C914)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SUMIFS(RAB!$F$14:$F$150,RAB!$C$14:$C$150,C915)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SUMIFS(RAB!$F$14:$F$150,RAB!$C$14:$C$150,C916)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SUMIFS(RAB!$F$14:$F$150,RAB!$C$14:$C$150,C917)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SUMIFS(RAB!$F$14:$F$150,RAB!$C$14:$C$150,C918)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SUMIFS(RAB!$F$14:$F$150,RAB!$C$14:$C$150,C919)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SUMIFS(RAB!$F$14:$F$150,RAB!$C$14:$C$150,C920)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SUMIFS(RAB!$F$14:$F$150,RAB!$C$14:$C$150,C921)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SUMIFS(RAB!$F$14:$F$150,RAB!$C$14:$C$150,C922)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SUMIFS(RAB!$F$14:$F$150,RAB!$C$14:$C$150,C923)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SUMIFS(RAB!$F$14:$F$150,RAB!$C$14:$C$150,C924)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SUMIFS(RAB!$F$14:$F$150,RAB!$C$14:$C$150,C925)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SUMIFS(RAB!$F$14:$F$150,RAB!$C$14:$C$150,C926)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SUMIFS(RAB!$F$14:$F$150,RAB!$C$14:$C$150,C927)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SUMIFS(RAB!$F$14:$F$150,RAB!$C$14:$C$150,C928)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SUMIFS(RAB!$F$14:$F$150,RAB!$C$14:$C$150,C929)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SUMIFS(RAB!$F$14:$F$150,RAB!$C$14:$C$150,C930)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SUMIFS(RAB!$F$14:$F$150,RAB!$C$14:$C$150,C931)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SUMIFS(RAB!$F$14:$F$150,RAB!$C$14:$C$150,C932)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SUMIFS(RAB!$F$14:$F$150,RAB!$C$14:$C$150,C933)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SUMIFS(RAB!$F$14:$F$150,RAB!$C$14:$C$150,C934)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SUMIFS(RAB!$F$14:$F$150,RAB!$C$14:$C$150,C935)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SUMIFS(RAB!$F$14:$F$150,RAB!$C$14:$C$150,C936)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SUMIFS(RAB!$F$14:$F$150,RAB!$C$14:$C$150,C937)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SUMIFS(RAB!$F$14:$F$150,RAB!$C$14:$C$150,C938)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SUMIFS(RAB!$F$14:$F$150,RAB!$C$14:$C$150,C939)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SUMIFS(RAB!$F$14:$F$150,RAB!$C$14:$C$150,C940)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SUMIFS(RAB!$F$14:$F$150,RAB!$C$14:$C$150,C941)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SUMIFS(RAB!$F$14:$F$150,RAB!$C$14:$C$150,C942)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SUMIFS(RAB!$F$14:$F$150,RAB!$C$14:$C$150,C943)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SUMIFS(RAB!$F$14:$F$150,RAB!$C$14:$C$150,C944)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SUMIFS(RAB!$F$14:$F$150,RAB!$C$14:$C$150,C945)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SUMIFS(RAB!$F$14:$F$150,RAB!$C$14:$C$150,C946)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SUMIFS(RAB!$F$14:$F$150,RAB!$C$14:$C$150,C947)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SUMIFS(RAB!$F$14:$F$150,RAB!$C$14:$C$150,C948)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SUMIFS(RAB!$F$14:$F$150,RAB!$C$14:$C$150,C949)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SUMIFS(RAB!$F$14:$F$150,RAB!$C$14:$C$150,C950)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SUMIFS(RAB!$F$14:$F$150,RAB!$C$14:$C$150,C951)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SUMIFS(RAB!$F$14:$F$150,RAB!$C$14:$C$150,C952)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SUMIFS(RAB!$F$14:$F$150,RAB!$C$14:$C$150,C953)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SUMIFS(RAB!$F$14:$F$150,RAB!$C$14:$C$150,C954)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SUMIFS(RAB!$F$14:$F$150,RAB!$C$14:$C$150,C955)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SUMIFS(RAB!$F$14:$F$150,RAB!$C$14:$C$150,C956)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SUMIFS(RAB!$F$14:$F$150,RAB!$C$14:$C$150,C957)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SUMIFS(RAB!$F$14:$F$150,RAB!$C$14:$C$150,C958)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SUMIFS(RAB!$F$14:$F$150,RAB!$C$14:$C$150,C959)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SUMIFS(RAB!$F$14:$F$150,RAB!$C$14:$C$150,C960)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SUMIFS(RAB!$F$14:$F$150,RAB!$C$14:$C$150,C961)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SUMIFS(RAB!$F$14:$F$150,RAB!$C$14:$C$150,C962)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SUMIFS(RAB!$F$14:$F$150,RAB!$C$14:$C$150,C963)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SUMIFS(RAB!$F$14:$F$150,RAB!$C$14:$C$150,C964)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SUMIFS(RAB!$F$14:$F$150,RAB!$C$14:$C$150,C965)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SUMIFS(RAB!$F$14:$F$150,RAB!$C$14:$C$150,C966)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SUMIFS(RAB!$F$14:$F$150,RAB!$C$14:$C$150,C967)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SUMIFS(RAB!$F$14:$F$150,RAB!$C$14:$C$150,C968)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SUMIFS(RAB!$F$14:$F$150,RAB!$C$14:$C$150,C969)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SUMIFS(RAB!$F$14:$F$150,RAB!$C$14:$C$150,C970)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SUMIFS(RAB!$F$14:$F$150,RAB!$C$14:$C$150,C971)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SUMIFS(RAB!$F$14:$F$150,RAB!$C$14:$C$150,C972)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SUMIFS(RAB!$F$14:$F$150,RAB!$C$14:$C$150,C973)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SUMIFS(RAB!$F$14:$F$150,RAB!$C$14:$C$150,C974)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SUMIFS(RAB!$F$14:$F$150,RAB!$C$14:$C$150,C975)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SUMIFS(RAB!$F$14:$F$150,RAB!$C$14:$C$150,C976)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SUMIFS(RAB!$F$14:$F$150,RAB!$C$14:$C$150,C977)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SUMIFS(RAB!$F$14:$F$150,RAB!$C$14:$C$150,C978)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SUMIFS(RAB!$F$14:$F$150,RAB!$C$14:$C$150,C979)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SUMIFS(RAB!$F$14:$F$150,RAB!$C$14:$C$150,C980)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SUMIFS(RAB!$F$14:$F$150,RAB!$C$14:$C$150,C981)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SUMIFS(RAB!$F$14:$F$150,RAB!$C$14:$C$150,C982)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SUMIFS(RAB!$F$14:$F$150,RAB!$C$14:$C$150,C983)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SUMIFS(RAB!$F$14:$F$150,RAB!$C$14:$C$150,C984)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SUMIFS(RAB!$F$14:$F$150,RAB!$C$14:$C$150,C985)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SUMIFS(RAB!$F$14:$F$150,RAB!$C$14:$C$150,C986)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SUMIFS(RAB!$F$14:$F$150,RAB!$C$14:$C$150,C987)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SUMIFS(RAB!$F$14:$F$150,RAB!$C$14:$C$150,C988)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SUMIFS(RAB!$F$14:$F$150,RAB!$C$14:$C$150,C989)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SUMIFS(RAB!$F$14:$F$150,RAB!$C$14:$C$150,C990)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SUMIFS(RAB!$F$14:$F$150,RAB!$C$14:$C$150,C991)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SUMIFS(RAB!$F$14:$F$150,RAB!$C$14:$C$150,C992)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SUMIFS(RAB!$F$14:$F$150,RAB!$C$14:$C$150,C993)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SUMIFS(RAB!$F$14:$F$150,RAB!$C$14:$C$150,C994)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SUMIFS(RAB!$F$14:$F$150,RAB!$C$14:$C$150,C995)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SUMIFS(RAB!$F$14:$F$150,RAB!$C$14:$C$150,C996)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SUMIFS(RAB!$F$14:$F$150,RAB!$C$14:$C$150,C997)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SUMIFS(RAB!$F$14:$F$150,RAB!$C$14:$C$150,C998)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SUMIFS(RAB!$F$14:$F$150,RAB!$C$14:$C$150,C999)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SUMIFS(RAB!$F$14:$F$150,RAB!$C$14:$C$150,C1000)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SUMIFS(RAB!$F$14:$F$150,RAB!$C$14:$C$150,C1001)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SUMIFS(RAB!$F$14:$F$150,RAB!$C$14:$C$150,C1002)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SUMIFS(RAB!$F$14:$F$150,RAB!$C$14:$C$150,C1003)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SUMIFS(RAB!$F$14:$F$150,RAB!$C$14:$C$150,C1004)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SUMIFS(RAB!$F$14:$F$150,RAB!$C$14:$C$150,C1005)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SUMIFS(RAB!$F$14:$F$150,RAB!$C$14:$C$150,C1006)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SUMIFS(RAB!$F$14:$F$150,RAB!$C$14:$C$150,C1007)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SUMIFS(RAB!$F$14:$F$150,RAB!$C$14:$C$150,C1008)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SUMIFS(RAB!$F$14:$F$150,RAB!$C$14:$C$150,C1009)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SUMIFS(RAB!$F$14:$F$150,RAB!$C$14:$C$150,C1010)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SUMIFS(RAB!$F$14:$F$150,RAB!$C$14:$C$150,C1011)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SUMIFS(RAB!$F$14:$F$150,RAB!$C$14:$C$150,C1012)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SUMIFS(RAB!$F$14:$F$150,RAB!$C$14:$C$150,C1013)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SUMIFS(RAB!$F$14:$F$150,RAB!$C$14:$C$150,C1014)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SUMIFS(RAB!$F$14:$F$150,RAB!$C$14:$C$150,C1015)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SUMIFS(RAB!$F$14:$F$150,RAB!$C$14:$C$150,C1016)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SUMIFS(RAB!$F$14:$F$150,RAB!$C$14:$C$150,C1017)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SUMIFS(RAB!$F$14:$F$150,RAB!$C$14:$C$150,C1018)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SUMIFS(RAB!$F$14:$F$150,RAB!$C$14:$C$150,C1019)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SUMIFS(RAB!$F$14:$F$150,RAB!$C$14:$C$150,C1020)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SUMIFS(RAB!$F$14:$F$150,RAB!$C$14:$C$150,C1021)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SUMIFS(RAB!$F$14:$F$150,RAB!$C$14:$C$150,C1022)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SUMIFS(RAB!$F$14:$F$150,RAB!$C$14:$C$150,C1023)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SUMIFS(RAB!$F$14:$F$150,RAB!$C$14:$C$150,C1024)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SUMIFS(RAB!$F$14:$F$150,RAB!$C$14:$C$150,C1025)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SUMIFS(RAB!$F$14:$F$150,RAB!$C$14:$C$150,C1026)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SUMIFS(RAB!$F$14:$F$150,RAB!$C$14:$C$150,C1027)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SUMIFS(RAB!$F$14:$F$150,RAB!$C$14:$C$150,C1028)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SUMIFS(RAB!$F$14:$F$150,RAB!$C$14:$C$150,C1029)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SUMIFS(RAB!$F$14:$F$150,RAB!$C$14:$C$150,C1030)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SUMIFS(RAB!$F$14:$F$150,RAB!$C$14:$C$150,C1031)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SUMIFS(RAB!$F$14:$F$150,RAB!$C$14:$C$150,C1032)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SUMIFS(RAB!$F$14:$F$150,RAB!$C$14:$C$150,C1033)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SUMIFS(RAB!$F$14:$F$150,RAB!$C$14:$C$150,C1034)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SUMIFS(RAB!$F$14:$F$150,RAB!$C$14:$C$150,C1035)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SUMIFS(RAB!$F$14:$F$150,RAB!$C$14:$C$150,C1036)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SUMIFS(RAB!$F$14:$F$150,RAB!$C$14:$C$150,C1037)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SUMIFS(RAB!$F$14:$F$150,RAB!$C$14:$C$150,C1038)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SUMIFS(RAB!$F$14:$F$150,RAB!$C$14:$C$150,C1039)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SUMIFS(RAB!$F$14:$F$150,RAB!$C$14:$C$150,C1040)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SUMIFS(RAB!$F$14:$F$150,RAB!$C$14:$C$150,C1041)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SUMIFS(RAB!$F$14:$F$150,RAB!$C$14:$C$150,C1042)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SUMIFS(RAB!$F$14:$F$150,RAB!$C$14:$C$150,C1043)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SUMIFS(RAB!$F$14:$F$150,RAB!$C$14:$C$150,C1044)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SUMIFS(RAB!$F$14:$F$150,RAB!$C$14:$C$150,C1045)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SUMIFS(RAB!$F$14:$F$150,RAB!$C$14:$C$150,C1046)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SUMIFS(RAB!$F$14:$F$150,RAB!$C$14:$C$150,C1047)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SUMIFS(RAB!$F$14:$F$150,RAB!$C$14:$C$150,C1048)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SUMIFS(RAB!$F$14:$F$150,RAB!$C$14:$C$150,C1049)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SUMIFS(RAB!$F$14:$F$150,RAB!$C$14:$C$150,C1050)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SUMIFS(RAB!$F$14:$F$150,RAB!$C$14:$C$150,C1051)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SUMIFS(RAB!$F$14:$F$150,RAB!$C$14:$C$150,C1052)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SUMIFS(RAB!$F$14:$F$150,RAB!$C$14:$C$150,C1053)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SUMIFS(RAB!$F$14:$F$150,RAB!$C$14:$C$150,C1054)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SUMIFS(RAB!$F$14:$F$150,RAB!$C$14:$C$150,C1055)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SUMIFS(RAB!$F$14:$F$150,RAB!$C$14:$C$150,C1056)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SUMIFS(RAB!$F$14:$F$150,RAB!$C$14:$C$150,C1057)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SUMIFS(RAB!$F$14:$F$150,RAB!$C$14:$C$150,C1058)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SUMIFS(RAB!$F$14:$F$150,RAB!$C$14:$C$150,C1059)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SUMIFS(RAB!$F$14:$F$150,RAB!$C$14:$C$150,C1060)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SUMIFS(RAB!$F$14:$F$150,RAB!$C$14:$C$150,C1061)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SUMIFS(RAB!$F$14:$F$150,RAB!$C$14:$C$150,C1062)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SUMIFS(RAB!$F$14:$F$150,RAB!$C$14:$C$150,C1063)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SUMIFS(RAB!$F$14:$F$150,RAB!$C$14:$C$150,C1064)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SUMIFS(RAB!$F$14:$F$150,RAB!$C$14:$C$150,C1065)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SUMIFS(RAB!$F$14:$F$150,RAB!$C$14:$C$150,C1066)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SUMIFS(RAB!$F$14:$F$150,RAB!$C$14:$C$150,C1067)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SUMIFS(RAB!$F$14:$F$150,RAB!$C$14:$C$150,C1068)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SUMIFS(RAB!$F$14:$F$150,RAB!$C$14:$C$150,C1069)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SUMIFS(RAB!$F$14:$F$150,RAB!$C$14:$C$150,C1070)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SUMIFS(RAB!$F$14:$F$150,RAB!$C$14:$C$150,C1071)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SUMIFS(RAB!$F$14:$F$150,RAB!$C$14:$C$150,C1072)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SUMIFS(RAB!$F$14:$F$150,RAB!$C$14:$C$150,C1073)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SUMIFS(RAB!$F$14:$F$150,RAB!$C$14:$C$150,C1074)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SUMIFS(RAB!$F$14:$F$150,RAB!$C$14:$C$150,C1075)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SUMIFS(RAB!$F$14:$F$150,RAB!$C$14:$C$150,C1076)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SUMIFS(RAB!$F$14:$F$150,RAB!$C$14:$C$150,C1077)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SUMIFS(RAB!$F$14:$F$150,RAB!$C$14:$C$150,C1078)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SUMIFS(RAB!$F$14:$F$150,RAB!$C$14:$C$150,C1079)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SUMIFS(RAB!$F$14:$F$150,RAB!$C$14:$C$150,C1080)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SUMIFS(RAB!$F$14:$F$150,RAB!$C$14:$C$150,C1081)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SUMIFS(RAB!$F$14:$F$150,RAB!$C$14:$C$150,C1082)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SUMIFS(RAB!$F$14:$F$150,RAB!$C$14:$C$150,C1083)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SUMIFS(RAB!$F$14:$F$150,RAB!$C$14:$C$150,C1084)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SUMIFS(RAB!$F$14:$F$150,RAB!$C$14:$C$150,C1085)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SUMIFS(RAB!$F$14:$F$150,RAB!$C$14:$C$150,C1086)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SUMIFS(RAB!$F$14:$F$150,RAB!$C$14:$C$150,C1087)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SUMIFS(RAB!$F$14:$F$150,RAB!$C$14:$C$150,C1088)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SUMIFS(RAB!$F$14:$F$150,RAB!$C$14:$C$150,C1089)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SUMIFS(RAB!$F$14:$F$150,RAB!$C$14:$C$150,C1090)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SUMIFS(RAB!$F$14:$F$150,RAB!$C$14:$C$150,C1091)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SUMIFS(RAB!$F$14:$F$150,RAB!$C$14:$C$150,C1092)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SUMIFS(RAB!$F$14:$F$150,RAB!$C$14:$C$150,C1093)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SUMIFS(RAB!$F$14:$F$150,RAB!$C$14:$C$150,C1094)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SUMIFS(RAB!$F$14:$F$150,RAB!$C$14:$C$150,C1095)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SUMIFS(RAB!$F$14:$F$150,RAB!$C$14:$C$150,C1096)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SUMIFS(RAB!$F$14:$F$150,RAB!$C$14:$C$150,C1097)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SUMIFS(RAB!$F$14:$F$150,RAB!$C$14:$C$150,C1098)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SUMIFS(RAB!$F$14:$F$150,RAB!$C$14:$C$150,C1099)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SUMIFS(RAB!$F$14:$F$150,RAB!$C$14:$C$150,C1100)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SUMIFS(RAB!$F$14:$F$150,RAB!$C$14:$C$150,C1101)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SUMIFS(RAB!$F$14:$F$150,RAB!$C$14:$C$150,C1102)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SUMIFS(RAB!$F$14:$F$150,RAB!$C$14:$C$150,C1103)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SUMIFS(RAB!$F$14:$F$150,RAB!$C$14:$C$150,C1104)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SUMIFS(RAB!$F$14:$F$150,RAB!$C$14:$C$150,C1105)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SUMIFS(RAB!$F$14:$F$150,RAB!$C$14:$C$150,C1106)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SUMIFS(RAB!$F$14:$F$150,RAB!$C$14:$C$150,C1107)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SUMIFS(RAB!$F$14:$F$150,RAB!$C$14:$C$150,C1108)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SUMIFS(RAB!$F$14:$F$150,RAB!$C$14:$C$150,C1109)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SUMIFS(RAB!$F$14:$F$150,RAB!$C$14:$C$150,C1110)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SUMIFS(RAB!$F$14:$F$150,RAB!$C$14:$C$150,C1111)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SUMIFS(RAB!$F$14:$F$150,RAB!$C$14:$C$150,C1112)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SUMIFS(RAB!$F$14:$F$150,RAB!$C$14:$C$150,C1113)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SUMIFS(RAB!$F$14:$F$150,RAB!$C$14:$C$150,C1114)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SUMIFS(RAB!$F$14:$F$150,RAB!$C$14:$C$150,C1115)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SUMIFS(RAB!$F$14:$F$150,RAB!$C$14:$C$150,C1116)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SUMIFS(RAB!$F$14:$F$150,RAB!$C$14:$C$150,C1117)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SUMIFS(RAB!$F$14:$F$150,RAB!$C$14:$C$150,C1118)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SUMIFS(RAB!$F$14:$F$150,RAB!$C$14:$C$150,C1119)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SUMIFS(RAB!$F$14:$F$150,RAB!$C$14:$C$150,C1120)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SUMIFS(RAB!$F$14:$F$150,RAB!$C$14:$C$150,C1121)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SUMIFS(RAB!$F$14:$F$150,RAB!$C$14:$C$150,C1122)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SUMIFS(RAB!$F$14:$F$150,RAB!$C$14:$C$150,C1123)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SUMIFS(RAB!$F$14:$F$150,RAB!$C$14:$C$150,C1124)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SUMIFS(RAB!$F$14:$F$150,RAB!$C$14:$C$150,C1125)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SUMIFS(RAB!$F$14:$F$150,RAB!$C$14:$C$150,C1126)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SUMIFS(RAB!$F$14:$F$150,RAB!$C$14:$C$150,C1127)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SUMIFS(RAB!$F$14:$F$150,RAB!$C$14:$C$150,C1128)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SUMIFS(RAB!$F$14:$F$150,RAB!$C$14:$C$150,C1129)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SUMIFS(RAB!$F$14:$F$150,RAB!$C$14:$C$150,C1130)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SUMIFS(RAB!$F$14:$F$150,RAB!$C$14:$C$150,C1131)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SUMIFS(RAB!$F$14:$F$150,RAB!$C$14:$C$150,C1132)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SUMIFS(RAB!$F$14:$F$150,RAB!$C$14:$C$150,C1133)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SUMIFS(RAB!$F$14:$F$150,RAB!$C$14:$C$150,C1134)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SUMIFS(RAB!$F$14:$F$150,RAB!$C$14:$C$150,C1135)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SUMIFS(RAB!$F$14:$F$150,RAB!$C$14:$C$150,C1136)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SUMIFS(RAB!$F$14:$F$150,RAB!$C$14:$C$150,C1137)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SUMIFS(RAB!$F$14:$F$150,RAB!$C$14:$C$150,C1138)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SUMIFS(RAB!$F$14:$F$150,RAB!$C$14:$C$150,C1139)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SUMIFS(RAB!$F$14:$F$150,RAB!$C$14:$C$150,C1140)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SUMIFS(RAB!$F$14:$F$150,RAB!$C$14:$C$150,C1141)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SUMIFS(RAB!$F$14:$F$150,RAB!$C$14:$C$150,C1142)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SUMIFS(RAB!$F$14:$F$150,RAB!$C$14:$C$150,C1143)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SUMIFS(RAB!$F$14:$F$150,RAB!$C$14:$C$150,C1144)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SUMIFS(RAB!$F$14:$F$150,RAB!$C$14:$C$150,C1145)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SUMIFS(RAB!$F$14:$F$150,RAB!$C$14:$C$150,C1146)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SUMIFS(RAB!$F$14:$F$150,RAB!$C$14:$C$150,C1147)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SUMIFS(RAB!$F$14:$F$150,RAB!$C$14:$C$150,C1148)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SUMIFS(RAB!$F$14:$F$150,RAB!$C$14:$C$150,C1149)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SUMIFS(RAB!$F$14:$F$150,RAB!$C$14:$C$150,C1150)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SUMIFS(RAB!$F$14:$F$150,RAB!$C$14:$C$150,C1151)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SUMIFS(RAB!$F$14:$F$150,RAB!$C$14:$C$150,C1152)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SUMIFS(RAB!$F$14:$F$150,RAB!$C$14:$C$150,C1153)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SUMIFS(RAB!$F$14:$F$150,RAB!$C$14:$C$150,C1154)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SUMIFS(RAB!$F$14:$F$150,RAB!$C$14:$C$150,C1155)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SUMIFS(RAB!$F$14:$F$150,RAB!$C$14:$C$150,C1156)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SUMIFS(RAB!$F$14:$F$150,RAB!$C$14:$C$150,C1157)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SUMIFS(RAB!$F$14:$F$150,RAB!$C$14:$C$150,C1158)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SUMIFS(RAB!$F$14:$F$150,RAB!$C$14:$C$150,C1159)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SUMIFS(RAB!$F$14:$F$150,RAB!$C$14:$C$150,C1160)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SUMIFS(RAB!$F$14:$F$150,RAB!$C$14:$C$150,C1161)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SUMIFS(RAB!$F$14:$F$150,RAB!$C$14:$C$150,C1162)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SUMIFS(RAB!$F$14:$F$150,RAB!$C$14:$C$150,C1163)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SUMIFS(RAB!$F$14:$F$150,RAB!$C$14:$C$150,C1164)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SUMIFS(RAB!$F$14:$F$150,RAB!$C$14:$C$150,C1165)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SUMIFS(RAB!$F$14:$F$150,RAB!$C$14:$C$150,C1166)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SUMIFS(RAB!$F$14:$F$150,RAB!$C$14:$C$150,C1167)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SUMIFS(RAB!$F$14:$F$150,RAB!$C$14:$C$150,C1168)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SUMIFS(RAB!$F$14:$F$150,RAB!$C$14:$C$150,C1169)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SUMIFS(RAB!$F$14:$F$150,RAB!$C$14:$C$150,C1170)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SUMIFS(RAB!$F$14:$F$150,RAB!$C$14:$C$150,C1171)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SUMIFS(RAB!$F$14:$F$150,RAB!$C$14:$C$150,C1172)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SUMIFS(RAB!$F$14:$F$150,RAB!$C$14:$C$150,C1173)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SUMIFS(RAB!$F$14:$F$150,RAB!$C$14:$C$150,C1174)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SUMIFS(RAB!$F$14:$F$150,RAB!$C$14:$C$150,C1175)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SUMIFS(RAB!$F$14:$F$150,RAB!$C$14:$C$150,C1176)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SUMIFS(RAB!$F$14:$F$150,RAB!$C$14:$C$150,C1177)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SUMIFS(RAB!$F$14:$F$150,RAB!$C$14:$C$150,C1178)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SUMIFS(RAB!$F$14:$F$150,RAB!$C$14:$C$150,C1179)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SUMIFS(RAB!$F$14:$F$150,RAB!$C$14:$C$150,C1180)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SUMIFS(RAB!$F$14:$F$150,RAB!$C$14:$C$150,C1181)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SUMIFS(RAB!$F$14:$F$150,RAB!$C$14:$C$150,C1182)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SUMIFS(RAB!$F$14:$F$150,RAB!$C$14:$C$150,C1183)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SUMIFS(RAB!$F$14:$F$150,RAB!$C$14:$C$150,C1184)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SUMIFS(RAB!$F$14:$F$150,RAB!$C$14:$C$150,C1185)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SUMIFS(RAB!$F$14:$F$150,RAB!$C$14:$C$150,C1186)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SUMIFS(RAB!$F$14:$F$150,RAB!$C$14:$C$150,C1187)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SUMIFS(RAB!$F$14:$F$150,RAB!$C$14:$C$150,C1188)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SUMIFS(RAB!$F$14:$F$150,RAB!$C$14:$C$150,C1189)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SUMIFS(RAB!$F$14:$F$150,RAB!$C$14:$C$150,C1190)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SUMIFS(RAB!$F$14:$F$150,RAB!$C$14:$C$150,C1191)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SUMIFS(RAB!$F$14:$F$150,RAB!$C$14:$C$150,C1192)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SUMIFS(RAB!$F$14:$F$150,RAB!$C$14:$C$150,C1193)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SUMIFS(RAB!$F$14:$F$150,RAB!$C$14:$C$150,C1194)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SUMIFS(RAB!$F$14:$F$150,RAB!$C$14:$C$150,C1195)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SUMIFS(RAB!$F$14:$F$150,RAB!$C$14:$C$150,C1196)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SUMIFS(RAB!$F$14:$F$150,RAB!$C$14:$C$150,C1197)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SUMIFS(RAB!$F$14:$F$150,RAB!$C$14:$C$150,C1198)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SUMIFS(RAB!$F$14:$F$150,RAB!$C$14:$C$150,C1199)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SUMIFS(RAB!$F$14:$F$150,RAB!$C$14:$C$150,C1200)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SUMIFS(RAB!$F$14:$F$150,RAB!$C$14:$C$150,C1201)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SUMIFS(RAB!$F$14:$F$150,RAB!$C$14:$C$150,C1202)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SUMIFS(RAB!$F$14:$F$150,RAB!$C$14:$C$150,C1203)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SUMIFS(RAB!$F$14:$F$150,RAB!$C$14:$C$150,C1204)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SUMIFS(RAB!$F$14:$F$150,RAB!$C$14:$C$150,C1205)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SUMIFS(RAB!$F$14:$F$150,RAB!$C$14:$C$150,C1206)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SUMIFS(RAB!$F$14:$F$150,RAB!$C$14:$C$150,C1207)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SUMIFS(RAB!$F$14:$F$150,RAB!$C$14:$C$150,C1208)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SUMIFS(RAB!$F$14:$F$150,RAB!$C$14:$C$150,C1209)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SUMIFS(RAB!$F$14:$F$150,RAB!$C$14:$C$150,C1210)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SUMIFS(RAB!$F$14:$F$150,RAB!$C$14:$C$150,C1211)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SUMIFS(RAB!$F$14:$F$150,RAB!$C$14:$C$150,C1212)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SUMIFS(RAB!$F$14:$F$150,RAB!$C$14:$C$150,C1213)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SUMIFS(RAB!$F$14:$F$150,RAB!$C$14:$C$150,C1214)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SUMIFS(RAB!$F$14:$F$150,RAB!$C$14:$C$150,C1215)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SUMIFS(RAB!$F$14:$F$150,RAB!$C$14:$C$150,C1216)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SUMIFS(RAB!$F$14:$F$150,RAB!$C$14:$C$150,C1217)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SUMIFS(RAB!$F$14:$F$150,RAB!$C$14:$C$150,C1218)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SUMIFS(RAB!$F$14:$F$150,RAB!$C$14:$C$150,C1219)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SUMIFS(RAB!$F$14:$F$150,RAB!$C$14:$C$150,C1220)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SUMIFS(RAB!$F$14:$F$150,RAB!$C$14:$C$150,C1221)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SUMIFS(RAB!$F$14:$F$150,RAB!$C$14:$C$150,C1222)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SUMIFS(RAB!$F$14:$F$150,RAB!$C$14:$C$150,C1223)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SUMIFS(RAB!$F$14:$F$150,RAB!$C$14:$C$150,C1224)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SUMIFS(RAB!$F$14:$F$150,RAB!$C$14:$C$150,C1225)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SUMIFS(RAB!$F$14:$F$150,RAB!$C$14:$C$150,C1226)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SUMIFS(RAB!$F$14:$F$150,RAB!$C$14:$C$150,C1227)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SUMIFS(RAB!$F$14:$F$150,RAB!$C$14:$C$150,C1228)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SUMIFS(RAB!$F$14:$F$150,RAB!$C$14:$C$150,C1229)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SUMIFS(RAB!$F$14:$F$150,RAB!$C$14:$C$150,C1230)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SUMIFS(RAB!$F$14:$F$150,RAB!$C$14:$C$150,C1231)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SUMIFS(RAB!$F$14:$F$150,RAB!$C$14:$C$150,C1232)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SUMIFS(RAB!$F$14:$F$150,RAB!$C$14:$C$150,C1233)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SUMIFS(RAB!$F$14:$F$150,RAB!$C$14:$C$150,C1234)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SUMIFS(RAB!$F$14:$F$150,RAB!$C$14:$C$150,C1235)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SUMIFS(RAB!$F$14:$F$150,RAB!$C$14:$C$150,C1236)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SUMIFS(RAB!$F$14:$F$150,RAB!$C$14:$C$150,C1237)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SUMIFS(RAB!$F$14:$F$150,RAB!$C$14:$C$150,C1238)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SUMIFS(RAB!$F$14:$F$150,RAB!$C$14:$C$150,C1239)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SUMIFS(RAB!$F$14:$F$150,RAB!$C$14:$C$150,C1240)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SUMIFS(RAB!$F$14:$F$150,RAB!$C$14:$C$150,C1241)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SUMIFS(RAB!$F$14:$F$150,RAB!$C$14:$C$150,C1242)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SUMIFS(RAB!$F$14:$F$150,RAB!$C$14:$C$150,C1243)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SUMIFS(RAB!$F$14:$F$150,RAB!$C$14:$C$150,C1244)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SUMIFS(RAB!$F$14:$F$150,RAB!$C$14:$C$150,C1245)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SUMIFS(RAB!$F$14:$F$150,RAB!$C$14:$C$150,C1246)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SUMIFS(RAB!$F$14:$F$150,RAB!$C$14:$C$150,C1247)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SUMIFS(RAB!$F$14:$F$150,RAB!$C$14:$C$150,C1248)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SUMIFS(RAB!$F$14:$F$150,RAB!$C$14:$C$150,C1249)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SUMIFS(RAB!$F$14:$F$150,RAB!$C$14:$C$150,C1250)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SUMIFS(RAB!$F$14:$F$150,RAB!$C$14:$C$150,C1251)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SUMIFS(RAB!$F$14:$F$150,RAB!$C$14:$C$150,C1252)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SUMIFS(RAB!$F$14:$F$150,RAB!$C$14:$C$150,C1253)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SUMIFS(RAB!$F$14:$F$150,RAB!$C$14:$C$150,C1254)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SUMIFS(RAB!$F$14:$F$150,RAB!$C$14:$C$150,C1255)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SUMIFS(RAB!$F$14:$F$150,RAB!$C$14:$C$150,C1256)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SUMIFS(RAB!$F$14:$F$150,RAB!$C$14:$C$150,C1257)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SUMIFS(RAB!$F$14:$F$150,RAB!$C$14:$C$150,C1258)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SUMIFS(RAB!$F$14:$F$150,RAB!$C$14:$C$150,C1259)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SUMIFS(RAB!$F$14:$F$150,RAB!$C$14:$C$150,C1260)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SUMIFS(RAB!$F$14:$F$150,RAB!$C$14:$C$150,C1261)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SUMIFS(RAB!$F$14:$F$150,RAB!$C$14:$C$150,C1262)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SUMIFS(RAB!$F$14:$F$150,RAB!$C$14:$C$150,C1263)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SUMIFS(RAB!$F$14:$F$150,RAB!$C$14:$C$150,C1264)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SUMIFS(RAB!$F$14:$F$150,RAB!$C$14:$C$150,C1265)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SUMIFS(RAB!$F$14:$F$150,RAB!$C$14:$C$150,C1266)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SUMIFS(RAB!$F$14:$F$150,RAB!$C$14:$C$150,C1267)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SUMIFS(RAB!$F$14:$F$150,RAB!$C$14:$C$150,C1268)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SUMIFS(RAB!$F$14:$F$150,RAB!$C$14:$C$150,C1269)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SUMIFS(RAB!$F$14:$F$150,RAB!$C$14:$C$150,C1270)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SUMIFS(RAB!$F$14:$F$150,RAB!$C$14:$C$150,C1271)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SUMIFS(RAB!$F$14:$F$150,RAB!$C$14:$C$150,C1272)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SUMIFS(RAB!$F$14:$F$150,RAB!$C$14:$C$150,C1273)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SUMIFS(RAB!$F$14:$F$150,RAB!$C$14:$C$150,C1274)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SUMIFS(RAB!$F$14:$F$150,RAB!$C$14:$C$150,C1275)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SUMIFS(RAB!$F$14:$F$150,RAB!$C$14:$C$150,C1276)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SUMIFS(RAB!$F$14:$F$150,RAB!$C$14:$C$150,C1277)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SUMIFS(RAB!$F$14:$F$150,RAB!$C$14:$C$150,C1278)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SUMIFS(RAB!$F$14:$F$150,RAB!$C$14:$C$150,C1279)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SUMIFS(RAB!$F$14:$F$150,RAB!$C$14:$C$150,C1280)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SUMIFS(RAB!$F$14:$F$150,RAB!$C$14:$C$150,C1281)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SUMIFS(RAB!$F$14:$F$150,RAB!$C$14:$C$150,C1282)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SUMIFS(RAB!$F$14:$F$150,RAB!$C$14:$C$150,C1283)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SUMIFS(RAB!$F$14:$F$150,RAB!$C$14:$C$150,C1284)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SUMIFS(RAB!$F$14:$F$150,RAB!$C$14:$C$150,C1285)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SUMIFS(RAB!$F$14:$F$150,RAB!$C$14:$C$150,C1286)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SUMIFS(RAB!$F$14:$F$150,RAB!$C$14:$C$150,C1287)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SUMIFS(RAB!$F$14:$F$150,RAB!$C$14:$C$150,C1288)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SUMIFS(RAB!$F$14:$F$150,RAB!$C$14:$C$150,C1289)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SUMIFS(RAB!$F$14:$F$150,RAB!$C$14:$C$150,C1290)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SUMIFS(RAB!$F$14:$F$150,RAB!$C$14:$C$150,C1291)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SUMIFS(RAB!$F$14:$F$150,RAB!$C$14:$C$150,C1292)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SUMIFS(RAB!$F$14:$F$150,RAB!$C$14:$C$150,C1293)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SUMIFS(RAB!$F$14:$F$150,RAB!$C$14:$C$150,C1294)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SUMIFS(RAB!$F$14:$F$150,RAB!$C$14:$C$150,C1295)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SUMIFS(RAB!$F$14:$F$150,RAB!$C$14:$C$150,C1296)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SUMIFS(RAB!$F$14:$F$150,RAB!$C$14:$C$150,C1297)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SUMIFS(RAB!$F$14:$F$150,RAB!$C$14:$C$150,C1298)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SUMIFS(RAB!$F$14:$F$150,RAB!$C$14:$C$150,C1299)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SUMIFS(RAB!$F$14:$F$150,RAB!$C$14:$C$150,C1300)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SUMIFS(RAB!$F$14:$F$150,RAB!$C$14:$C$150,C1301)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SUMIFS(RAB!$F$14:$F$150,RAB!$C$14:$C$150,C1302)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SUMIFS(RAB!$F$14:$F$150,RAB!$C$14:$C$150,C1303)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SUMIFS(RAB!$F$14:$F$150,RAB!$C$14:$C$150,C1304)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SUMIFS(RAB!$F$14:$F$150,RAB!$C$14:$C$150,C1305)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SUMIFS(RAB!$F$14:$F$150,RAB!$C$14:$C$150,C1306)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SUMIFS(RAB!$F$14:$F$150,RAB!$C$14:$C$150,C1307)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SUMIFS(RAB!$F$14:$F$150,RAB!$C$14:$C$150,C1308)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SUMIFS(RAB!$F$14:$F$150,RAB!$C$14:$C$150,C1309)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SUMIFS(RAB!$F$14:$F$150,RAB!$C$14:$C$150,C1310)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SUMIFS(RAB!$F$14:$F$150,RAB!$C$14:$C$150,C1311)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SUMIFS(RAB!$F$14:$F$150,RAB!$C$14:$C$150,C1312)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SUMIFS(RAB!$F$14:$F$150,RAB!$C$14:$C$150,C1313)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SUMIFS(RAB!$F$14:$F$150,RAB!$C$14:$C$150,C1314)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SUMIFS(RAB!$F$14:$F$150,RAB!$C$14:$C$150,C1315)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SUMIFS(RAB!$F$14:$F$150,RAB!$C$14:$C$150,C1316)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SUMIFS(RAB!$F$14:$F$150,RAB!$C$14:$C$150,C1317)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SUMIFS(RAB!$F$14:$F$150,RAB!$C$14:$C$150,C1318)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SUMIFS(RAB!$F$14:$F$150,RAB!$C$14:$C$150,C1319)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SUMIFS(RAB!$F$14:$F$150,RAB!$C$14:$C$150,C1320)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1127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UD RESTU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BANJARSARI 04/05 GAJAH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0" t="s">
        <v>1008</v>
      </c>
      <c r="D38" s="560"/>
      <c r="E38" s="560"/>
      <c r="F38" s="560"/>
      <c r="G38" s="77" t="s">
        <v>9</v>
      </c>
      <c r="H38" s="55">
        <f ca="1">SUM(H14:H37)</f>
        <v>0</v>
      </c>
      <c r="I38" s="55">
        <f ca="1">SUM(I14:I37)</f>
        <v>19330400</v>
      </c>
      <c r="J38" s="55">
        <f ca="1">SUM(J14:J37)</f>
        <v>0</v>
      </c>
      <c r="K38" s="55">
        <f ca="1">SUM(K14:K37)</f>
        <v>19330400</v>
      </c>
      <c r="L38" s="44"/>
      <c r="R38" s="99"/>
      <c r="S38" s="99"/>
      <c r="T38" s="99"/>
    </row>
    <row r="39" spans="1:20" s="36" customFormat="1">
      <c r="A39" s="30"/>
      <c r="B39" s="56"/>
      <c r="C39" s="561" t="s">
        <v>462</v>
      </c>
      <c r="D39" s="561"/>
      <c r="E39" s="561"/>
      <c r="F39" s="561"/>
      <c r="G39" s="59" t="s">
        <v>9</v>
      </c>
      <c r="H39" s="60">
        <f ca="1">H38*0.1</f>
        <v>0</v>
      </c>
      <c r="I39" s="60">
        <f ca="1">I38*0.1</f>
        <v>1933040</v>
      </c>
      <c r="J39" s="60">
        <f ca="1">J38*0.1</f>
        <v>0</v>
      </c>
      <c r="K39" s="60">
        <f ca="1">K38*0.1</f>
        <v>1933040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2" t="s">
        <v>463</v>
      </c>
      <c r="D40" s="552"/>
      <c r="E40" s="552"/>
      <c r="F40" s="552"/>
      <c r="G40" s="61" t="s">
        <v>9</v>
      </c>
      <c r="H40" s="78">
        <f ca="1">SUM(H38:H39)</f>
        <v>0</v>
      </c>
      <c r="I40" s="78">
        <f ca="1">SUM(I38:I39)</f>
        <v>21263440</v>
      </c>
      <c r="J40" s="61">
        <f ca="1">SUM(J38:J39)</f>
        <v>0</v>
      </c>
      <c r="K40" s="61">
        <f ca="1">SUM(K38:K39)</f>
        <v>21263440</v>
      </c>
      <c r="L40" s="44"/>
      <c r="R40" s="99"/>
      <c r="S40" s="99"/>
      <c r="T40" s="99"/>
    </row>
    <row r="41" spans="1:20" s="36" customFormat="1">
      <c r="A41" s="30"/>
      <c r="B41" s="553" t="e">
        <f ca="1">"Terbilang : ( "&amp;L42&amp;" Rupiah )"</f>
        <v>#NAME?</v>
      </c>
      <c r="C41" s="554"/>
      <c r="D41" s="554"/>
      <c r="E41" s="554"/>
      <c r="F41" s="554"/>
      <c r="G41" s="554"/>
      <c r="H41" s="554"/>
      <c r="I41" s="554"/>
      <c r="J41" s="554"/>
      <c r="K41" s="555"/>
      <c r="L41" s="44"/>
      <c r="R41" s="58"/>
      <c r="S41" s="58"/>
      <c r="T41" s="58"/>
    </row>
    <row r="42" spans="1:20" s="36" customFormat="1">
      <c r="A42" s="30"/>
      <c r="B42" s="556"/>
      <c r="C42" s="557"/>
      <c r="D42" s="557"/>
      <c r="E42" s="557"/>
      <c r="F42" s="557"/>
      <c r="G42" s="557"/>
      <c r="H42" s="557"/>
      <c r="I42" s="557"/>
      <c r="J42" s="557"/>
      <c r="K42" s="55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7"/>
      <c r="I45" s="547"/>
      <c r="J45" s="548"/>
      <c r="K45" s="54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7"/>
      <c r="I46" s="547"/>
      <c r="J46" s="548"/>
      <c r="K46" s="54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7"/>
      <c r="I47" s="547"/>
      <c r="J47" s="548"/>
      <c r="K47" s="54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7"/>
      <c r="I52" s="547"/>
      <c r="J52" s="548"/>
      <c r="K52" s="54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SUMIFS(RAB!$F$14:$F$150,RAB!$C$14:$C$150,'REKAP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SUMIFS(RAB!$F$14:$F$150,RAB!$C$14:$C$150,'REKAP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SUMIFS(RAB!$F$14:$F$150,RAB!$C$14:$C$150,'REKAP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SUMIFS(RAB!$F$14:$F$150,RAB!$C$14:$C$150,'REKAP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SUMIFS(RAB!$F$14:$F$150,RAB!$C$14:$C$150,'REKAP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SUMIFS(RAB!$F$14:$F$150,RAB!$C$14:$C$150,'REKAP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SUMIFS(RAB!$F$14:$F$150,RAB!$C$14:$C$150,'REKAP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SUMIFS(RAB!$F$14:$F$150,RAB!$C$14:$C$150,'REKAP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SUMIFS(RAB!$F$14:$F$150,RAB!$C$14:$C$150,'REKAP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SUMIFS(RAB!$F$14:$F$150,RAB!$C$14:$C$150,'REKAP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SUMIFS(RAB!$F$14:$F$150,RAB!$C$14:$C$150,'REKAP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SUMIFS(RAB!$F$14:$F$150,RAB!$C$14:$C$150,'REKAP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SUMIFS(RAB!$F$14:$F$150,RAB!$C$14:$C$150,'REKAP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SUMIFS(RAB!$F$14:$F$150,RAB!$C$14:$C$150,'REKAP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SUMIFS(RAB!$F$14:$F$150,RAB!$C$14:$C$150,'REKAP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SUMIFS(RAB!$F$14:$F$150,RAB!$C$14:$C$150,'REKAP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SUMIFS(RAB!$F$14:$F$150,RAB!$C$14:$C$150,'REKAP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SUMIFS(RAB!$F$14:$F$150,RAB!$C$14:$C$150,'REKAP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SUMIFS(RAB!$F$14:$F$150,RAB!$C$14:$C$150,'REKAP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SUMIFS(RAB!$F$14:$F$150,RAB!$C$14:$C$150,'REKAP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1034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UD RESTU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BANJARSARI 04/05 GAJAH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530700</v>
      </c>
      <c r="I21" s="42">
        <f t="shared" ca="1" si="2"/>
        <v>0</v>
      </c>
      <c r="J21" s="42">
        <f t="shared" ca="1" si="3"/>
        <v>0</v>
      </c>
      <c r="K21" s="43">
        <f t="shared" ca="1" si="0"/>
        <v>530700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127800</v>
      </c>
      <c r="I22" s="42">
        <f t="shared" ca="1" si="2"/>
        <v>0</v>
      </c>
      <c r="J22" s="42">
        <f t="shared" ca="1" si="3"/>
        <v>0</v>
      </c>
      <c r="K22" s="43">
        <f t="shared" ca="1" si="0"/>
        <v>127800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3x35+1x35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183.6</v>
      </c>
      <c r="G23" s="41">
        <f ca="1">IF(ISERROR(OFFSET('HARGA SATUAN'!$I$6,MATCH(C23,'HARGA SATUAN'!$C$7:$C$1492,0),0)),"",OFFSET('HARGA SATUAN'!$I$6,MATCH(C23,'HARGA SATUAN'!$C$7:$C$1492,0),0))</f>
        <v>30400</v>
      </c>
      <c r="H23" s="42">
        <f t="shared" ca="1" si="1"/>
        <v>5581440</v>
      </c>
      <c r="I23" s="42">
        <f t="shared" ca="1" si="2"/>
        <v>0</v>
      </c>
      <c r="J23" s="42">
        <f t="shared" ca="1" si="3"/>
        <v>0</v>
      </c>
      <c r="K23" s="43">
        <f t="shared" ca="1" si="0"/>
        <v>5581440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0" t="s">
        <v>1008</v>
      </c>
      <c r="D168" s="560"/>
      <c r="E168" s="560"/>
      <c r="F168" s="560"/>
      <c r="G168" s="77" t="s">
        <v>9</v>
      </c>
      <c r="H168" s="55">
        <f ca="1">SUM(H14:H167)</f>
        <v>58875390</v>
      </c>
      <c r="I168" s="55">
        <f ca="1">SUM(I14:I167)</f>
        <v>0</v>
      </c>
      <c r="J168" s="55">
        <f ca="1">SUM(J14:J167)</f>
        <v>0</v>
      </c>
      <c r="K168" s="55">
        <f ca="1">SUM(K14:K167)</f>
        <v>58875390</v>
      </c>
      <c r="L168" s="44"/>
      <c r="R168" s="99"/>
      <c r="S168" s="99"/>
      <c r="T168" s="99"/>
    </row>
    <row r="169" spans="1:20" s="36" customFormat="1">
      <c r="A169" s="30"/>
      <c r="B169" s="56"/>
      <c r="C169" s="561" t="s">
        <v>462</v>
      </c>
      <c r="D169" s="561"/>
      <c r="E169" s="561"/>
      <c r="F169" s="561"/>
      <c r="G169" s="59" t="s">
        <v>9</v>
      </c>
      <c r="H169" s="60">
        <f ca="1">H168*0.1</f>
        <v>5887539</v>
      </c>
      <c r="I169" s="60">
        <f ca="1">I168*0.1</f>
        <v>0</v>
      </c>
      <c r="J169" s="60">
        <f ca="1">J168*0.1</f>
        <v>0</v>
      </c>
      <c r="K169" s="60">
        <f ca="1">K168*0.1</f>
        <v>5887539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2" t="s">
        <v>463</v>
      </c>
      <c r="D170" s="552"/>
      <c r="E170" s="552"/>
      <c r="F170" s="552"/>
      <c r="G170" s="61" t="s">
        <v>9</v>
      </c>
      <c r="H170" s="78">
        <f ca="1">SUM(H168:H169)</f>
        <v>64762929</v>
      </c>
      <c r="I170" s="78">
        <f ca="1">SUM(I168:I169)</f>
        <v>0</v>
      </c>
      <c r="J170" s="61">
        <f ca="1">SUM(J168:J169)</f>
        <v>0</v>
      </c>
      <c r="K170" s="61">
        <f ca="1">SUM(K168:K169)</f>
        <v>64762929</v>
      </c>
      <c r="L170" s="44"/>
      <c r="R170" s="99"/>
      <c r="S170" s="99"/>
      <c r="T170" s="99"/>
    </row>
    <row r="171" spans="1:20" s="36" customFormat="1">
      <c r="A171" s="30"/>
      <c r="B171" s="553" t="e">
        <f ca="1">"Terbilang : ( "&amp;L172&amp;" Rupiah )"</f>
        <v>#NAME?</v>
      </c>
      <c r="C171" s="554"/>
      <c r="D171" s="554"/>
      <c r="E171" s="554"/>
      <c r="F171" s="554"/>
      <c r="G171" s="554"/>
      <c r="H171" s="554"/>
      <c r="I171" s="554"/>
      <c r="J171" s="554"/>
      <c r="K171" s="555"/>
      <c r="L171" s="44"/>
      <c r="R171" s="58"/>
      <c r="S171" s="58"/>
      <c r="T171" s="58"/>
    </row>
    <row r="172" spans="1:20" s="36" customFormat="1">
      <c r="A172" s="30"/>
      <c r="B172" s="556"/>
      <c r="C172" s="557"/>
      <c r="D172" s="557"/>
      <c r="E172" s="557"/>
      <c r="F172" s="557"/>
      <c r="G172" s="557"/>
      <c r="H172" s="557"/>
      <c r="I172" s="557"/>
      <c r="J172" s="557"/>
      <c r="K172" s="55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7"/>
      <c r="I175" s="547"/>
      <c r="J175" s="548"/>
      <c r="K175" s="54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7"/>
      <c r="I176" s="547"/>
      <c r="J176" s="548"/>
      <c r="K176" s="54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7"/>
      <c r="I177" s="547"/>
      <c r="J177" s="548"/>
      <c r="K177" s="54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7"/>
      <c r="I182" s="547"/>
      <c r="J182" s="548"/>
      <c r="K182" s="54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SUMIFS(RAB!$F$14:$F$150,RAB!$C$14:$C$150,C224)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SUMIFS(RAB!$F$14:$F$150,RAB!$C$14:$C$150,C225)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SUMIFS(RAB!$F$14:$F$150,RAB!$C$14:$C$150,C226)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SUMIFS(RAB!$F$14:$F$150,RAB!$C$14:$C$150,C227)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SUMIFS(RAB!$F$14:$F$150,RAB!$C$14:$C$150,C228)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SUMIFS(RAB!$F$14:$F$150,RAB!$C$14:$C$150,C229)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SUMIFS(RAB!$F$14:$F$150,RAB!$C$14:$C$150,C230)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SUMIFS(RAB!$F$14:$F$150,RAB!$C$14:$C$150,C231)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SUMIFS(RAB!$F$14:$F$150,RAB!$C$14:$C$150,C232)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SUMIFS(RAB!$F$14:$F$150,RAB!$C$14:$C$150,C233)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SUMIFS(RAB!$F$14:$F$150,RAB!$C$14:$C$150,C234)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SUMIFS(RAB!$F$14:$F$150,RAB!$C$14:$C$150,C235)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SUMIFS(RAB!$F$14:$F$150,RAB!$C$14:$C$150,C236)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SUMIFS(RAB!$F$14:$F$150,RAB!$C$14:$C$150,C237)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SUMIFS(RAB!$F$14:$F$150,RAB!$C$14:$C$150,C238)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SUMIFS(RAB!$F$14:$F$150,RAB!$C$14:$C$150,C239)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SUMIFS(RAB!$F$14:$F$150,RAB!$C$14:$C$150,C240)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SUMIFS(RAB!$F$14:$F$150,RAB!$C$14:$C$150,C241)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SUMIFS(RAB!$F$14:$F$150,RAB!$C$14:$C$150,C242)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SUMIFS(RAB!$F$14:$F$150,RAB!$C$14:$C$150,C243)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SUMIFS(RAB!$F$14:$F$150,RAB!$C$14:$C$150,C244)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SUMIFS(RAB!$F$14:$F$150,RAB!$C$14:$C$150,C245)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SUMIFS(RAB!$F$14:$F$150,RAB!$C$14:$C$150,C246)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SUMIFS(RAB!$F$14:$F$150,RAB!$C$14:$C$150,C247)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SUMIFS(RAB!$F$14:$F$150,RAB!$C$14:$C$150,C248)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SUMIFS(RAB!$F$14:$F$150,RAB!$C$14:$C$150,C249)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SUMIFS(RAB!$F$14:$F$150,RAB!$C$14:$C$150,C250)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SUMIFS(RAB!$F$14:$F$150,RAB!$C$14:$C$150,C251)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SUMIFS(RAB!$F$14:$F$150,RAB!$C$14:$C$150,C252)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SUMIFS(RAB!$F$14:$F$150,RAB!$C$14:$C$150,C253)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SUMIFS(RAB!$F$14:$F$150,RAB!$C$14:$C$150,C254)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SUMIFS(RAB!$F$14:$F$150,RAB!$C$14:$C$150,C255)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SUMIFS(RAB!$F$14:$F$150,RAB!$C$14:$C$150,C256)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SUMIFS(RAB!$F$14:$F$150,RAB!$C$14:$C$150,C257)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SUMIFS(RAB!$F$14:$F$150,RAB!$C$14:$C$150,C258)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SUMIFS(RAB!$F$14:$F$150,RAB!$C$14:$C$150,C259)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SUMIFS(RAB!$F$14:$F$150,RAB!$C$14:$C$150,C260)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SUMIFS(RAB!$F$14:$F$150,RAB!$C$14:$C$150,C261)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SUMIFS(RAB!$F$14:$F$150,RAB!$C$14:$C$150,C262)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SUMIFS(RAB!$F$14:$F$150,RAB!$C$14:$C$150,C263)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SUMIFS(RAB!$F$14:$F$150,RAB!$C$14:$C$150,C264)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SUMIFS(RAB!$F$14:$F$150,RAB!$C$14:$C$150,C265)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SUMIFS(RAB!$F$14:$F$150,RAB!$C$14:$C$150,C266)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SUMIFS(RAB!$F$14:$F$150,RAB!$C$14:$C$150,C267)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SUMIFS(RAB!$F$14:$F$150,RAB!$C$14:$C$150,C268)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SUMIFS(RAB!$F$14:$F$150,RAB!$C$14:$C$150,C269)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SUMIFS(RAB!$F$14:$F$150,RAB!$C$14:$C$150,C270)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SUMIFS(RAB!$F$14:$F$150,RAB!$C$14:$C$150,C271)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SUMIFS(RAB!$F$14:$F$150,RAB!$C$14:$C$150,C272)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SUMIFS(RAB!$F$14:$F$150,RAB!$C$14:$C$150,C273)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SUMIFS(RAB!$F$14:$F$150,RAB!$C$14:$C$150,C274)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SUMIFS(RAB!$F$14:$F$150,RAB!$C$14:$C$150,C275)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SUMIFS(RAB!$F$14:$F$150,RAB!$C$14:$C$150,C276)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SUMIFS(RAB!$F$14:$F$150,RAB!$C$14:$C$150,C277)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SUMIFS(RAB!$F$14:$F$150,RAB!$C$14:$C$150,C278)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SUMIFS(RAB!$F$14:$F$150,RAB!$C$14:$C$150,C279)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SUMIFS(RAB!$F$14:$F$150,RAB!$C$14:$C$150,C280)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SUMIFS(RAB!$F$14:$F$150,RAB!$C$14:$C$150,C281)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SUMIFS(RAB!$F$14:$F$150,RAB!$C$14:$C$150,C282)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SUMIFS(RAB!$F$14:$F$150,RAB!$C$14:$C$150,C283)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SUMIFS(RAB!$F$14:$F$150,RAB!$C$14:$C$150,C284)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SUMIFS(RAB!$F$14:$F$150,RAB!$C$14:$C$150,C285)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SUMIFS(RAB!$F$14:$F$150,RAB!$C$14:$C$150,C286)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SUMIFS(RAB!$F$14:$F$150,RAB!$C$14:$C$150,C287)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SUMIFS(RAB!$F$14:$F$150,RAB!$C$14:$C$150,C288)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SUMIFS(RAB!$F$14:$F$150,RAB!$C$14:$C$150,C289)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SUMIFS(RAB!$F$14:$F$150,RAB!$C$14:$C$150,C290)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SUMIFS(RAB!$F$14:$F$150,RAB!$C$14:$C$150,C291)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SUMIFS(RAB!$F$14:$F$150,RAB!$C$14:$C$150,C292)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SUMIFS(RAB!$F$14:$F$150,RAB!$C$14:$C$150,C293)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SUMIFS(RAB!$F$14:$F$150,RAB!$C$14:$C$150,C294)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SUMIFS(RAB!$F$14:$F$150,RAB!$C$14:$C$150,C295)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SUMIFS(RAB!$F$14:$F$150,RAB!$C$14:$C$150,C296)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SUMIFS(RAB!$F$14:$F$150,RAB!$C$14:$C$150,C297)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SUMIFS(RAB!$F$14:$F$150,RAB!$C$14:$C$150,C298)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SUMIFS(RAB!$F$14:$F$150,RAB!$C$14:$C$150,C299)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SUMIFS(RAB!$F$14:$F$150,RAB!$C$14:$C$150,C300)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SUMIFS(RAB!$F$14:$F$150,RAB!$C$14:$C$150,C301)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SUMIFS(RAB!$F$14:$F$150,RAB!$C$14:$C$150,C302)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SUMIFS(RAB!$F$14:$F$150,RAB!$C$14:$C$150,C303)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SUMIFS(RAB!$F$14:$F$150,RAB!$C$14:$C$150,C304)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SUMIFS(RAB!$F$14:$F$150,RAB!$C$14:$C$150,C305)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SUMIFS(RAB!$F$14:$F$150,RAB!$C$14:$C$150,C306)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SUMIFS(RAB!$F$14:$F$150,RAB!$C$14:$C$150,C307)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SUMIFS(RAB!$F$14:$F$150,RAB!$C$14:$C$150,C308)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SUMIFS(RAB!$F$14:$F$150,RAB!$C$14:$C$150,C309)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SUMIFS(RAB!$F$14:$F$150,RAB!$C$14:$C$150,C310)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SUMIFS(RAB!$F$14:$F$150,RAB!$C$14:$C$150,C311)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SUMIFS(RAB!$F$14:$F$150,RAB!$C$14:$C$150,C312)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SUMIFS(RAB!$F$14:$F$150,RAB!$C$14:$C$150,C313)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SUMIFS(RAB!$F$14:$F$150,RAB!$C$14:$C$150,C314)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SUMIFS(RAB!$F$14:$F$150,RAB!$C$14:$C$150,C315)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SUMIFS(RAB!$F$14:$F$150,RAB!$C$14:$C$150,C316)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SUMIFS(RAB!$F$14:$F$150,RAB!$C$14:$C$150,C317)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SUMIFS(RAB!$F$14:$F$150,RAB!$C$14:$C$150,C318)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SUMIFS(RAB!$F$14:$F$150,RAB!$C$14:$C$150,C319)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SUMIFS(RAB!$F$14:$F$150,RAB!$C$14:$C$150,C320)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SUMIFS(RAB!$F$14:$F$150,RAB!$C$14:$C$150,C321)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SUMIFS(RAB!$F$14:$F$150,RAB!$C$14:$C$150,C322)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SUMIFS(RAB!$F$14:$F$150,RAB!$C$14:$C$150,C323)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SUMIFS(RAB!$F$14:$F$150,RAB!$C$14:$C$150,C324)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SUMIFS(RAB!$F$14:$F$150,RAB!$C$14:$C$150,C325)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SUMIFS(RAB!$F$14:$F$150,RAB!$C$14:$C$150,C326)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SUMIFS(RAB!$F$14:$F$150,RAB!$C$14:$C$150,C327)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SUMIFS(RAB!$F$14:$F$150,RAB!$C$14:$C$150,C328)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SUMIFS(RAB!$F$14:$F$150,RAB!$C$14:$C$150,C329)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SUMIFS(RAB!$F$14:$F$150,RAB!$C$14:$C$150,C330)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SUMIFS(RAB!$F$14:$F$150,RAB!$C$14:$C$150,C331)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SUMIFS(RAB!$F$14:$F$150,RAB!$C$14:$C$150,C332)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SUMIFS(RAB!$F$14:$F$150,RAB!$C$14:$C$150,C333)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SUMIFS(RAB!$F$14:$F$150,RAB!$C$14:$C$150,C334)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SUMIFS(RAB!$F$14:$F$150,RAB!$C$14:$C$150,C335)</f>
        <v>3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SUMIFS(RAB!$F$14:$F$150,RAB!$C$14:$C$150,C336)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SUMIFS(RAB!$F$14:$F$150,RAB!$C$14:$C$150,C337)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SUMIFS(RAB!$F$14:$F$150,RAB!$C$14:$C$150,C338)</f>
        <v>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SUMIFS(RAB!$F$14:$F$150,RAB!$C$14:$C$150,C339)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SUMIFS(RAB!$F$14:$F$150,RAB!$C$14:$C$150,C340)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SUMIFS(RAB!$F$14:$F$150,RAB!$C$14:$C$150,C341)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SUMIFS(RAB!$F$14:$F$150,RAB!$C$14:$C$150,C342)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SUMIFS(RAB!$F$14:$F$150,RAB!$C$14:$C$150,C343)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SUMIFS(RAB!$F$14:$F$150,RAB!$C$14:$C$150,C344)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SUMIFS(RAB!$F$14:$F$150,RAB!$C$14:$C$150,C345)</f>
        <v>183.6</v>
      </c>
      <c r="E345" s="24">
        <f t="shared" ca="1" si="22"/>
        <v>1</v>
      </c>
      <c r="F345" s="24">
        <f ca="1">IF(D345=0,0,SUM($E$223:E345))</f>
        <v>8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SUMIFS(RAB!$F$14:$F$150,RAB!$C$14:$C$150,C346)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SUMIFS(RAB!$F$14:$F$150,RAB!$C$14:$C$150,C347)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SUMIFS(RAB!$F$14:$F$150,RAB!$C$14:$C$150,C348)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SUMIFS(RAB!$F$14:$F$150,RAB!$C$14:$C$150,C349)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SUMIFS(RAB!$F$14:$F$150,RAB!$C$14:$C$150,C350)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SUMIFS(RAB!$F$14:$F$150,RAB!$C$14:$C$150,C351)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SUMIFS(RAB!$F$14:$F$150,RAB!$C$14:$C$150,C352)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SUMIFS(RAB!$F$14:$F$150,RAB!$C$14:$C$150,C353)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SUMIFS(RAB!$F$14:$F$150,RAB!$C$14:$C$150,C354)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SUMIFS(RAB!$F$14:$F$150,RAB!$C$14:$C$150,C355)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SUMIFS(RAB!$F$14:$F$150,RAB!$C$14:$C$150,C356)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SUMIFS(RAB!$F$14:$F$150,RAB!$C$14:$C$150,C357)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SUMIFS(RAB!$F$14:$F$150,RAB!$C$14:$C$150,C358)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SUMIFS(RAB!$F$14:$F$150,RAB!$C$14:$C$150,C359)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SUMIFS(RAB!$F$14:$F$150,RAB!$C$14:$C$150,C360)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SUMIFS(RAB!$F$14:$F$150,RAB!$C$14:$C$150,C361)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SUMIFS(RAB!$F$14:$F$150,RAB!$C$14:$C$150,C362)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SUMIFS(RAB!$F$14:$F$150,RAB!$C$14:$C$150,C363)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SUMIFS(RAB!$F$14:$F$150,RAB!$C$14:$C$150,C364)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SUMIFS(RAB!$F$14:$F$150,RAB!$C$14:$C$150,C365)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SUMIFS(RAB!$F$14:$F$150,RAB!$C$14:$C$150,C366)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SUMIFS(RAB!$F$14:$F$150,RAB!$C$14:$C$150,C367)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SUMIFS(RAB!$F$14:$F$150,RAB!$C$14:$C$150,C368)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SUMIFS(RAB!$F$14:$F$150,RAB!$C$14:$C$150,C369)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SUMIFS(RAB!$F$14:$F$150,RAB!$C$14:$C$150,C370)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SUMIFS(RAB!$F$14:$F$150,RAB!$C$14:$C$150,C371)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SUMIFS(RAB!$F$14:$F$150,RAB!$C$14:$C$150,C372)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SUMIFS(RAB!$F$14:$F$150,RAB!$C$14:$C$150,C373)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1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1604</v>
      </c>
      <c r="G4" s="108" t="s">
        <v>1603</v>
      </c>
      <c r="H4" s="56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8" priority="138" operator="equal">
      <formula>0</formula>
    </cfRule>
  </conditionalFormatting>
  <conditionalFormatting sqref="B8:C135">
    <cfRule type="cellIs" dxfId="37" priority="51" operator="equal">
      <formula>0</formula>
    </cfRule>
  </conditionalFormatting>
  <conditionalFormatting sqref="B150:G1493">
    <cfRule type="cellIs" dxfId="36" priority="1" operator="equal">
      <formula>0</formula>
    </cfRule>
  </conditionalFormatting>
  <conditionalFormatting sqref="C143:G149">
    <cfRule type="cellIs" dxfId="35" priority="5" operator="equal">
      <formula>0</formula>
    </cfRule>
  </conditionalFormatting>
  <conditionalFormatting sqref="D9:G142">
    <cfRule type="cellIs" dxfId="34" priority="11" operator="equal">
      <formula>0</formula>
    </cfRule>
  </conditionalFormatting>
  <conditionalFormatting sqref="D1:IV5 A1:C7 D6:K6 H1455:IV1457 H1458:XFD1485 H1486:H1493 I1486:XFD1494 A1494:H1494 A1495:XFD65536">
    <cfRule type="cellIs" dxfId="33" priority="163" operator="equal">
      <formula>0</formula>
    </cfRule>
  </conditionalFormatting>
  <conditionalFormatting sqref="D7:IV8 C136:C142 B136:B149">
    <cfRule type="cellIs" dxfId="32" priority="62" operator="equal">
      <formula>0</formula>
    </cfRule>
  </conditionalFormatting>
  <conditionalFormatting sqref="H9:H1418">
    <cfRule type="cellIs" dxfId="31" priority="129" operator="equal">
      <formula>0</formula>
    </cfRule>
  </conditionalFormatting>
  <conditionalFormatting sqref="H1419:I1454">
    <cfRule type="cellIs" dxfId="30" priority="128" operator="equal">
      <formula>0</formula>
    </cfRule>
  </conditionalFormatting>
  <conditionalFormatting sqref="I108:I1418">
    <cfRule type="cellIs" dxfId="29" priority="125" operator="equal">
      <formula>0</formula>
    </cfRule>
  </conditionalFormatting>
  <conditionalFormatting sqref="J108:IV1454">
    <cfRule type="cellIs" dxfId="28" priority="139" operator="equal">
      <formula>0</formula>
    </cfRule>
  </conditionalFormatting>
  <conditionalFormatting sqref="M6:IV6">
    <cfRule type="cellIs" dxfId="2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5" sqref="K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7" t="s">
        <v>1454</v>
      </c>
      <c r="C2" s="597"/>
      <c r="D2" s="597"/>
      <c r="E2" s="59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2" t="s">
        <v>1532</v>
      </c>
      <c r="C4" s="603"/>
      <c r="D4" s="603"/>
      <c r="E4" s="604"/>
      <c r="F4" s="442"/>
      <c r="G4" s="442"/>
      <c r="H4" s="443"/>
      <c r="I4" s="566" t="s">
        <v>1533</v>
      </c>
      <c r="J4" s="567"/>
      <c r="K4" s="567"/>
      <c r="L4" s="568"/>
    </row>
    <row r="5" spans="1:12" ht="34.5" customHeight="1">
      <c r="A5" s="204"/>
      <c r="B5" s="445" t="s">
        <v>1379</v>
      </c>
      <c r="C5" s="277" t="s">
        <v>9</v>
      </c>
      <c r="D5" s="598" t="str">
        <f>DATA!D14</f>
        <v>UD RESTU</v>
      </c>
      <c r="E5" s="599"/>
      <c r="F5" s="208"/>
      <c r="G5" s="208"/>
      <c r="I5" s="446" t="s">
        <v>1379</v>
      </c>
      <c r="J5" s="277" t="s">
        <v>9</v>
      </c>
      <c r="K5" s="569" t="str">
        <f>D5</f>
        <v>UD RESTU</v>
      </c>
      <c r="L5" s="570"/>
    </row>
    <row r="6" spans="1:12" ht="31.5" customHeight="1">
      <c r="A6" s="204"/>
      <c r="B6" s="445" t="s">
        <v>1529</v>
      </c>
      <c r="C6" s="277" t="s">
        <v>9</v>
      </c>
      <c r="D6" s="607">
        <f>DATA!D17*1000</f>
        <v>0</v>
      </c>
      <c r="E6" s="608"/>
      <c r="F6" s="208"/>
      <c r="G6" s="208"/>
      <c r="I6" s="446" t="s">
        <v>1530</v>
      </c>
      <c r="J6" s="277" t="s">
        <v>9</v>
      </c>
      <c r="K6" s="571">
        <f>DATA!D20*1000</f>
        <v>41500</v>
      </c>
      <c r="L6" s="572"/>
    </row>
    <row r="7" spans="1:12" ht="30.75" customHeight="1">
      <c r="A7" s="204"/>
      <c r="B7" s="445" t="s">
        <v>1441</v>
      </c>
      <c r="C7" s="277" t="s">
        <v>9</v>
      </c>
      <c r="D7" s="605">
        <f>DATA!D18</f>
        <v>1</v>
      </c>
      <c r="E7" s="606"/>
      <c r="F7" s="444" t="s">
        <v>1453</v>
      </c>
      <c r="I7" s="446" t="s">
        <v>1441</v>
      </c>
      <c r="J7" s="277" t="s">
        <v>9</v>
      </c>
      <c r="K7" s="573">
        <f>DATA!D21</f>
        <v>3</v>
      </c>
      <c r="L7" s="574"/>
    </row>
    <row r="8" spans="1:12" ht="51" customHeight="1">
      <c r="A8" s="204"/>
      <c r="B8" s="445" t="s">
        <v>1442</v>
      </c>
      <c r="C8" s="277" t="s">
        <v>9</v>
      </c>
      <c r="D8" s="605">
        <f>DATA!D19</f>
        <v>220</v>
      </c>
      <c r="E8" s="606"/>
      <c r="F8" s="444" t="s">
        <v>1453</v>
      </c>
      <c r="G8" s="439">
        <v>220</v>
      </c>
      <c r="I8" s="446" t="s">
        <v>1442</v>
      </c>
      <c r="J8" s="277" t="s">
        <v>9</v>
      </c>
      <c r="K8" s="573">
        <f>DATA!D22</f>
        <v>380</v>
      </c>
      <c r="L8" s="574"/>
    </row>
    <row r="9" spans="1:12" ht="30" customHeight="1" thickBot="1">
      <c r="A9" s="204"/>
      <c r="B9" s="451" t="s">
        <v>1541</v>
      </c>
      <c r="C9" s="441" t="s">
        <v>9</v>
      </c>
      <c r="D9" s="600">
        <f>IF(D7=1,D6/(380/3^0.5),(D6/(380*3^0.5)))</f>
        <v>0</v>
      </c>
      <c r="E9" s="601"/>
      <c r="F9" s="207"/>
      <c r="G9" s="440">
        <v>380</v>
      </c>
      <c r="I9" s="452" t="s">
        <v>1541</v>
      </c>
      <c r="J9" s="441" t="s">
        <v>9</v>
      </c>
      <c r="K9" s="577">
        <f>IF(K7=1,K6/(380/3^0.5),(K6/(380*3^0.5)))</f>
        <v>63.052726766761765</v>
      </c>
      <c r="L9" s="578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9" t="s">
        <v>1621</v>
      </c>
      <c r="E12" s="610"/>
      <c r="F12" s="208"/>
      <c r="G12" s="208"/>
      <c r="I12" s="468" t="s">
        <v>1534</v>
      </c>
      <c r="J12" s="469" t="s">
        <v>9</v>
      </c>
      <c r="K12" s="609" t="s">
        <v>1621</v>
      </c>
      <c r="L12" s="610"/>
    </row>
    <row r="13" spans="1:12" ht="31.5" customHeight="1">
      <c r="A13" s="204"/>
      <c r="B13" s="476" t="s">
        <v>1380</v>
      </c>
      <c r="C13" s="456" t="s">
        <v>9</v>
      </c>
      <c r="D13" s="575" t="s">
        <v>1622</v>
      </c>
      <c r="E13" s="576"/>
      <c r="F13" s="208"/>
      <c r="G13" s="208"/>
      <c r="I13" s="470" t="s">
        <v>1380</v>
      </c>
      <c r="J13" s="456" t="s">
        <v>9</v>
      </c>
      <c r="K13" s="575" t="s">
        <v>1622</v>
      </c>
      <c r="L13" s="576"/>
    </row>
    <row r="14" spans="1:12" ht="30.75" customHeight="1">
      <c r="A14" s="204"/>
      <c r="B14" s="476" t="s">
        <v>1535</v>
      </c>
      <c r="C14" s="456" t="s">
        <v>9</v>
      </c>
      <c r="D14" s="579"/>
      <c r="E14" s="580"/>
      <c r="F14" s="444" t="s">
        <v>1453</v>
      </c>
      <c r="G14" s="448">
        <v>50</v>
      </c>
      <c r="I14" s="470" t="s">
        <v>1535</v>
      </c>
      <c r="J14" s="456" t="s">
        <v>9</v>
      </c>
      <c r="K14" s="581"/>
      <c r="L14" s="582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3">
        <v>0</v>
      </c>
      <c r="E16" s="584"/>
      <c r="F16" s="444"/>
      <c r="G16" s="448">
        <v>160</v>
      </c>
      <c r="I16" s="470" t="s">
        <v>1537</v>
      </c>
      <c r="J16" s="456" t="s">
        <v>9</v>
      </c>
      <c r="K16" s="587">
        <f>K9</f>
        <v>63.052726766761765</v>
      </c>
      <c r="L16" s="588"/>
    </row>
    <row r="17" spans="1:12" ht="34.5" customHeight="1">
      <c r="A17" s="204"/>
      <c r="B17" s="476" t="s">
        <v>1538</v>
      </c>
      <c r="C17" s="456" t="s">
        <v>9</v>
      </c>
      <c r="D17" s="585">
        <f>IF(D15=1,D14/(20/3^0.5),(D14/(20*3^0.5)))</f>
        <v>0</v>
      </c>
      <c r="E17" s="586"/>
      <c r="F17" s="444" t="s">
        <v>1453</v>
      </c>
      <c r="G17" s="449">
        <v>200</v>
      </c>
      <c r="I17" s="470" t="s">
        <v>1538</v>
      </c>
      <c r="J17" s="456" t="s">
        <v>9</v>
      </c>
      <c r="K17" s="591">
        <f>IF(K15=1,K14/(20/3^0.5),(K14/(20*3^0.5)))</f>
        <v>0</v>
      </c>
      <c r="L17" s="592"/>
    </row>
    <row r="18" spans="1:12" ht="34.5" customHeight="1">
      <c r="A18" s="204"/>
      <c r="B18" s="476" t="s">
        <v>1539</v>
      </c>
      <c r="C18" s="456" t="s">
        <v>9</v>
      </c>
      <c r="D18" s="585">
        <f>IF(D15=1,D14/(380/3^0.5),(D14/(380*3^0.5)))*1000</f>
        <v>0</v>
      </c>
      <c r="E18" s="586"/>
      <c r="F18" s="444" t="s">
        <v>1453</v>
      </c>
      <c r="G18" s="449">
        <v>250</v>
      </c>
      <c r="I18" s="470" t="s">
        <v>1539</v>
      </c>
      <c r="J18" s="456" t="s">
        <v>9</v>
      </c>
      <c r="K18" s="591">
        <f>IF(K15=1,K14/(380/3^0.5),(K14/(380*3^0.5)))*1000</f>
        <v>0</v>
      </c>
      <c r="L18" s="592"/>
    </row>
    <row r="19" spans="1:12" ht="30" customHeight="1">
      <c r="A19" s="204"/>
      <c r="B19" s="477" t="s">
        <v>1531</v>
      </c>
      <c r="C19" s="455" t="s">
        <v>9</v>
      </c>
      <c r="D19" s="585">
        <f>IF(D15=1,D14/(380/3^0.5),(D14/(380*3^0.5)))</f>
        <v>0</v>
      </c>
      <c r="E19" s="586"/>
      <c r="F19" s="207"/>
      <c r="G19" s="440"/>
      <c r="I19" s="472" t="s">
        <v>1531</v>
      </c>
      <c r="J19" s="455" t="s">
        <v>9</v>
      </c>
      <c r="K19" s="591">
        <f>IF(K15=1,K14/(380/3^0.5),(K14/(380*3^0.5)))</f>
        <v>0</v>
      </c>
      <c r="L19" s="592"/>
    </row>
    <row r="20" spans="1:12" ht="30" customHeight="1" thickBot="1">
      <c r="A20" s="204"/>
      <c r="B20" s="478" t="s">
        <v>1540</v>
      </c>
      <c r="C20" s="474" t="s">
        <v>9</v>
      </c>
      <c r="D20" s="611" t="e">
        <f>D16/D18</f>
        <v>#DIV/0!</v>
      </c>
      <c r="E20" s="612"/>
      <c r="F20" s="207"/>
      <c r="G20" s="440"/>
      <c r="I20" s="473" t="s">
        <v>1531</v>
      </c>
      <c r="J20" s="474" t="s">
        <v>9</v>
      </c>
      <c r="K20" s="589" t="e">
        <f>K16/K18</f>
        <v>#DIV/0!</v>
      </c>
      <c r="L20" s="590"/>
    </row>
    <row r="21" spans="1:12" ht="9.75" customHeight="1">
      <c r="A21" s="204"/>
      <c r="B21" s="463" t="s">
        <v>1540</v>
      </c>
      <c r="C21" s="464" t="s">
        <v>9</v>
      </c>
      <c r="D21" s="596">
        <v>1</v>
      </c>
      <c r="E21" s="596"/>
      <c r="F21" s="465"/>
      <c r="G21" s="466"/>
      <c r="H21" s="467"/>
      <c r="I21" s="463" t="s">
        <v>1531</v>
      </c>
      <c r="J21" s="464" t="s">
        <v>9</v>
      </c>
      <c r="K21" s="596">
        <v>1</v>
      </c>
      <c r="L21" s="596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3"/>
      <c r="C24" s="594"/>
      <c r="D24" s="594"/>
      <c r="E24" s="595"/>
      <c r="I24" s="593"/>
      <c r="J24" s="594"/>
      <c r="K24" s="594"/>
      <c r="L24" s="595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3"/>
      <c r="C1" s="613"/>
      <c r="D1" s="61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41.5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40213500</v>
      </c>
    </row>
    <row r="10" spans="2:11" ht="20.100000000000001" customHeight="1">
      <c r="B10" s="291" t="s">
        <v>1446</v>
      </c>
      <c r="C10" s="292" t="s">
        <v>9</v>
      </c>
      <c r="D10" s="298">
        <f ca="1">RAB!K156</f>
        <v>104597204.65639998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2091944.0931279997</v>
      </c>
    </row>
    <row r="12" spans="2:11" ht="9" customHeight="1">
      <c r="B12" s="614"/>
      <c r="C12" s="614"/>
      <c r="D12" s="614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1623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1637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41.5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31" activePane="bottomLeft" state="frozen"/>
      <selection activeCell="H1093" sqref="H1093"/>
      <selection pane="bottomLeft" activeCell="G37" sqref="G3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1" t="s">
        <v>1357</v>
      </c>
      <c r="C3" s="621"/>
      <c r="D3" s="621"/>
      <c r="E3" s="621"/>
      <c r="F3" s="305" t="str">
        <f>DATA!D14</f>
        <v>UD RESTU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5" t="s">
        <v>1349</v>
      </c>
      <c r="C5" s="615" t="s">
        <v>1358</v>
      </c>
      <c r="D5" s="620" t="s">
        <v>1359</v>
      </c>
      <c r="E5" s="620" t="s">
        <v>1360</v>
      </c>
      <c r="F5" s="615" t="s">
        <v>1361</v>
      </c>
      <c r="G5" s="615"/>
      <c r="H5" s="615"/>
      <c r="I5" s="615"/>
      <c r="J5" s="615"/>
      <c r="K5" s="615" t="s">
        <v>1362</v>
      </c>
      <c r="L5" s="615"/>
      <c r="M5" s="307"/>
      <c r="N5" s="618" t="s">
        <v>1363</v>
      </c>
      <c r="O5" s="620" t="s">
        <v>1364</v>
      </c>
      <c r="P5" s="620" t="s">
        <v>1365</v>
      </c>
      <c r="Q5" s="620" t="s">
        <v>1366</v>
      </c>
      <c r="R5" s="308"/>
      <c r="S5" s="309"/>
      <c r="T5" s="616" t="s">
        <v>1367</v>
      </c>
      <c r="U5" s="310"/>
    </row>
    <row r="6" spans="1:21" ht="20.100000000000001" customHeight="1">
      <c r="B6" s="615"/>
      <c r="C6" s="615"/>
      <c r="D6" s="615"/>
      <c r="E6" s="61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9"/>
      <c r="O6" s="615"/>
      <c r="P6" s="615"/>
      <c r="Q6" s="615"/>
      <c r="R6" s="308"/>
      <c r="S6" s="309"/>
      <c r="T6" s="615"/>
      <c r="U6" s="312"/>
    </row>
    <row r="7" spans="1:21" ht="20.100000000000001" customHeight="1">
      <c r="A7" s="313">
        <v>0</v>
      </c>
      <c r="B7" s="314">
        <v>2023</v>
      </c>
      <c r="C7" s="479">
        <f>DATA!D8*DATA!D26*2</f>
        <v>3320</v>
      </c>
      <c r="D7" s="316">
        <f>C7*4/24</f>
        <v>553.33333333333337</v>
      </c>
      <c r="E7" s="316">
        <f>C7-D7</f>
        <v>2766.6666666666665</v>
      </c>
      <c r="F7" s="317">
        <f ca="1">DATA!D10/1000000</f>
        <v>104.59720465639998</v>
      </c>
      <c r="G7" s="318">
        <f ca="1">DATA!$D$11/1000000</f>
        <v>2.0919440931279998</v>
      </c>
      <c r="H7" s="318">
        <f>C7*DATA!$D$5/1000000</f>
        <v>3.5992951523434589</v>
      </c>
      <c r="I7" s="318">
        <f>(C7*DATA!$D$5*DATA!$D$7)/1000000</f>
        <v>8.0984140927727835E-2</v>
      </c>
      <c r="J7" s="316">
        <f ca="1">SUM(F7:I7)</f>
        <v>110.36942804279917</v>
      </c>
      <c r="K7" s="319">
        <f>DATA!D9/1000000</f>
        <v>40.213500000000003</v>
      </c>
      <c r="L7" s="316">
        <f>((D7*DATA!$D$23)/1000000)+((E7*DATA!$D$24)/1000000)</f>
        <v>4.7964039999999999</v>
      </c>
      <c r="M7" s="316">
        <f>K7+L7</f>
        <v>45.009904000000006</v>
      </c>
      <c r="N7" s="316">
        <f ca="1">M7-J7</f>
        <v>-65.359524042799165</v>
      </c>
      <c r="O7" s="314">
        <v>1</v>
      </c>
      <c r="P7" s="316">
        <f ca="1">O7*N7</f>
        <v>-65.359524042799165</v>
      </c>
      <c r="Q7" s="316">
        <f ca="1">P7</f>
        <v>-65.359524042799165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19920</v>
      </c>
      <c r="D8" s="316">
        <f>C8*4/24</f>
        <v>3320</v>
      </c>
      <c r="E8" s="316">
        <f t="shared" ref="E8:E32" si="0">C8-D8</f>
        <v>16600</v>
      </c>
      <c r="F8" s="314"/>
      <c r="G8" s="318">
        <f ca="1">DATA!$D$11/1000000</f>
        <v>2.0919440931279998</v>
      </c>
      <c r="H8" s="318">
        <f>C8*DATA!$D$5/1000000</f>
        <v>21.595770914060758</v>
      </c>
      <c r="I8" s="318">
        <f>(C8*DATA!$D$5*DATA!$D$7)/1000000</f>
        <v>0.48590484556636704</v>
      </c>
      <c r="J8" s="316">
        <f t="shared" ref="J8:J32" ca="1" si="1">SUM(F8:I8)</f>
        <v>24.173619852755124</v>
      </c>
      <c r="K8" s="321"/>
      <c r="L8" s="316">
        <f>((D8*DATA!$D$23)/1000000)+((E8*DATA!$D$24)/1000000)</f>
        <v>28.778423999999998</v>
      </c>
      <c r="M8" s="316">
        <f t="shared" ref="M8:M32" si="2">K8+L8</f>
        <v>28.778423999999998</v>
      </c>
      <c r="N8" s="316">
        <f ca="1">M8-J8</f>
        <v>4.6048041472448737</v>
      </c>
      <c r="O8" s="315">
        <f>1/(1+'[93]Asumsi I'!$C$3)^(KKF!A8)</f>
        <v>0.89285714285714279</v>
      </c>
      <c r="P8" s="316">
        <f ca="1">O8*N8</f>
        <v>4.1114322743257796</v>
      </c>
      <c r="Q8" s="316">
        <f ca="1">Q7+P8</f>
        <v>-61.248091768473387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19920</v>
      </c>
      <c r="D9" s="316">
        <f t="shared" ref="D9:D32" si="5">C9*4/24</f>
        <v>3320</v>
      </c>
      <c r="E9" s="316">
        <f t="shared" si="0"/>
        <v>16600</v>
      </c>
      <c r="F9" s="314"/>
      <c r="G9" s="318">
        <f ca="1">DATA!$D$11/1000000</f>
        <v>2.0919440931279998</v>
      </c>
      <c r="H9" s="318">
        <f>C9*DATA!$D$5/1000000</f>
        <v>21.595770914060758</v>
      </c>
      <c r="I9" s="318">
        <f>(C9*DATA!$D$5*DATA!$D$7)/1000000</f>
        <v>0.48590484556636704</v>
      </c>
      <c r="J9" s="316">
        <f t="shared" ca="1" si="1"/>
        <v>24.173619852755124</v>
      </c>
      <c r="K9" s="316"/>
      <c r="L9" s="316">
        <f>((D9*DATA!$D$23)/1000000)+((E9*DATA!$D$24)/1000000)</f>
        <v>28.778423999999998</v>
      </c>
      <c r="M9" s="316">
        <f t="shared" si="2"/>
        <v>28.778423999999998</v>
      </c>
      <c r="N9" s="316">
        <f t="shared" ref="N9:N32" ca="1" si="6">M9-J9</f>
        <v>4.6048041472448737</v>
      </c>
      <c r="O9" s="322">
        <f>1/(1+'[93]Asumsi I'!$C$3)^(KKF!A9)</f>
        <v>0.79719387755102034</v>
      </c>
      <c r="P9" s="316">
        <f t="shared" ref="P9:P32" ca="1" si="7">O9*N9</f>
        <v>3.6709216735051604</v>
      </c>
      <c r="Q9" s="316">
        <f ca="1">Q8+P9</f>
        <v>-57.577170094968224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19920</v>
      </c>
      <c r="D10" s="316">
        <f t="shared" si="5"/>
        <v>3320</v>
      </c>
      <c r="E10" s="316">
        <f t="shared" si="0"/>
        <v>16600</v>
      </c>
      <c r="F10" s="314"/>
      <c r="G10" s="318">
        <f ca="1">DATA!$D$11/1000000</f>
        <v>2.0919440931279998</v>
      </c>
      <c r="H10" s="318">
        <f>C10*DATA!$D$5/1000000</f>
        <v>21.595770914060758</v>
      </c>
      <c r="I10" s="318">
        <f>(C10*DATA!$D$5*DATA!$D$7)/1000000</f>
        <v>0.48590484556636704</v>
      </c>
      <c r="J10" s="316">
        <f t="shared" ca="1" si="1"/>
        <v>24.173619852755124</v>
      </c>
      <c r="K10" s="314"/>
      <c r="L10" s="316">
        <f>((D10*DATA!$D$23)/1000000)+((E10*DATA!$D$24)/1000000)</f>
        <v>28.778423999999998</v>
      </c>
      <c r="M10" s="316">
        <f t="shared" si="2"/>
        <v>28.778423999999998</v>
      </c>
      <c r="N10" s="316">
        <f t="shared" ca="1" si="6"/>
        <v>4.6048041472448737</v>
      </c>
      <c r="O10" s="315">
        <f>1/(1+'[93]Asumsi I'!$C$3)^(KKF!A10)</f>
        <v>0.71178024781341087</v>
      </c>
      <c r="P10" s="316">
        <f t="shared" ca="1" si="7"/>
        <v>3.2776086370581785</v>
      </c>
      <c r="Q10" s="316">
        <f t="shared" ref="Q10:Q30" ca="1" si="9">Q9+P10</f>
        <v>-54.299561457910045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19920</v>
      </c>
      <c r="D11" s="316">
        <f t="shared" si="5"/>
        <v>3320</v>
      </c>
      <c r="E11" s="316">
        <f t="shared" si="0"/>
        <v>16600</v>
      </c>
      <c r="F11" s="314"/>
      <c r="G11" s="318">
        <f ca="1">DATA!$D$11/1000000</f>
        <v>2.0919440931279998</v>
      </c>
      <c r="H11" s="318">
        <f>C11*DATA!$D$5/1000000</f>
        <v>21.595770914060758</v>
      </c>
      <c r="I11" s="318">
        <f>(C11*DATA!$D$5*DATA!$D$7)/1000000</f>
        <v>0.48590484556636704</v>
      </c>
      <c r="J11" s="316">
        <f t="shared" ca="1" si="1"/>
        <v>24.173619852755124</v>
      </c>
      <c r="K11" s="314"/>
      <c r="L11" s="316">
        <f>((D11*DATA!$D$23)/1000000)+((E11*DATA!$D$24)/1000000)</f>
        <v>28.778423999999998</v>
      </c>
      <c r="M11" s="316">
        <f t="shared" si="2"/>
        <v>28.778423999999998</v>
      </c>
      <c r="N11" s="316">
        <f t="shared" ca="1" si="6"/>
        <v>4.6048041472448737</v>
      </c>
      <c r="O11" s="315">
        <f>1/(1+'[93]Asumsi I'!$C$3)^(KKF!A11)</f>
        <v>0.63551807840483121</v>
      </c>
      <c r="P11" s="316">
        <f t="shared" ca="1" si="7"/>
        <v>2.9264362830876598</v>
      </c>
      <c r="Q11" s="316">
        <f t="shared" ca="1" si="9"/>
        <v>-51.373125174822384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19920</v>
      </c>
      <c r="D12" s="316">
        <f t="shared" si="5"/>
        <v>3320</v>
      </c>
      <c r="E12" s="316">
        <f t="shared" si="0"/>
        <v>16600</v>
      </c>
      <c r="F12" s="314"/>
      <c r="G12" s="318">
        <f ca="1">DATA!$D$11/1000000</f>
        <v>2.0919440931279998</v>
      </c>
      <c r="H12" s="318">
        <f>C12*DATA!$D$5/1000000</f>
        <v>21.595770914060758</v>
      </c>
      <c r="I12" s="318">
        <f>(C12*DATA!$D$5*DATA!$D$7)/1000000</f>
        <v>0.48590484556636704</v>
      </c>
      <c r="J12" s="316">
        <f t="shared" ca="1" si="1"/>
        <v>24.173619852755124</v>
      </c>
      <c r="K12" s="314"/>
      <c r="L12" s="316">
        <f>((D12*DATA!$D$23)/1000000)+((E12*DATA!$D$24)/1000000)</f>
        <v>28.778423999999998</v>
      </c>
      <c r="M12" s="316">
        <f t="shared" si="2"/>
        <v>28.778423999999998</v>
      </c>
      <c r="N12" s="316">
        <f t="shared" ca="1" si="6"/>
        <v>4.6048041472448737</v>
      </c>
      <c r="O12" s="315">
        <f>1/(1+'[93]Asumsi I'!$C$3)^(KKF!A12)</f>
        <v>0.56742685571859919</v>
      </c>
      <c r="P12" s="316">
        <f t="shared" ca="1" si="7"/>
        <v>2.6128895384711242</v>
      </c>
      <c r="Q12" s="316">
        <f t="shared" ca="1" si="9"/>
        <v>-48.760235636351261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19920</v>
      </c>
      <c r="D13" s="316">
        <f t="shared" si="5"/>
        <v>3320</v>
      </c>
      <c r="E13" s="316">
        <f t="shared" si="0"/>
        <v>16600</v>
      </c>
      <c r="F13" s="314"/>
      <c r="G13" s="318">
        <f ca="1">DATA!$D$11/1000000</f>
        <v>2.0919440931279998</v>
      </c>
      <c r="H13" s="318">
        <f>C13*DATA!$D$5/1000000</f>
        <v>21.595770914060758</v>
      </c>
      <c r="I13" s="318">
        <f>(C13*DATA!$D$5*DATA!$D$7)/1000000</f>
        <v>0.48590484556636704</v>
      </c>
      <c r="J13" s="316">
        <f t="shared" ca="1" si="1"/>
        <v>24.173619852755124</v>
      </c>
      <c r="K13" s="314"/>
      <c r="L13" s="316">
        <f>((D13*DATA!$D$23)/1000000)+((E13*DATA!$D$24)/1000000)</f>
        <v>28.778423999999998</v>
      </c>
      <c r="M13" s="316">
        <f t="shared" si="2"/>
        <v>28.778423999999998</v>
      </c>
      <c r="N13" s="316">
        <f t="shared" ca="1" si="6"/>
        <v>4.6048041472448737</v>
      </c>
      <c r="O13" s="315">
        <f>1/(1+'[93]Asumsi I'!$C$3)^(KKF!A13)</f>
        <v>0.50663112117732068</v>
      </c>
      <c r="P13" s="316">
        <f t="shared" ca="1" si="7"/>
        <v>2.3329370879206466</v>
      </c>
      <c r="Q13" s="316">
        <f t="shared" ca="1" si="9"/>
        <v>-46.427298548430613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19920</v>
      </c>
      <c r="D14" s="316">
        <f t="shared" si="5"/>
        <v>3320</v>
      </c>
      <c r="E14" s="316">
        <f t="shared" si="0"/>
        <v>16600</v>
      </c>
      <c r="F14" s="314"/>
      <c r="G14" s="318">
        <f ca="1">DATA!$D$11/1000000</f>
        <v>2.0919440931279998</v>
      </c>
      <c r="H14" s="318">
        <f>C14*DATA!$D$5/1000000</f>
        <v>21.595770914060758</v>
      </c>
      <c r="I14" s="318">
        <f>(C14*DATA!$D$5*DATA!$D$7)/1000000</f>
        <v>0.48590484556636704</v>
      </c>
      <c r="J14" s="316">
        <f t="shared" ca="1" si="1"/>
        <v>24.173619852755124</v>
      </c>
      <c r="K14" s="314"/>
      <c r="L14" s="316">
        <f>((D14*DATA!$D$23)/1000000)+((E14*DATA!$D$24)/1000000)</f>
        <v>28.778423999999998</v>
      </c>
      <c r="M14" s="316">
        <f t="shared" si="2"/>
        <v>28.778423999999998</v>
      </c>
      <c r="N14" s="316">
        <f t="shared" ca="1" si="6"/>
        <v>4.6048041472448737</v>
      </c>
      <c r="O14" s="315">
        <f>1/(1+'[93]Asumsi I'!$C$3)^(KKF!A14)</f>
        <v>0.45234921533689343</v>
      </c>
      <c r="P14" s="316">
        <f t="shared" ca="1" si="7"/>
        <v>2.0829795427862914</v>
      </c>
      <c r="Q14" s="316">
        <f t="shared" ca="1" si="9"/>
        <v>-44.344319005644323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19920</v>
      </c>
      <c r="D15" s="316">
        <f t="shared" si="5"/>
        <v>3320</v>
      </c>
      <c r="E15" s="316">
        <f t="shared" si="0"/>
        <v>16600</v>
      </c>
      <c r="F15" s="314"/>
      <c r="G15" s="318">
        <f ca="1">DATA!$D$11/1000000</f>
        <v>2.0919440931279998</v>
      </c>
      <c r="H15" s="318">
        <f>C15*DATA!$D$5/1000000</f>
        <v>21.595770914060758</v>
      </c>
      <c r="I15" s="318">
        <f>(C15*DATA!$D$5*DATA!$D$7)/1000000</f>
        <v>0.48590484556636704</v>
      </c>
      <c r="J15" s="316">
        <f t="shared" ca="1" si="1"/>
        <v>24.173619852755124</v>
      </c>
      <c r="K15" s="314"/>
      <c r="L15" s="316">
        <f>((D15*DATA!$D$23)/1000000)+((E15*DATA!$D$24)/1000000)</f>
        <v>28.778423999999998</v>
      </c>
      <c r="M15" s="316">
        <f t="shared" si="2"/>
        <v>28.778423999999998</v>
      </c>
      <c r="N15" s="316">
        <f t="shared" ca="1" si="6"/>
        <v>4.6048041472448737</v>
      </c>
      <c r="O15" s="315">
        <f>1/(1+'[93]Asumsi I'!$C$3)^(KKF!A15)</f>
        <v>0.4038832279793691</v>
      </c>
      <c r="P15" s="316">
        <f t="shared" ca="1" si="7"/>
        <v>1.8598031632020458</v>
      </c>
      <c r="Q15" s="316">
        <f t="shared" ca="1" si="9"/>
        <v>-42.484515842442278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19920</v>
      </c>
      <c r="D16" s="316">
        <f t="shared" si="5"/>
        <v>3320</v>
      </c>
      <c r="E16" s="316">
        <f t="shared" si="0"/>
        <v>16600</v>
      </c>
      <c r="F16" s="314"/>
      <c r="G16" s="318">
        <f ca="1">DATA!$D$11/1000000</f>
        <v>2.0919440931279998</v>
      </c>
      <c r="H16" s="318">
        <f>C16*DATA!$D$5/1000000</f>
        <v>21.595770914060758</v>
      </c>
      <c r="I16" s="318">
        <f>(C16*DATA!$D$5*DATA!$D$7)/1000000</f>
        <v>0.48590484556636704</v>
      </c>
      <c r="J16" s="316">
        <f t="shared" ca="1" si="1"/>
        <v>24.173619852755124</v>
      </c>
      <c r="K16" s="314"/>
      <c r="L16" s="316">
        <f>((D16*DATA!$D$23)/1000000)+((E16*DATA!$D$24)/1000000)</f>
        <v>28.778423999999998</v>
      </c>
      <c r="M16" s="316">
        <f t="shared" si="2"/>
        <v>28.778423999999998</v>
      </c>
      <c r="N16" s="316">
        <f t="shared" ca="1" si="6"/>
        <v>4.6048041472448737</v>
      </c>
      <c r="O16" s="315">
        <f>1/(1+'[93]Asumsi I'!$C$3)^(KKF!A16)</f>
        <v>0.36061002498157957</v>
      </c>
      <c r="P16" s="316">
        <f t="shared" ca="1" si="7"/>
        <v>1.6605385385732552</v>
      </c>
      <c r="Q16" s="316">
        <f t="shared" ca="1" si="9"/>
        <v>-40.823977303869022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19920</v>
      </c>
      <c r="D17" s="316">
        <f t="shared" si="5"/>
        <v>3320</v>
      </c>
      <c r="E17" s="316">
        <f t="shared" si="0"/>
        <v>16600</v>
      </c>
      <c r="F17" s="314"/>
      <c r="G17" s="318">
        <f ca="1">DATA!$D$11/1000000</f>
        <v>2.0919440931279998</v>
      </c>
      <c r="H17" s="318">
        <f>C17*DATA!$D$5/1000000</f>
        <v>21.595770914060758</v>
      </c>
      <c r="I17" s="318">
        <f>(C17*DATA!$D$5*DATA!$D$7)/1000000</f>
        <v>0.48590484556636704</v>
      </c>
      <c r="J17" s="316">
        <f t="shared" ca="1" si="1"/>
        <v>24.173619852755124</v>
      </c>
      <c r="K17" s="314"/>
      <c r="L17" s="316">
        <f>((D17*DATA!$D$23)/1000000)+((E17*DATA!$D$24)/1000000)</f>
        <v>28.778423999999998</v>
      </c>
      <c r="M17" s="316">
        <f t="shared" si="2"/>
        <v>28.778423999999998</v>
      </c>
      <c r="N17" s="316">
        <f t="shared" ca="1" si="6"/>
        <v>4.6048041472448737</v>
      </c>
      <c r="O17" s="315">
        <f>1/(1+'[93]Asumsi I'!$C$3)^(KKF!A17)</f>
        <v>0.32197323659069599</v>
      </c>
      <c r="P17" s="316">
        <f t="shared" ca="1" si="7"/>
        <v>1.4826236951546918</v>
      </c>
      <c r="Q17" s="316">
        <f t="shared" ca="1" si="9"/>
        <v>-39.341353608714329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19920</v>
      </c>
      <c r="D18" s="316">
        <f t="shared" si="5"/>
        <v>3320</v>
      </c>
      <c r="E18" s="316">
        <f t="shared" si="0"/>
        <v>16600</v>
      </c>
      <c r="F18" s="314"/>
      <c r="G18" s="318">
        <f ca="1">DATA!$D$11/1000000</f>
        <v>2.0919440931279998</v>
      </c>
      <c r="H18" s="318">
        <f>C18*DATA!$D$5/1000000</f>
        <v>21.595770914060758</v>
      </c>
      <c r="I18" s="318">
        <f>(C18*DATA!$D$5*DATA!$D$7)/1000000</f>
        <v>0.48590484556636704</v>
      </c>
      <c r="J18" s="316">
        <f t="shared" ca="1" si="1"/>
        <v>24.173619852755124</v>
      </c>
      <c r="K18" s="314"/>
      <c r="L18" s="316">
        <f>((D18*DATA!$D$23)/1000000)+((E18*DATA!$D$24)/1000000)</f>
        <v>28.778423999999998</v>
      </c>
      <c r="M18" s="316">
        <f t="shared" si="2"/>
        <v>28.778423999999998</v>
      </c>
      <c r="N18" s="316">
        <f t="shared" ca="1" si="6"/>
        <v>4.6048041472448737</v>
      </c>
      <c r="O18" s="315">
        <f>1/(1+'[93]Asumsi I'!$C$3)^(KKF!A18)</f>
        <v>0.28747610409883567</v>
      </c>
      <c r="P18" s="316">
        <f t="shared" ca="1" si="7"/>
        <v>1.3237711563881176</v>
      </c>
      <c r="Q18" s="316">
        <f t="shared" ca="1" si="9"/>
        <v>-38.017582452326209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19920</v>
      </c>
      <c r="D19" s="316">
        <f t="shared" si="5"/>
        <v>3320</v>
      </c>
      <c r="E19" s="316">
        <f t="shared" si="0"/>
        <v>16600</v>
      </c>
      <c r="F19" s="314"/>
      <c r="G19" s="318">
        <f ca="1">DATA!$D$11/1000000</f>
        <v>2.0919440931279998</v>
      </c>
      <c r="H19" s="318">
        <f>C19*DATA!$D$5/1000000</f>
        <v>21.595770914060758</v>
      </c>
      <c r="I19" s="318">
        <f>(C19*DATA!$D$5*DATA!$D$7)/1000000</f>
        <v>0.48590484556636704</v>
      </c>
      <c r="J19" s="316">
        <f t="shared" ca="1" si="1"/>
        <v>24.173619852755124</v>
      </c>
      <c r="K19" s="314"/>
      <c r="L19" s="316">
        <f>((D19*DATA!$D$23)/1000000)+((E19*DATA!$D$24)/1000000)</f>
        <v>28.778423999999998</v>
      </c>
      <c r="M19" s="316">
        <f t="shared" si="2"/>
        <v>28.778423999999998</v>
      </c>
      <c r="N19" s="316">
        <f t="shared" ca="1" si="6"/>
        <v>4.6048041472448737</v>
      </c>
      <c r="O19" s="315">
        <f>1/(1+'[93]Asumsi I'!$C$3)^(KKF!A19)</f>
        <v>0.25667509294538904</v>
      </c>
      <c r="P19" s="316">
        <f t="shared" ca="1" si="7"/>
        <v>1.181938532489391</v>
      </c>
      <c r="Q19" s="316">
        <f t="shared" ca="1" si="9"/>
        <v>-36.835643919836819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19920</v>
      </c>
      <c r="D20" s="316">
        <f t="shared" si="5"/>
        <v>3320</v>
      </c>
      <c r="E20" s="316">
        <f t="shared" si="0"/>
        <v>16600</v>
      </c>
      <c r="F20" s="314"/>
      <c r="G20" s="318">
        <f ca="1">DATA!$D$11/1000000</f>
        <v>2.0919440931279998</v>
      </c>
      <c r="H20" s="318">
        <f>C20*DATA!$D$5/1000000</f>
        <v>21.595770914060758</v>
      </c>
      <c r="I20" s="318">
        <f>(C20*DATA!$D$5*DATA!$D$7)/1000000</f>
        <v>0.48590484556636704</v>
      </c>
      <c r="J20" s="316">
        <f t="shared" ca="1" si="1"/>
        <v>24.173619852755124</v>
      </c>
      <c r="K20" s="314"/>
      <c r="L20" s="316">
        <f>((D20*DATA!$D$23)/1000000)+((E20*DATA!$D$24)/1000000)</f>
        <v>28.778423999999998</v>
      </c>
      <c r="M20" s="316">
        <f t="shared" si="2"/>
        <v>28.778423999999998</v>
      </c>
      <c r="N20" s="316">
        <f t="shared" ca="1" si="6"/>
        <v>4.6048041472448737</v>
      </c>
      <c r="O20" s="315">
        <f>1/(1+'[93]Asumsi I'!$C$3)^(KKF!A20)</f>
        <v>0.22917419012981158</v>
      </c>
      <c r="P20" s="316">
        <f t="shared" ca="1" si="7"/>
        <v>1.0553022611512415</v>
      </c>
      <c r="Q20" s="316">
        <f t="shared" ca="1" si="9"/>
        <v>-35.780341658685579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19920</v>
      </c>
      <c r="D21" s="316">
        <f t="shared" si="5"/>
        <v>3320</v>
      </c>
      <c r="E21" s="316">
        <f t="shared" si="0"/>
        <v>16600</v>
      </c>
      <c r="F21" s="314"/>
      <c r="G21" s="318">
        <f ca="1">DATA!$D$11/1000000</f>
        <v>2.0919440931279998</v>
      </c>
      <c r="H21" s="318">
        <f>C21*DATA!$D$5/1000000</f>
        <v>21.595770914060758</v>
      </c>
      <c r="I21" s="318">
        <f>(C21*DATA!$D$5*DATA!$D$7)/1000000</f>
        <v>0.48590484556636704</v>
      </c>
      <c r="J21" s="316">
        <f t="shared" ca="1" si="1"/>
        <v>24.173619852755124</v>
      </c>
      <c r="K21" s="314"/>
      <c r="L21" s="316">
        <f>((D21*DATA!$D$23)/1000000)+((E21*DATA!$D$24)/1000000)</f>
        <v>28.778423999999998</v>
      </c>
      <c r="M21" s="316">
        <f t="shared" si="2"/>
        <v>28.778423999999998</v>
      </c>
      <c r="N21" s="316">
        <f t="shared" ca="1" si="6"/>
        <v>4.6048041472448737</v>
      </c>
      <c r="O21" s="315">
        <f>1/(1+'[93]Asumsi I'!$C$3)^(KKF!A21)</f>
        <v>0.20461981261590317</v>
      </c>
      <c r="P21" s="316">
        <f t="shared" ca="1" si="7"/>
        <v>0.94223416174217989</v>
      </c>
      <c r="Q21" s="316">
        <f t="shared" ca="1" si="9"/>
        <v>-34.838107496943401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19920</v>
      </c>
      <c r="D22" s="316">
        <f t="shared" si="5"/>
        <v>3320</v>
      </c>
      <c r="E22" s="316">
        <f t="shared" si="0"/>
        <v>16600</v>
      </c>
      <c r="F22" s="314"/>
      <c r="G22" s="318">
        <f ca="1">DATA!$D$11/1000000</f>
        <v>2.0919440931279998</v>
      </c>
      <c r="H22" s="318">
        <f>C22*DATA!$D$5/1000000</f>
        <v>21.595770914060758</v>
      </c>
      <c r="I22" s="318">
        <f>(C22*DATA!$D$5*DATA!$D$7)/1000000</f>
        <v>0.48590484556636704</v>
      </c>
      <c r="J22" s="316">
        <f t="shared" ca="1" si="1"/>
        <v>24.173619852755124</v>
      </c>
      <c r="K22" s="314"/>
      <c r="L22" s="316">
        <f>((D22*DATA!$D$23)/1000000)+((E22*DATA!$D$24)/1000000)</f>
        <v>28.778423999999998</v>
      </c>
      <c r="M22" s="316">
        <f t="shared" si="2"/>
        <v>28.778423999999998</v>
      </c>
      <c r="N22" s="316">
        <f t="shared" ca="1" si="6"/>
        <v>4.6048041472448737</v>
      </c>
      <c r="O22" s="315">
        <f>1/(1+'[93]Asumsi I'!$C$3)^(KKF!A22)</f>
        <v>0.18269626126419927</v>
      </c>
      <c r="P22" s="316">
        <f t="shared" ca="1" si="7"/>
        <v>0.84128050155551781</v>
      </c>
      <c r="Q22" s="316">
        <f t="shared" ca="1" si="9"/>
        <v>-33.996826995387885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19920</v>
      </c>
      <c r="D23" s="316">
        <f t="shared" si="5"/>
        <v>3320</v>
      </c>
      <c r="E23" s="316">
        <f t="shared" si="0"/>
        <v>16600</v>
      </c>
      <c r="F23" s="314"/>
      <c r="G23" s="318">
        <f ca="1">DATA!$D$11/1000000</f>
        <v>2.0919440931279998</v>
      </c>
      <c r="H23" s="318">
        <f>C23*DATA!$D$5/1000000</f>
        <v>21.595770914060758</v>
      </c>
      <c r="I23" s="318">
        <f>(C23*DATA!$D$5*DATA!$D$7)/1000000</f>
        <v>0.48590484556636704</v>
      </c>
      <c r="J23" s="316">
        <f t="shared" ca="1" si="1"/>
        <v>24.173619852755124</v>
      </c>
      <c r="K23" s="314"/>
      <c r="L23" s="316">
        <f>((D23*DATA!$D$23)/1000000)+((E23*DATA!$D$24)/1000000)</f>
        <v>28.778423999999998</v>
      </c>
      <c r="M23" s="316">
        <f t="shared" si="2"/>
        <v>28.778423999999998</v>
      </c>
      <c r="N23" s="316">
        <f t="shared" ca="1" si="6"/>
        <v>4.6048041472448737</v>
      </c>
      <c r="O23" s="315">
        <f>1/(1+'[93]Asumsi I'!$C$3)^(KKF!A23)</f>
        <v>0.16312166184303503</v>
      </c>
      <c r="P23" s="316">
        <f t="shared" ca="1" si="7"/>
        <v>0.75114330496028359</v>
      </c>
      <c r="Q23" s="316">
        <f t="shared" ca="1" si="9"/>
        <v>-33.245683690427597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19920</v>
      </c>
      <c r="D24" s="316">
        <f t="shared" si="5"/>
        <v>3320</v>
      </c>
      <c r="E24" s="316">
        <f t="shared" si="0"/>
        <v>16600</v>
      </c>
      <c r="F24" s="314"/>
      <c r="G24" s="318">
        <f ca="1">DATA!$D$11/1000000</f>
        <v>2.0919440931279998</v>
      </c>
      <c r="H24" s="318">
        <f>C24*DATA!$D$5/1000000</f>
        <v>21.595770914060758</v>
      </c>
      <c r="I24" s="318">
        <f>(C24*DATA!$D$5*DATA!$D$7)/1000000</f>
        <v>0.48590484556636704</v>
      </c>
      <c r="J24" s="316">
        <f t="shared" ca="1" si="1"/>
        <v>24.173619852755124</v>
      </c>
      <c r="K24" s="314"/>
      <c r="L24" s="316">
        <f>((D24*DATA!$D$23)/1000000)+((E24*DATA!$D$24)/1000000)</f>
        <v>28.778423999999998</v>
      </c>
      <c r="M24" s="316">
        <f t="shared" si="2"/>
        <v>28.778423999999998</v>
      </c>
      <c r="N24" s="316">
        <f t="shared" ca="1" si="6"/>
        <v>4.6048041472448737</v>
      </c>
      <c r="O24" s="315">
        <f>1/(1+'[93]Asumsi I'!$C$3)^(KKF!A24)</f>
        <v>0.14564434093128129</v>
      </c>
      <c r="P24" s="316">
        <f t="shared" ca="1" si="7"/>
        <v>0.67066366514311038</v>
      </c>
      <c r="Q24" s="316">
        <f t="shared" ca="1" si="9"/>
        <v>-32.575020025284488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19920</v>
      </c>
      <c r="D25" s="316">
        <f t="shared" si="5"/>
        <v>3320</v>
      </c>
      <c r="E25" s="316">
        <f t="shared" si="0"/>
        <v>16600</v>
      </c>
      <c r="F25" s="314"/>
      <c r="G25" s="318">
        <f ca="1">DATA!$D$11/1000000</f>
        <v>2.0919440931279998</v>
      </c>
      <c r="H25" s="318">
        <f>C25*DATA!$D$5/1000000</f>
        <v>21.595770914060758</v>
      </c>
      <c r="I25" s="318">
        <f>(C25*DATA!$D$5*DATA!$D$7)/1000000</f>
        <v>0.48590484556636704</v>
      </c>
      <c r="J25" s="316">
        <f t="shared" ca="1" si="1"/>
        <v>24.173619852755124</v>
      </c>
      <c r="K25" s="314"/>
      <c r="L25" s="316">
        <f>((D25*DATA!$D$23)/1000000)+((E25*DATA!$D$24)/1000000)</f>
        <v>28.778423999999998</v>
      </c>
      <c r="M25" s="316">
        <f t="shared" si="2"/>
        <v>28.778423999999998</v>
      </c>
      <c r="N25" s="316">
        <f t="shared" ca="1" si="6"/>
        <v>4.6048041472448737</v>
      </c>
      <c r="O25" s="315">
        <f>1/(1+'[93]Asumsi I'!$C$3)^(KKF!A25)</f>
        <v>0.13003959011721541</v>
      </c>
      <c r="P25" s="316">
        <f t="shared" ca="1" si="7"/>
        <v>0.59880684387777705</v>
      </c>
      <c r="Q25" s="316">
        <f t="shared" ca="1" si="9"/>
        <v>-31.97621318140671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19920</v>
      </c>
      <c r="D26" s="316">
        <f t="shared" si="5"/>
        <v>3320</v>
      </c>
      <c r="E26" s="316">
        <f t="shared" si="0"/>
        <v>16600</v>
      </c>
      <c r="F26" s="314"/>
      <c r="G26" s="318">
        <f ca="1">DATA!$D$11/1000000</f>
        <v>2.0919440931279998</v>
      </c>
      <c r="H26" s="318">
        <f>C26*DATA!$D$5/1000000</f>
        <v>21.595770914060758</v>
      </c>
      <c r="I26" s="318">
        <f>(C26*DATA!$D$5*DATA!$D$7)/1000000</f>
        <v>0.48590484556636704</v>
      </c>
      <c r="J26" s="316">
        <f t="shared" ca="1" si="1"/>
        <v>24.173619852755124</v>
      </c>
      <c r="K26" s="314"/>
      <c r="L26" s="316">
        <f>((D26*DATA!$D$23)/1000000)+((E26*DATA!$D$24)/1000000)</f>
        <v>28.778423999999998</v>
      </c>
      <c r="M26" s="316">
        <f t="shared" si="2"/>
        <v>28.778423999999998</v>
      </c>
      <c r="N26" s="316">
        <f t="shared" ca="1" si="6"/>
        <v>4.6048041472448737</v>
      </c>
      <c r="O26" s="315">
        <f>1/(1+'[93]Asumsi I'!$C$3)^(KKF!A26)</f>
        <v>0.1161067768903709</v>
      </c>
      <c r="P26" s="316">
        <f t="shared" ca="1" si="7"/>
        <v>0.53464896774801518</v>
      </c>
      <c r="Q26" s="316">
        <f t="shared" ca="1" si="9"/>
        <v>-31.441564213658694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19920</v>
      </c>
      <c r="D27" s="316">
        <f t="shared" si="5"/>
        <v>3320</v>
      </c>
      <c r="E27" s="316">
        <f t="shared" si="0"/>
        <v>16600</v>
      </c>
      <c r="F27" s="314"/>
      <c r="G27" s="318">
        <f ca="1">DATA!$D$11/1000000</f>
        <v>2.0919440931279998</v>
      </c>
      <c r="H27" s="318">
        <f>C27*DATA!$D$5/1000000</f>
        <v>21.595770914060758</v>
      </c>
      <c r="I27" s="318">
        <f>(C27*DATA!$D$5*DATA!$D$7)/1000000</f>
        <v>0.48590484556636704</v>
      </c>
      <c r="J27" s="316">
        <f t="shared" ca="1" si="1"/>
        <v>24.173619852755124</v>
      </c>
      <c r="K27" s="314"/>
      <c r="L27" s="316">
        <f>((D27*DATA!$D$23)/1000000)+((E27*DATA!$D$24)/1000000)</f>
        <v>28.778423999999998</v>
      </c>
      <c r="M27" s="316">
        <f t="shared" si="2"/>
        <v>28.778423999999998</v>
      </c>
      <c r="N27" s="316">
        <f t="shared" ca="1" si="6"/>
        <v>4.6048041472448737</v>
      </c>
      <c r="O27" s="315">
        <f>1/(1+'[93]Asumsi I'!$C$3)^(KKF!A27)</f>
        <v>0.1036667650806883</v>
      </c>
      <c r="P27" s="316">
        <f t="shared" ca="1" si="7"/>
        <v>0.47736514977501354</v>
      </c>
      <c r="Q27" s="316">
        <f t="shared" ca="1" si="9"/>
        <v>-30.964199063883679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19920</v>
      </c>
      <c r="D28" s="316">
        <f t="shared" si="5"/>
        <v>3320</v>
      </c>
      <c r="E28" s="316">
        <f t="shared" si="0"/>
        <v>16600</v>
      </c>
      <c r="F28" s="314"/>
      <c r="G28" s="318">
        <f ca="1">DATA!$D$11/1000000</f>
        <v>2.0919440931279998</v>
      </c>
      <c r="H28" s="318">
        <f>C28*DATA!$D$5/1000000</f>
        <v>21.595770914060758</v>
      </c>
      <c r="I28" s="318">
        <f>(C28*DATA!$D$5*DATA!$D$7)/1000000</f>
        <v>0.48590484556636704</v>
      </c>
      <c r="J28" s="316">
        <f t="shared" ca="1" si="1"/>
        <v>24.173619852755124</v>
      </c>
      <c r="K28" s="314"/>
      <c r="L28" s="316">
        <f>((D28*DATA!$D$23)/1000000)+((E28*DATA!$D$24)/1000000)</f>
        <v>28.778423999999998</v>
      </c>
      <c r="M28" s="316">
        <f t="shared" si="2"/>
        <v>28.778423999999998</v>
      </c>
      <c r="N28" s="316">
        <f t="shared" ca="1" si="6"/>
        <v>4.6048041472448737</v>
      </c>
      <c r="O28" s="315">
        <f>1/(1+'[93]Asumsi I'!$C$3)^(KKF!A28)</f>
        <v>9.2559611679185971E-2</v>
      </c>
      <c r="P28" s="316">
        <f t="shared" ca="1" si="7"/>
        <v>0.42621888372769062</v>
      </c>
      <c r="Q28" s="316">
        <f t="shared" ca="1" si="9"/>
        <v>-30.537980180155987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19920</v>
      </c>
      <c r="D29" s="316">
        <f t="shared" si="5"/>
        <v>3320</v>
      </c>
      <c r="E29" s="316">
        <f t="shared" si="0"/>
        <v>16600</v>
      </c>
      <c r="F29" s="314"/>
      <c r="G29" s="318">
        <f ca="1">DATA!$D$11/1000000</f>
        <v>2.0919440931279998</v>
      </c>
      <c r="H29" s="318">
        <f>C29*DATA!$D$5/1000000</f>
        <v>21.595770914060758</v>
      </c>
      <c r="I29" s="318">
        <f>(C29*DATA!$D$5*DATA!$D$7)/1000000</f>
        <v>0.48590484556636704</v>
      </c>
      <c r="J29" s="316">
        <f t="shared" ca="1" si="1"/>
        <v>24.173619852755124</v>
      </c>
      <c r="K29" s="314"/>
      <c r="L29" s="316">
        <f>((D29*DATA!$D$23)/1000000)+((E29*DATA!$D$24)/1000000)</f>
        <v>28.778423999999998</v>
      </c>
      <c r="M29" s="316">
        <f t="shared" si="2"/>
        <v>28.778423999999998</v>
      </c>
      <c r="N29" s="316">
        <f t="shared" ca="1" si="6"/>
        <v>4.6048041472448737</v>
      </c>
      <c r="O29" s="315">
        <f>1/(1+'[93]Asumsi I'!$C$3)^(KKF!A29)</f>
        <v>8.2642510427844609E-2</v>
      </c>
      <c r="P29" s="316">
        <f t="shared" ca="1" si="7"/>
        <v>0.3805525747568666</v>
      </c>
      <c r="Q29" s="316">
        <f t="shared" ca="1" si="9"/>
        <v>-30.157427605399121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19920</v>
      </c>
      <c r="D30" s="316">
        <f t="shared" si="5"/>
        <v>3320</v>
      </c>
      <c r="E30" s="316">
        <f t="shared" si="0"/>
        <v>16600</v>
      </c>
      <c r="F30" s="314"/>
      <c r="G30" s="318">
        <f ca="1">DATA!$D$11/1000000</f>
        <v>2.0919440931279998</v>
      </c>
      <c r="H30" s="318">
        <f>C30*DATA!$D$5/1000000</f>
        <v>21.595770914060758</v>
      </c>
      <c r="I30" s="318">
        <f>(C30*DATA!$D$5*DATA!$D$7)/1000000</f>
        <v>0.48590484556636704</v>
      </c>
      <c r="J30" s="316">
        <f t="shared" ca="1" si="1"/>
        <v>24.173619852755124</v>
      </c>
      <c r="K30" s="314"/>
      <c r="L30" s="316">
        <f>((D30*DATA!$D$23)/1000000)+((E30*DATA!$D$24)/1000000)</f>
        <v>28.778423999999998</v>
      </c>
      <c r="M30" s="316">
        <f t="shared" si="2"/>
        <v>28.778423999999998</v>
      </c>
      <c r="N30" s="316">
        <f t="shared" ca="1" si="6"/>
        <v>4.6048041472448737</v>
      </c>
      <c r="O30" s="315">
        <f>1/(1+'[93]Asumsi I'!$C$3)^(KKF!A30)</f>
        <v>7.3787955739146982E-2</v>
      </c>
      <c r="P30" s="316">
        <f t="shared" ca="1" si="7"/>
        <v>0.33977908460434519</v>
      </c>
      <c r="Q30" s="316">
        <f t="shared" ca="1" si="9"/>
        <v>-29.817648520794776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19920</v>
      </c>
      <c r="D31" s="316">
        <f t="shared" si="5"/>
        <v>3320</v>
      </c>
      <c r="E31" s="316">
        <f t="shared" si="0"/>
        <v>16600</v>
      </c>
      <c r="F31" s="314"/>
      <c r="G31" s="318">
        <f ca="1">DATA!$D$11/1000000</f>
        <v>2.0919440931279998</v>
      </c>
      <c r="H31" s="318">
        <f>C31*DATA!$D$5/1000000</f>
        <v>21.595770914060758</v>
      </c>
      <c r="I31" s="318">
        <f>(C31*DATA!$D$5*DATA!$D$7)/1000000</f>
        <v>0.48590484556636704</v>
      </c>
      <c r="J31" s="316">
        <f t="shared" ca="1" si="1"/>
        <v>24.173619852755124</v>
      </c>
      <c r="K31" s="314"/>
      <c r="L31" s="316">
        <f>((D31*DATA!$D$23)/1000000)+((E31*DATA!$D$24)/1000000)</f>
        <v>28.778423999999998</v>
      </c>
      <c r="M31" s="316">
        <f t="shared" si="2"/>
        <v>28.778423999999998</v>
      </c>
      <c r="N31" s="316">
        <f t="shared" ca="1" si="6"/>
        <v>4.6048041472448737</v>
      </c>
      <c r="O31" s="315">
        <f>1/(1+'[93]Asumsi I'!$C$3)^(KKF!A31)</f>
        <v>6.5882103338524081E-2</v>
      </c>
      <c r="P31" s="316">
        <f t="shared" ca="1" si="7"/>
        <v>0.30337418268245103</v>
      </c>
      <c r="Q31" s="316">
        <f ca="1">Q30+P31</f>
        <v>-29.514274338112326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19920</v>
      </c>
      <c r="D32" s="316">
        <f t="shared" si="5"/>
        <v>3320</v>
      </c>
      <c r="E32" s="316">
        <f t="shared" si="0"/>
        <v>16600</v>
      </c>
      <c r="F32" s="314"/>
      <c r="G32" s="318">
        <f ca="1">DATA!$D$11/1000000</f>
        <v>2.0919440931279998</v>
      </c>
      <c r="H32" s="318">
        <f>C32*DATA!$D$5/1000000</f>
        <v>21.595770914060758</v>
      </c>
      <c r="I32" s="318">
        <f>(C32*DATA!$D$5*DATA!$D$7)/1000000</f>
        <v>0.48590484556636704</v>
      </c>
      <c r="J32" s="316">
        <f t="shared" ca="1" si="1"/>
        <v>24.173619852755124</v>
      </c>
      <c r="K32" s="314"/>
      <c r="L32" s="316">
        <f>((D32*DATA!$D$23)/1000000)+((E32*DATA!$D$24)/1000000)</f>
        <v>28.778423999999998</v>
      </c>
      <c r="M32" s="316">
        <f t="shared" si="2"/>
        <v>28.778423999999998</v>
      </c>
      <c r="N32" s="316">
        <f t="shared" ca="1" si="6"/>
        <v>4.6048041472448737</v>
      </c>
      <c r="O32" s="315">
        <f>1/(1+'[93]Asumsi I'!$C$3)^(KKF!A32)</f>
        <v>5.8823306552253637E-2</v>
      </c>
      <c r="P32" s="316">
        <f t="shared" ca="1" si="7"/>
        <v>0.27086980596647409</v>
      </c>
      <c r="Q32" s="316">
        <f ca="1">Q31+P32</f>
        <v>-29.243404532145853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7" t="s">
        <v>1374</v>
      </c>
      <c r="G33" s="617"/>
      <c r="H33" s="617"/>
      <c r="I33" s="324"/>
      <c r="J33" s="325">
        <f ca="1">SUM(J7:J32)</f>
        <v>714.70992436167694</v>
      </c>
      <c r="K33" s="617" t="s">
        <v>1375</v>
      </c>
      <c r="L33" s="617"/>
      <c r="M33" s="325">
        <f>SUM(M7:M32)</f>
        <v>764.47050399999955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23.968321890266477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1.0696234625295917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-26.110182617987377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4.9297132832037294E-2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71"/>
  <sheetViews>
    <sheetView showGridLines="0" view="pageBreakPreview" zoomScale="70" zoomScaleNormal="85" zoomScaleSheetLayoutView="70" workbookViewId="0">
      <pane ySplit="13" topLeftCell="A71" activePane="bottomLeft" state="frozen"/>
      <selection activeCell="H1093" sqref="H1093"/>
      <selection pane="bottomLeft" activeCell="J85" sqref="J85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0" t="s">
        <v>1036</v>
      </c>
      <c r="P3" s="640"/>
      <c r="Q3" s="346"/>
      <c r="T3" s="344"/>
      <c r="U3" s="345" t="s">
        <v>1041</v>
      </c>
      <c r="V3" s="344"/>
    </row>
    <row r="4" spans="1:22" ht="15.75" customHeight="1">
      <c r="B4" s="641" t="s">
        <v>1023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4" t="str">
        <f>DATA!D14</f>
        <v>UD RESTU</v>
      </c>
      <c r="H6" s="624"/>
      <c r="I6" s="624"/>
      <c r="J6" s="624"/>
      <c r="K6" s="62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 ht="15.75" thickBot="1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hidden="1" thickBot="1">
      <c r="C10" s="339"/>
      <c r="D10" s="339"/>
      <c r="T10" s="344"/>
      <c r="U10" s="344"/>
      <c r="V10" s="344"/>
    </row>
    <row r="11" spans="1:22" ht="21" customHeight="1">
      <c r="B11" s="643" t="s">
        <v>0</v>
      </c>
      <c r="C11" s="645" t="s">
        <v>1</v>
      </c>
      <c r="D11" s="634" t="s">
        <v>42</v>
      </c>
      <c r="E11" s="634" t="s">
        <v>43</v>
      </c>
      <c r="F11" s="634" t="s">
        <v>2</v>
      </c>
      <c r="G11" s="648" t="s">
        <v>41</v>
      </c>
      <c r="H11" s="634" t="s">
        <v>3</v>
      </c>
      <c r="I11" s="634"/>
      <c r="J11" s="634"/>
      <c r="K11" s="63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4"/>
      <c r="C12" s="646"/>
      <c r="D12" s="638"/>
      <c r="E12" s="638"/>
      <c r="F12" s="638"/>
      <c r="G12" s="649"/>
      <c r="H12" s="636" t="s">
        <v>46</v>
      </c>
      <c r="I12" s="636" t="s">
        <v>5</v>
      </c>
      <c r="J12" s="638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4"/>
        <v>0</v>
      </c>
      <c r="I17" s="361">
        <f t="shared" ca="1" si="5"/>
        <v>5800000</v>
      </c>
      <c r="J17" s="361">
        <f t="shared" ca="1" si="6"/>
        <v>0</v>
      </c>
      <c r="K17" s="362">
        <f t="shared" ca="1" si="7"/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101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4</v>
      </c>
      <c r="G18" s="360">
        <f ca="1">IF(ISERROR(OFFSET('HARGA SATUAN'!$I$6,MATCH(RAB!C18,'HARGA SATUAN'!$C$7:$C$1492,0),0)),0,OFFSET('HARGA SATUAN'!$I$6,MATCH(RAB!C18,'HARGA SATUAN'!$C$7:$C$1492,0),0))</f>
        <v>3382600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13530400</v>
      </c>
      <c r="J18" s="361">
        <f t="shared" ref="J18" ca="1" si="10">IF(D18="JASA",G18*F18,0)</f>
        <v>0</v>
      </c>
      <c r="K18" s="362">
        <f t="shared" ref="K18" ca="1" si="11">SUM(H18:J18)</f>
        <v>13530400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f>F17+F18</f>
        <v>5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ref="H19:H22" ca="1" si="12">IF(OR(D19="MDU",D19="MDU-KD"),(IF($O$3="RAB NON MDU","PLN KD",G19*F19)),0)</f>
        <v>0</v>
      </c>
      <c r="I19" s="361">
        <f t="shared" ref="I19:I22" ca="1" si="13">IF(D19="HDW",G19*F19,0)</f>
        <v>0</v>
      </c>
      <c r="J19" s="361">
        <f t="shared" ref="J19:J22" ca="1" si="14">IF(D19="JASA",G19*F19,0)</f>
        <v>50333.333333333343</v>
      </c>
      <c r="K19" s="362">
        <f t="shared" ref="K19:K22" ca="1" si="15">SUM(H19:J19)</f>
        <v>50333.333333333343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4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8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12"/>
        <v>0</v>
      </c>
      <c r="I20" s="361">
        <f t="shared" ca="1" si="13"/>
        <v>200000</v>
      </c>
      <c r="J20" s="361">
        <f t="shared" ca="1" si="14"/>
        <v>0</v>
      </c>
      <c r="K20" s="362">
        <f t="shared" ca="1" si="15"/>
        <v>200000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/>
      <c r="C21" s="109"/>
      <c r="D21" s="358"/>
      <c r="E21" s="359"/>
      <c r="F21" s="368"/>
      <c r="G21" s="360"/>
      <c r="H21" s="361"/>
      <c r="I21" s="361"/>
      <c r="J21" s="361"/>
      <c r="K21" s="362"/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66" t="s">
        <v>1607</v>
      </c>
      <c r="C22" s="367" t="s">
        <v>1625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65" customFormat="1">
      <c r="A23" s="336"/>
      <c r="B23" s="498"/>
      <c r="C23" s="499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1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" ca="1" si="16">IF(OR(D23="MDU",D23="MDU-KD"),(IF($O$3="RAB NON MDU","PLN KD",G23*F23)),0)</f>
        <v>0</v>
      </c>
      <c r="I23" s="361">
        <f t="shared" ref="I23" ca="1" si="17">IF(D23="HDW",G23*F23,0)</f>
        <v>0</v>
      </c>
      <c r="J23" s="361">
        <f t="shared" ref="J23" ca="1" si="18">IF(D23="JASA",G23*F23,0)</f>
        <v>0</v>
      </c>
      <c r="K23" s="362">
        <f t="shared" ref="K23" ca="1" si="19">SUM(H23:J23)</f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08" t="s">
        <v>1035</v>
      </c>
      <c r="C24" s="509" t="s">
        <v>1615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01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ref="H24" ca="1" si="20">IF(OR(D24="MDU",D24="MDU-KD"),(IF($O$3="RAB NON MDU","PLN KD",G24*F24)),0)</f>
        <v>0</v>
      </c>
      <c r="I24" s="361">
        <f t="shared" ref="I24" ca="1" si="21">IF(D24="HDW",G24*F24,0)</f>
        <v>0</v>
      </c>
      <c r="J24" s="361">
        <f t="shared" ref="J24" ca="1" si="22">IF(D24="JASA",G24*F24,0)</f>
        <v>0</v>
      </c>
      <c r="K24" s="362">
        <f t="shared" ref="K24" ca="1" si="23">SUM(H24:J24)</f>
        <v>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08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F24*1</f>
        <v>1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ref="H25:H29" ca="1" si="24">IF(OR(D25="MDU",D25="MDU-KD"),(IF($O$3="RAB NON MDU","PLN KD",G25*F25)),0)</f>
        <v>176900</v>
      </c>
      <c r="I25" s="361">
        <f t="shared" ref="I25:I29" ca="1" si="25">IF(D25="HDW",G25*F25,0)</f>
        <v>0</v>
      </c>
      <c r="J25" s="361">
        <f t="shared" ref="J25:J29" ca="1" si="26">IF(D25="JASA",G25*F25,0)</f>
        <v>0</v>
      </c>
      <c r="K25" s="362">
        <f t="shared" ref="K25:K29" ca="1" si="27">SUM(H25:J25)</f>
        <v>176900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08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F24*2</f>
        <v>2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24"/>
        <v>353800</v>
      </c>
      <c r="I26" s="361">
        <f t="shared" ca="1" si="25"/>
        <v>0</v>
      </c>
      <c r="J26" s="361">
        <f t="shared" ca="1" si="26"/>
        <v>0</v>
      </c>
      <c r="K26" s="362">
        <f t="shared" ca="1" si="27"/>
        <v>353800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08">
        <v>3</v>
      </c>
      <c r="C27" s="509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F24*3</f>
        <v>3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24"/>
        <v>0</v>
      </c>
      <c r="I27" s="361">
        <f t="shared" ca="1" si="25"/>
        <v>79500</v>
      </c>
      <c r="J27" s="361">
        <f t="shared" ca="1" si="26"/>
        <v>0</v>
      </c>
      <c r="K27" s="362">
        <f t="shared" ca="1" si="27"/>
        <v>79500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08">
        <v>4</v>
      </c>
      <c r="C28" s="509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F24*2</f>
        <v>2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24"/>
        <v>0</v>
      </c>
      <c r="I28" s="361">
        <f t="shared" ca="1" si="25"/>
        <v>15876</v>
      </c>
      <c r="J28" s="361">
        <f t="shared" ca="1" si="26"/>
        <v>0</v>
      </c>
      <c r="K28" s="362">
        <f t="shared" ca="1" si="27"/>
        <v>15876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08">
        <v>5</v>
      </c>
      <c r="C29" s="509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F24*1</f>
        <v>1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24"/>
        <v>0</v>
      </c>
      <c r="I29" s="361">
        <f t="shared" ca="1" si="25"/>
        <v>33600</v>
      </c>
      <c r="J29" s="361">
        <f t="shared" ca="1" si="26"/>
        <v>0</v>
      </c>
      <c r="K29" s="362">
        <f t="shared" ca="1" si="27"/>
        <v>33600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08">
        <v>6</v>
      </c>
      <c r="C30" s="509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F24*2</f>
        <v>2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ref="H30:H39" ca="1" si="28">IF(OR(D30="MDU",D30="MDU-KD"),(IF($O$3="RAB NON MDU","PLN KD",G30*F30)),0)</f>
        <v>0</v>
      </c>
      <c r="I30" s="361">
        <f t="shared" ref="I30:I39" ca="1" si="29">IF(D30="HDW",G30*F30,0)</f>
        <v>90000</v>
      </c>
      <c r="J30" s="361">
        <f t="shared" ref="J30:J39" ca="1" si="30">IF(D30="JASA",G30*F30,0)</f>
        <v>0</v>
      </c>
      <c r="K30" s="362">
        <f t="shared" ref="K30:K39" ca="1" si="31">SUM(H30:J30)</f>
        <v>90000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08">
        <v>7</v>
      </c>
      <c r="C31" s="509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F24*1</f>
        <v>1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28"/>
        <v>0</v>
      </c>
      <c r="I31" s="361">
        <f t="shared" ca="1" si="29"/>
        <v>95000</v>
      </c>
      <c r="J31" s="361">
        <f t="shared" ca="1" si="30"/>
        <v>0</v>
      </c>
      <c r="K31" s="362">
        <f t="shared" ca="1" si="31"/>
        <v>95000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08">
        <v>8</v>
      </c>
      <c r="C32" s="509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F24*1</f>
        <v>1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28"/>
        <v>0</v>
      </c>
      <c r="I32" s="361">
        <f t="shared" ca="1" si="29"/>
        <v>380500</v>
      </c>
      <c r="J32" s="361">
        <f t="shared" ca="1" si="30"/>
        <v>0</v>
      </c>
      <c r="K32" s="362">
        <f t="shared" ca="1" si="31"/>
        <v>380500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08">
        <v>9</v>
      </c>
      <c r="C33" s="509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F24*4</f>
        <v>4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28"/>
        <v>0</v>
      </c>
      <c r="I33" s="361">
        <f t="shared" ca="1" si="29"/>
        <v>45600</v>
      </c>
      <c r="J33" s="361">
        <f t="shared" ca="1" si="30"/>
        <v>0</v>
      </c>
      <c r="K33" s="362">
        <f t="shared" ca="1" si="31"/>
        <v>45600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08">
        <v>10</v>
      </c>
      <c r="C34" s="509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F24*1</f>
        <v>1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28"/>
        <v>0</v>
      </c>
      <c r="I34" s="361">
        <f t="shared" ca="1" si="29"/>
        <v>57690</v>
      </c>
      <c r="J34" s="361">
        <f t="shared" ca="1" si="30"/>
        <v>0</v>
      </c>
      <c r="K34" s="362">
        <f t="shared" ca="1" si="31"/>
        <v>57690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08">
        <v>11</v>
      </c>
      <c r="C35" s="509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F24*1</f>
        <v>1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28"/>
        <v>0</v>
      </c>
      <c r="I35" s="361">
        <f t="shared" ca="1" si="29"/>
        <v>28000</v>
      </c>
      <c r="J35" s="361">
        <f t="shared" ca="1" si="30"/>
        <v>0</v>
      </c>
      <c r="K35" s="362">
        <f t="shared" ca="1" si="31"/>
        <v>28000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08">
        <v>12</v>
      </c>
      <c r="C36" s="509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501">
        <f>6.2*F24</f>
        <v>6.2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ca="1" si="28"/>
        <v>0</v>
      </c>
      <c r="I36" s="361">
        <f t="shared" ca="1" si="29"/>
        <v>53010</v>
      </c>
      <c r="J36" s="361">
        <f t="shared" ca="1" si="30"/>
        <v>0</v>
      </c>
      <c r="K36" s="362">
        <f t="shared" ca="1" si="31"/>
        <v>53010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08">
        <v>13</v>
      </c>
      <c r="C37" s="509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F24*5</f>
        <v>5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28"/>
        <v>0</v>
      </c>
      <c r="I37" s="361">
        <f t="shared" ca="1" si="29"/>
        <v>12500</v>
      </c>
      <c r="J37" s="361">
        <f t="shared" ca="1" si="30"/>
        <v>0</v>
      </c>
      <c r="K37" s="362">
        <f t="shared" ca="1" si="31"/>
        <v>12500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08">
        <v>14</v>
      </c>
      <c r="C38" s="509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501">
        <f>F24*1</f>
        <v>1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28"/>
        <v>0</v>
      </c>
      <c r="I38" s="361">
        <f t="shared" ca="1" si="29"/>
        <v>0</v>
      </c>
      <c r="J38" s="361">
        <f t="shared" ca="1" si="30"/>
        <v>111000</v>
      </c>
      <c r="K38" s="362">
        <f t="shared" ca="1" si="31"/>
        <v>111000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498"/>
      <c r="C39" s="499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501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28"/>
        <v>0</v>
      </c>
      <c r="I39" s="361">
        <f t="shared" ca="1" si="29"/>
        <v>0</v>
      </c>
      <c r="J39" s="361">
        <f t="shared" ca="1" si="30"/>
        <v>0</v>
      </c>
      <c r="K39" s="362">
        <f t="shared" ca="1" si="31"/>
        <v>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498"/>
      <c r="C40" s="522" t="s">
        <v>1619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1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66" ca="1" si="32">IF(OR(D40="MDU",D40="MDU-KD"),(IF($O$3="RAB NON MDU","PLN KD",G40*F40)),0)</f>
        <v>0</v>
      </c>
      <c r="I40" s="361">
        <f t="shared" ref="I40:I66" ca="1" si="33">IF(D40="HDW",G40*F40,0)</f>
        <v>0</v>
      </c>
      <c r="J40" s="361">
        <f t="shared" ref="J40:J66" ca="1" si="34">IF(D40="JASA",G40*F40,0)</f>
        <v>0</v>
      </c>
      <c r="K40" s="362">
        <f t="shared" ref="K40:K66" ca="1" si="35">SUM(H40:J40)</f>
        <v>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498"/>
      <c r="C41" s="499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501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32"/>
        <v>0</v>
      </c>
      <c r="I41" s="361">
        <f t="shared" ca="1" si="33"/>
        <v>0</v>
      </c>
      <c r="J41" s="361">
        <f t="shared" ca="1" si="34"/>
        <v>0</v>
      </c>
      <c r="K41" s="362">
        <f t="shared" ca="1" si="35"/>
        <v>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2" t="s">
        <v>1035</v>
      </c>
      <c r="C42" s="513" t="s">
        <v>1626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v>1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32"/>
        <v>0</v>
      </c>
      <c r="I42" s="361">
        <f t="shared" ca="1" si="33"/>
        <v>0</v>
      </c>
      <c r="J42" s="361">
        <f t="shared" ca="1" si="34"/>
        <v>0</v>
      </c>
      <c r="K42" s="362">
        <f t="shared" ca="1" si="35"/>
        <v>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12">
        <v>1</v>
      </c>
      <c r="C43" s="513" t="s">
        <v>229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F42*1</f>
        <v>1</v>
      </c>
      <c r="G43" s="360">
        <f ca="1">IF(ISERROR(OFFSET('HARGA SATUAN'!$I$6,MATCH(RAB!C43,'HARGA SATUAN'!$C$7:$C$1492,0),0)),0,OFFSET('HARGA SATUAN'!$I$6,MATCH(RAB!C43,'HARGA SATUAN'!$C$7:$C$1492,0),0))</f>
        <v>4212</v>
      </c>
      <c r="H43" s="361">
        <f t="shared" ca="1" si="32"/>
        <v>0</v>
      </c>
      <c r="I43" s="361">
        <f t="shared" ca="1" si="33"/>
        <v>4212</v>
      </c>
      <c r="J43" s="361">
        <f t="shared" ca="1" si="34"/>
        <v>0</v>
      </c>
      <c r="K43" s="362">
        <f t="shared" ca="1" si="35"/>
        <v>4212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2">
        <v>2</v>
      </c>
      <c r="C44" s="513" t="s">
        <v>266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1">
        <f>F42*1</f>
        <v>1</v>
      </c>
      <c r="G44" s="360">
        <f ca="1">IF(ISERROR(OFFSET('HARGA SATUAN'!$I$6,MATCH(RAB!C44,'HARGA SATUAN'!$C$7:$C$1492,0),0)),0,OFFSET('HARGA SATUAN'!$I$6,MATCH(RAB!C44,'HARGA SATUAN'!$C$7:$C$1492,0),0))</f>
        <v>23310</v>
      </c>
      <c r="H44" s="361">
        <f t="shared" ca="1" si="32"/>
        <v>0</v>
      </c>
      <c r="I44" s="361">
        <f t="shared" ca="1" si="33"/>
        <v>23310</v>
      </c>
      <c r="J44" s="361">
        <f t="shared" ca="1" si="34"/>
        <v>0</v>
      </c>
      <c r="K44" s="362">
        <f t="shared" ca="1" si="35"/>
        <v>23310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2">
        <v>3</v>
      </c>
      <c r="C45" s="513" t="s">
        <v>35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1">
        <f>F42*1</f>
        <v>1</v>
      </c>
      <c r="G45" s="360">
        <f ca="1">IF(ISERROR(OFFSET('HARGA SATUAN'!$I$6,MATCH(RAB!C45,'HARGA SATUAN'!$C$7:$C$1492,0),0)),0,OFFSET('HARGA SATUAN'!$I$6,MATCH(RAB!C45,'HARGA SATUAN'!$C$7:$C$1492,0),0))</f>
        <v>2300</v>
      </c>
      <c r="H45" s="361">
        <f t="shared" ca="1" si="32"/>
        <v>0</v>
      </c>
      <c r="I45" s="361">
        <f t="shared" ca="1" si="33"/>
        <v>2300</v>
      </c>
      <c r="J45" s="361">
        <f t="shared" ca="1" si="34"/>
        <v>0</v>
      </c>
      <c r="K45" s="362">
        <f t="shared" ca="1" si="35"/>
        <v>2300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2">
        <v>4</v>
      </c>
      <c r="C46" s="513" t="s">
        <v>609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F42*1</f>
        <v>1</v>
      </c>
      <c r="G46" s="360">
        <f ca="1">IF(ISERROR(OFFSET('HARGA SATUAN'!$I$6,MATCH(RAB!C46,'HARGA SATUAN'!$C$7:$C$1492,0),0)),0,OFFSET('HARGA SATUAN'!$I$6,MATCH(RAB!C46,'HARGA SATUAN'!$C$7:$C$1492,0),0))</f>
        <v>71000</v>
      </c>
      <c r="H46" s="361">
        <f t="shared" ca="1" si="32"/>
        <v>0</v>
      </c>
      <c r="I46" s="361">
        <f t="shared" ca="1" si="33"/>
        <v>71000</v>
      </c>
      <c r="J46" s="361">
        <f t="shared" ca="1" si="34"/>
        <v>0</v>
      </c>
      <c r="K46" s="362">
        <f t="shared" ca="1" si="35"/>
        <v>71000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2">
        <v>5</v>
      </c>
      <c r="C47" s="513" t="s">
        <v>629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1">
        <f>F42*1</f>
        <v>1</v>
      </c>
      <c r="G47" s="360">
        <f ca="1">IF(ISERROR(OFFSET('HARGA SATUAN'!$I$6,MATCH(RAB!C47,'HARGA SATUAN'!$C$7:$C$1492,0),0)),0,OFFSET('HARGA SATUAN'!$I$6,MATCH(RAB!C47,'HARGA SATUAN'!$C$7:$C$1492,0),0))</f>
        <v>29400</v>
      </c>
      <c r="H47" s="361">
        <f t="shared" ca="1" si="32"/>
        <v>0</v>
      </c>
      <c r="I47" s="361">
        <f t="shared" ca="1" si="33"/>
        <v>0</v>
      </c>
      <c r="J47" s="361">
        <f t="shared" ca="1" si="34"/>
        <v>29400</v>
      </c>
      <c r="K47" s="362">
        <f t="shared" ca="1" si="35"/>
        <v>29400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2"/>
      <c r="C48" s="513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32"/>
        <v>0</v>
      </c>
      <c r="I48" s="361">
        <f t="shared" ca="1" si="33"/>
        <v>0</v>
      </c>
      <c r="J48" s="361">
        <f t="shared" ca="1" si="34"/>
        <v>0</v>
      </c>
      <c r="K48" s="362">
        <f t="shared" ca="1" si="35"/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2" t="s">
        <v>1035</v>
      </c>
      <c r="C49" s="513" t="s">
        <v>1627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v>4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32"/>
        <v>0</v>
      </c>
      <c r="I49" s="361">
        <f t="shared" ca="1" si="33"/>
        <v>0</v>
      </c>
      <c r="J49" s="361">
        <f t="shared" ca="1" si="34"/>
        <v>0</v>
      </c>
      <c r="K49" s="362">
        <f t="shared" ca="1" si="35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2">
        <v>1</v>
      </c>
      <c r="C50" s="513" t="s">
        <v>595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F49*1</f>
        <v>4</v>
      </c>
      <c r="G50" s="360">
        <f ca="1">IF(ISERROR(OFFSET('HARGA SATUAN'!$I$6,MATCH(RAB!C50,'HARGA SATUAN'!$C$7:$C$1492,0),0)),0,OFFSET('HARGA SATUAN'!$I$6,MATCH(RAB!C50,'HARGA SATUAN'!$C$7:$C$1492,0),0))</f>
        <v>78500</v>
      </c>
      <c r="H50" s="361">
        <f t="shared" ca="1" si="32"/>
        <v>0</v>
      </c>
      <c r="I50" s="361">
        <f t="shared" ca="1" si="33"/>
        <v>314000</v>
      </c>
      <c r="J50" s="361">
        <f t="shared" ca="1" si="34"/>
        <v>0</v>
      </c>
      <c r="K50" s="362">
        <f t="shared" ca="1" si="35"/>
        <v>314000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2">
        <v>2</v>
      </c>
      <c r="C51" s="513" t="s">
        <v>229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F49*1</f>
        <v>4</v>
      </c>
      <c r="G51" s="360">
        <f ca="1">IF(ISERROR(OFFSET('HARGA SATUAN'!$I$6,MATCH(RAB!C51,'HARGA SATUAN'!$C$7:$C$1492,0),0)),0,OFFSET('HARGA SATUAN'!$I$6,MATCH(RAB!C51,'HARGA SATUAN'!$C$7:$C$1492,0),0))</f>
        <v>4212</v>
      </c>
      <c r="H51" s="361">
        <f t="shared" ca="1" si="32"/>
        <v>0</v>
      </c>
      <c r="I51" s="361">
        <f t="shared" ca="1" si="33"/>
        <v>16848</v>
      </c>
      <c r="J51" s="361">
        <f t="shared" ca="1" si="34"/>
        <v>0</v>
      </c>
      <c r="K51" s="362">
        <f t="shared" ca="1" si="35"/>
        <v>16848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2">
        <v>3</v>
      </c>
      <c r="C52" s="513" t="s">
        <v>266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501">
        <f>F49*1</f>
        <v>4</v>
      </c>
      <c r="G52" s="360">
        <f ca="1">IF(ISERROR(OFFSET('HARGA SATUAN'!$I$6,MATCH(RAB!C52,'HARGA SATUAN'!$C$7:$C$1492,0),0)),0,OFFSET('HARGA SATUAN'!$I$6,MATCH(RAB!C52,'HARGA SATUAN'!$C$7:$C$1492,0),0))</f>
        <v>23310</v>
      </c>
      <c r="H52" s="361">
        <f t="shared" ca="1" si="32"/>
        <v>0</v>
      </c>
      <c r="I52" s="361">
        <f t="shared" ca="1" si="33"/>
        <v>93240</v>
      </c>
      <c r="J52" s="361">
        <f t="shared" ca="1" si="34"/>
        <v>0</v>
      </c>
      <c r="K52" s="362">
        <f t="shared" ca="1" si="35"/>
        <v>93240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2">
        <v>4</v>
      </c>
      <c r="C53" s="513" t="s">
        <v>35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F49*1</f>
        <v>4</v>
      </c>
      <c r="G53" s="360">
        <f ca="1">IF(ISERROR(OFFSET('HARGA SATUAN'!$I$6,MATCH(RAB!C53,'HARGA SATUAN'!$C$7:$C$1492,0),0)),0,OFFSET('HARGA SATUAN'!$I$6,MATCH(RAB!C53,'HARGA SATUAN'!$C$7:$C$1492,0),0))</f>
        <v>2300</v>
      </c>
      <c r="H53" s="361">
        <f t="shared" ca="1" si="32"/>
        <v>0</v>
      </c>
      <c r="I53" s="361">
        <f t="shared" ca="1" si="33"/>
        <v>9200</v>
      </c>
      <c r="J53" s="361">
        <f t="shared" ca="1" si="34"/>
        <v>0</v>
      </c>
      <c r="K53" s="362">
        <f t="shared" ca="1" si="35"/>
        <v>9200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2">
        <v>5</v>
      </c>
      <c r="C54" s="513" t="s">
        <v>630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f>F49*1</f>
        <v>4</v>
      </c>
      <c r="G54" s="360">
        <f ca="1">IF(ISERROR(OFFSET('HARGA SATUAN'!$I$6,MATCH(RAB!C54,'HARGA SATUAN'!$C$7:$C$1492,0),0)),0,OFFSET('HARGA SATUAN'!$I$6,MATCH(RAB!C54,'HARGA SATUAN'!$C$7:$C$1492,0),0))</f>
        <v>35700</v>
      </c>
      <c r="H54" s="361">
        <f t="shared" ca="1" si="32"/>
        <v>0</v>
      </c>
      <c r="I54" s="361">
        <f t="shared" ca="1" si="33"/>
        <v>0</v>
      </c>
      <c r="J54" s="361">
        <f t="shared" ca="1" si="34"/>
        <v>142800</v>
      </c>
      <c r="K54" s="362">
        <f t="shared" ca="1" si="35"/>
        <v>142800</v>
      </c>
      <c r="L54" s="342"/>
      <c r="M54" s="342"/>
      <c r="N54" s="369"/>
      <c r="O54" s="344"/>
      <c r="P54" s="397"/>
      <c r="Q54" s="344"/>
    </row>
    <row r="55" spans="1:17" s="365" customFormat="1" hidden="1">
      <c r="A55" s="336"/>
      <c r="B55" s="498"/>
      <c r="C55" s="49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2"/>
        <v>0</v>
      </c>
      <c r="I55" s="361">
        <f t="shared" ca="1" si="33"/>
        <v>0</v>
      </c>
      <c r="J55" s="361">
        <f t="shared" ca="1" si="34"/>
        <v>0</v>
      </c>
      <c r="K55" s="362">
        <f t="shared" ca="1" si="35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12" t="s">
        <v>1035</v>
      </c>
      <c r="C56" s="513" t="s">
        <v>1628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2"/>
        <v>0</v>
      </c>
      <c r="I56" s="361">
        <f t="shared" ca="1" si="33"/>
        <v>0</v>
      </c>
      <c r="J56" s="361">
        <f t="shared" ca="1" si="34"/>
        <v>0</v>
      </c>
      <c r="K56" s="362">
        <f t="shared" ca="1" si="35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2">
        <v>1</v>
      </c>
      <c r="C57" s="513" t="s">
        <v>598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1</v>
      </c>
      <c r="G57" s="360">
        <f ca="1">IF(ISERROR(OFFSET('HARGA SATUAN'!$I$6,MATCH(RAB!C57,'HARGA SATUAN'!$C$7:$C$1492,0),0)),0,OFFSET('HARGA SATUAN'!$I$6,MATCH(RAB!C57,'HARGA SATUAN'!$C$7:$C$1492,0),0))</f>
        <v>3965</v>
      </c>
      <c r="H57" s="361">
        <f t="shared" ca="1" si="32"/>
        <v>0</v>
      </c>
      <c r="I57" s="361">
        <f t="shared" ca="1" si="33"/>
        <v>3965</v>
      </c>
      <c r="J57" s="361">
        <f t="shared" ca="1" si="34"/>
        <v>0</v>
      </c>
      <c r="K57" s="362">
        <f t="shared" ca="1" si="35"/>
        <v>3965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2">
        <v>2</v>
      </c>
      <c r="C58" s="513" t="s">
        <v>474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F56*1</f>
        <v>1</v>
      </c>
      <c r="G58" s="360">
        <f ca="1">IF(ISERROR(OFFSET('HARGA SATUAN'!$I$6,MATCH(RAB!C58,'HARGA SATUAN'!$C$7:$C$1492,0),0)),0,OFFSET('HARGA SATUAN'!$I$6,MATCH(RAB!C58,'HARGA SATUAN'!$C$7:$C$1492,0),0))</f>
        <v>3711.24</v>
      </c>
      <c r="H58" s="361">
        <f t="shared" ca="1" si="32"/>
        <v>0</v>
      </c>
      <c r="I58" s="361">
        <f t="shared" ca="1" si="33"/>
        <v>3711.24</v>
      </c>
      <c r="J58" s="361">
        <f t="shared" ca="1" si="34"/>
        <v>0</v>
      </c>
      <c r="K58" s="362">
        <f t="shared" ca="1" si="35"/>
        <v>3711.24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12">
        <v>3</v>
      </c>
      <c r="C59" s="513" t="s">
        <v>266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Mtr</v>
      </c>
      <c r="F59" s="501">
        <f>F56*1</f>
        <v>1</v>
      </c>
      <c r="G59" s="360">
        <f ca="1">IF(ISERROR(OFFSET('HARGA SATUAN'!$I$6,MATCH(RAB!C59,'HARGA SATUAN'!$C$7:$C$1492,0),0)),0,OFFSET('HARGA SATUAN'!$I$6,MATCH(RAB!C59,'HARGA SATUAN'!$C$7:$C$1492,0),0))</f>
        <v>23310</v>
      </c>
      <c r="H59" s="361">
        <f t="shared" ca="1" si="32"/>
        <v>0</v>
      </c>
      <c r="I59" s="361">
        <f t="shared" ca="1" si="33"/>
        <v>23310</v>
      </c>
      <c r="J59" s="361">
        <f t="shared" ca="1" si="34"/>
        <v>0</v>
      </c>
      <c r="K59" s="362">
        <f t="shared" ca="1" si="35"/>
        <v>23310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12">
        <v>4</v>
      </c>
      <c r="C60" s="513" t="s">
        <v>35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F56*1</f>
        <v>1</v>
      </c>
      <c r="G60" s="360">
        <f ca="1">IF(ISERROR(OFFSET('HARGA SATUAN'!$I$6,MATCH(RAB!C60,'HARGA SATUAN'!$C$7:$C$1492,0),0)),0,OFFSET('HARGA SATUAN'!$I$6,MATCH(RAB!C60,'HARGA SATUAN'!$C$7:$C$1492,0),0))</f>
        <v>2300</v>
      </c>
      <c r="H60" s="361">
        <f t="shared" ca="1" si="32"/>
        <v>0</v>
      </c>
      <c r="I60" s="361">
        <f t="shared" ca="1" si="33"/>
        <v>2300</v>
      </c>
      <c r="J60" s="361">
        <f t="shared" ca="1" si="34"/>
        <v>0</v>
      </c>
      <c r="K60" s="362">
        <f t="shared" ca="1" si="35"/>
        <v>2300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2">
        <v>5</v>
      </c>
      <c r="C61" s="513" t="s">
        <v>632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1">
        <f>F56*1</f>
        <v>1</v>
      </c>
      <c r="G61" s="360">
        <f ca="1">IF(ISERROR(OFFSET('HARGA SATUAN'!$I$6,MATCH(RAB!C61,'HARGA SATUAN'!$C$7:$C$1492,0),0)),0,OFFSET('HARGA SATUAN'!$I$6,MATCH(RAB!C61,'HARGA SATUAN'!$C$7:$C$1492,0),0))</f>
        <v>22700</v>
      </c>
      <c r="H61" s="361">
        <f t="shared" ca="1" si="32"/>
        <v>0</v>
      </c>
      <c r="I61" s="361">
        <f t="shared" ca="1" si="33"/>
        <v>0</v>
      </c>
      <c r="J61" s="361">
        <f t="shared" ca="1" si="34"/>
        <v>22700</v>
      </c>
      <c r="K61" s="362">
        <f t="shared" ca="1" si="35"/>
        <v>22700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2"/>
      <c r="C62" s="513"/>
      <c r="D62" s="358"/>
      <c r="E62" s="359"/>
      <c r="F62" s="501"/>
      <c r="G62" s="360"/>
      <c r="H62" s="361"/>
      <c r="I62" s="361"/>
      <c r="J62" s="361"/>
      <c r="K62" s="362"/>
      <c r="L62" s="342"/>
      <c r="M62" s="342"/>
      <c r="N62" s="369"/>
      <c r="O62" s="344"/>
      <c r="P62" s="397"/>
      <c r="Q62" s="344"/>
    </row>
    <row r="63" spans="1:17" s="365" customFormat="1">
      <c r="A63" s="336"/>
      <c r="B63" s="498"/>
      <c r="C63" s="521" t="s">
        <v>1634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501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32"/>
        <v>0</v>
      </c>
      <c r="I63" s="361">
        <f t="shared" ca="1" si="33"/>
        <v>0</v>
      </c>
      <c r="J63" s="361">
        <f t="shared" ca="1" si="34"/>
        <v>0</v>
      </c>
      <c r="K63" s="362">
        <f t="shared" ca="1" si="35"/>
        <v>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498">
        <v>1</v>
      </c>
      <c r="C64" s="109" t="s">
        <v>1403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1">
        <f>180+(180*2%)</f>
        <v>183.6</v>
      </c>
      <c r="G64" s="360">
        <f ca="1">IF(ISERROR(OFFSET('HARGA SATUAN'!$I$6,MATCH(RAB!C64,'HARGA SATUAN'!$C$7:$C$1492,0),0)),0,OFFSET('HARGA SATUAN'!$I$6,MATCH(RAB!C64,'HARGA SATUAN'!$C$7:$C$1492,0),0))</f>
        <v>30400</v>
      </c>
      <c r="H64" s="361">
        <f t="shared" ca="1" si="32"/>
        <v>5581440</v>
      </c>
      <c r="I64" s="361">
        <f t="shared" ca="1" si="33"/>
        <v>0</v>
      </c>
      <c r="J64" s="361">
        <f t="shared" ca="1" si="34"/>
        <v>0</v>
      </c>
      <c r="K64" s="362">
        <f t="shared" ca="1" si="35"/>
        <v>5581440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498">
        <v>2</v>
      </c>
      <c r="C65" s="514" t="s">
        <v>1629</v>
      </c>
      <c r="D65" s="515" t="s">
        <v>47</v>
      </c>
      <c r="E65" s="516" t="s">
        <v>297</v>
      </c>
      <c r="F65" s="516">
        <f>F64/50</f>
        <v>3.6719999999999997</v>
      </c>
      <c r="G65" s="517">
        <v>85000</v>
      </c>
      <c r="H65" s="361">
        <f t="shared" si="32"/>
        <v>0</v>
      </c>
      <c r="I65" s="361">
        <f t="shared" si="33"/>
        <v>0</v>
      </c>
      <c r="J65" s="361">
        <f t="shared" si="34"/>
        <v>312120</v>
      </c>
      <c r="K65" s="362">
        <f t="shared" si="35"/>
        <v>312120</v>
      </c>
      <c r="L65" s="342"/>
      <c r="M65" s="342"/>
      <c r="N65" s="369"/>
      <c r="O65" s="344"/>
      <c r="P65" s="397"/>
      <c r="Q65" s="344"/>
    </row>
    <row r="66" spans="1:17" s="365" customFormat="1" hidden="1">
      <c r="A66" s="336"/>
      <c r="B66" s="498"/>
      <c r="C66" s="499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501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32"/>
        <v>0</v>
      </c>
      <c r="I66" s="361">
        <f t="shared" ca="1" si="33"/>
        <v>0</v>
      </c>
      <c r="J66" s="361">
        <f t="shared" ca="1" si="34"/>
        <v>0</v>
      </c>
      <c r="K66" s="362">
        <f t="shared" ca="1" si="35"/>
        <v>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498"/>
      <c r="C67" s="521" t="s">
        <v>1633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1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ref="H67:H89" ca="1" si="36">IF(OR(D67="MDU",D67="MDU-KD"),(IF($O$3="RAB NON MDU","PLN KD",G67*F67)),0)</f>
        <v>0</v>
      </c>
      <c r="I67" s="361">
        <f t="shared" ref="I67:I89" ca="1" si="37">IF(D67="HDW",G67*F67,0)</f>
        <v>0</v>
      </c>
      <c r="J67" s="361">
        <f t="shared" ref="J67:J89" ca="1" si="38">IF(D67="JASA",G67*F67,0)</f>
        <v>0</v>
      </c>
      <c r="K67" s="362">
        <f t="shared" ref="K67:K89" ca="1" si="39">SUM(H67:J67)</f>
        <v>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512" t="s">
        <v>1035</v>
      </c>
      <c r="C68" s="513" t="s">
        <v>1630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01">
        <v>1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6"/>
        <v>0</v>
      </c>
      <c r="I68" s="361">
        <f t="shared" ca="1" si="37"/>
        <v>0</v>
      </c>
      <c r="J68" s="361">
        <f t="shared" ca="1" si="38"/>
        <v>0</v>
      </c>
      <c r="K68" s="362">
        <f t="shared" ca="1" si="39"/>
        <v>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12">
        <v>1</v>
      </c>
      <c r="C69" s="513" t="s">
        <v>28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1">
        <f>F68*1</f>
        <v>1</v>
      </c>
      <c r="G69" s="360">
        <f ca="1">IF(ISERROR(OFFSET('HARGA SATUAN'!$I$6,MATCH(RAB!C69,'HARGA SATUAN'!$C$7:$C$1492,0),0)),0,OFFSET('HARGA SATUAN'!$I$6,MATCH(RAB!C69,'HARGA SATUAN'!$C$7:$C$1492,0),0))</f>
        <v>26500</v>
      </c>
      <c r="H69" s="361">
        <f t="shared" ca="1" si="36"/>
        <v>0</v>
      </c>
      <c r="I69" s="361">
        <f t="shared" ca="1" si="37"/>
        <v>26500</v>
      </c>
      <c r="J69" s="361">
        <f t="shared" ca="1" si="38"/>
        <v>0</v>
      </c>
      <c r="K69" s="362">
        <f t="shared" ca="1" si="39"/>
        <v>26500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12">
        <v>2</v>
      </c>
      <c r="C70" s="513" t="s">
        <v>203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1">
        <f>F68*1</f>
        <v>1</v>
      </c>
      <c r="G70" s="360">
        <f ca="1">IF(ISERROR(OFFSET('HARGA SATUAN'!$I$6,MATCH(RAB!C70,'HARGA SATUAN'!$C$7:$C$1492,0),0)),0,OFFSET('HARGA SATUAN'!$I$6,MATCH(RAB!C70,'HARGA SATUAN'!$C$7:$C$1492,0),0))</f>
        <v>12500</v>
      </c>
      <c r="H70" s="361">
        <f t="shared" ca="1" si="36"/>
        <v>0</v>
      </c>
      <c r="I70" s="361">
        <f t="shared" ca="1" si="37"/>
        <v>12500</v>
      </c>
      <c r="J70" s="361">
        <f t="shared" ca="1" si="38"/>
        <v>0</v>
      </c>
      <c r="K70" s="362">
        <f t="shared" ca="1" si="39"/>
        <v>12500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12">
        <v>3</v>
      </c>
      <c r="C71" s="513" t="s">
        <v>206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Mtr</v>
      </c>
      <c r="F71" s="501">
        <f>F68*12</f>
        <v>12</v>
      </c>
      <c r="G71" s="360">
        <f ca="1">IF(ISERROR(OFFSET('HARGA SATUAN'!$I$6,MATCH(RAB!C71,'HARGA SATUAN'!$C$7:$C$1492,0),0)),0,OFFSET('HARGA SATUAN'!$I$6,MATCH(RAB!C71,'HARGA SATUAN'!$C$7:$C$1492,0),0))</f>
        <v>39204</v>
      </c>
      <c r="H71" s="361">
        <f t="shared" ca="1" si="36"/>
        <v>0</v>
      </c>
      <c r="I71" s="361">
        <f t="shared" ca="1" si="37"/>
        <v>470448</v>
      </c>
      <c r="J71" s="361">
        <f t="shared" ca="1" si="38"/>
        <v>0</v>
      </c>
      <c r="K71" s="362">
        <f t="shared" ca="1" si="39"/>
        <v>470448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12">
        <v>4</v>
      </c>
      <c r="C72" s="513" t="s">
        <v>287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1">
        <f>F68*2</f>
        <v>2</v>
      </c>
      <c r="G72" s="360">
        <f ca="1">IF(ISERROR(OFFSET('HARGA SATUAN'!$I$6,MATCH(RAB!C72,'HARGA SATUAN'!$C$7:$C$1492,0),0)),0,OFFSET('HARGA SATUAN'!$I$6,MATCH(RAB!C72,'HARGA SATUAN'!$C$7:$C$1492,0),0))</f>
        <v>40000</v>
      </c>
      <c r="H72" s="361">
        <f t="shared" ca="1" si="36"/>
        <v>0</v>
      </c>
      <c r="I72" s="361">
        <f t="shared" ca="1" si="37"/>
        <v>80000</v>
      </c>
      <c r="J72" s="361">
        <f t="shared" ca="1" si="38"/>
        <v>0</v>
      </c>
      <c r="K72" s="362">
        <f t="shared" ca="1" si="39"/>
        <v>80000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512">
        <v>5</v>
      </c>
      <c r="C73" s="513" t="s">
        <v>26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1">
        <f>F68*1</f>
        <v>1</v>
      </c>
      <c r="G73" s="360">
        <f ca="1">IF(ISERROR(OFFSET('HARGA SATUAN'!$I$6,MATCH(RAB!C73,'HARGA SATUAN'!$C$7:$C$1492,0),0)),0,OFFSET('HARGA SATUAN'!$I$6,MATCH(RAB!C73,'HARGA SATUAN'!$C$7:$C$1492,0),0))</f>
        <v>2500</v>
      </c>
      <c r="H73" s="361">
        <f t="shared" ca="1" si="36"/>
        <v>0</v>
      </c>
      <c r="I73" s="361">
        <f t="shared" ca="1" si="37"/>
        <v>2500</v>
      </c>
      <c r="J73" s="361">
        <f t="shared" ca="1" si="38"/>
        <v>0</v>
      </c>
      <c r="K73" s="362">
        <f t="shared" ca="1" si="39"/>
        <v>2500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512">
        <v>6</v>
      </c>
      <c r="C74" s="513" t="s">
        <v>760</v>
      </c>
      <c r="D74" s="358" t="str">
        <f ca="1">IF(ISERROR(OFFSET('HARGA SATUAN'!$D$6,MATCH(RAB!C74,'HARGA SATUAN'!$C$7:$C$1492,0),0)),"",OFFSET('HARGA SATUAN'!$D$6,MATCH(RAB!C74,'HARGA SATUAN'!$C$7:$C$1492,0),0))</f>
        <v>JASA</v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1">
        <f>F68*1</f>
        <v>1</v>
      </c>
      <c r="G74" s="360">
        <f ca="1">IF(ISERROR(OFFSET('HARGA SATUAN'!$I$6,MATCH(RAB!C74,'HARGA SATUAN'!$C$7:$C$1492,0),0)),0,OFFSET('HARGA SATUAN'!$I$6,MATCH(RAB!C74,'HARGA SATUAN'!$C$7:$C$1492,0),0))</f>
        <v>36600</v>
      </c>
      <c r="H74" s="361">
        <f t="shared" ca="1" si="36"/>
        <v>0</v>
      </c>
      <c r="I74" s="361">
        <f t="shared" ca="1" si="37"/>
        <v>0</v>
      </c>
      <c r="J74" s="361">
        <f t="shared" ca="1" si="38"/>
        <v>36600</v>
      </c>
      <c r="K74" s="362">
        <f t="shared" ca="1" si="39"/>
        <v>36600</v>
      </c>
      <c r="L74" s="342"/>
      <c r="M74" s="342"/>
      <c r="N74" s="369"/>
      <c r="O74" s="344"/>
      <c r="P74" s="397"/>
      <c r="Q74" s="344"/>
    </row>
    <row r="75" spans="1:17" s="365" customFormat="1" hidden="1">
      <c r="A75" s="336"/>
      <c r="B75" s="498"/>
      <c r="C75" s="499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501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36"/>
        <v>0</v>
      </c>
      <c r="I75" s="361">
        <f t="shared" ca="1" si="37"/>
        <v>0</v>
      </c>
      <c r="J75" s="361">
        <f t="shared" ca="1" si="38"/>
        <v>0</v>
      </c>
      <c r="K75" s="362">
        <f t="shared" ca="1" si="39"/>
        <v>0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512" t="s">
        <v>1035</v>
      </c>
      <c r="C76" s="513" t="s">
        <v>1631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01">
        <v>1</v>
      </c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36"/>
        <v>0</v>
      </c>
      <c r="I76" s="361">
        <f t="shared" ca="1" si="37"/>
        <v>0</v>
      </c>
      <c r="J76" s="361">
        <f t="shared" ca="1" si="38"/>
        <v>0</v>
      </c>
      <c r="K76" s="362">
        <f t="shared" ca="1" si="39"/>
        <v>0</v>
      </c>
      <c r="L76" s="342"/>
      <c r="M76" s="342"/>
      <c r="N76" s="369"/>
      <c r="O76" s="344"/>
      <c r="P76" s="397"/>
      <c r="Q76" s="344"/>
    </row>
    <row r="77" spans="1:17" s="365" customFormat="1">
      <c r="A77" s="336"/>
      <c r="B77" s="518">
        <v>1</v>
      </c>
      <c r="C77" s="519" t="s">
        <v>597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1">
        <f>F76*1</f>
        <v>1</v>
      </c>
      <c r="G77" s="360">
        <f ca="1">IF(ISERROR(OFFSET('HARGA SATUAN'!$I$6,MATCH(RAB!C77,'HARGA SATUAN'!$C$7:$C$1492,0),0)),0,OFFSET('HARGA SATUAN'!$I$6,MATCH(RAB!C77,'HARGA SATUAN'!$C$7:$C$1492,0),0))</f>
        <v>120900</v>
      </c>
      <c r="H77" s="361">
        <f t="shared" ca="1" si="36"/>
        <v>0</v>
      </c>
      <c r="I77" s="361">
        <f t="shared" ca="1" si="37"/>
        <v>120900</v>
      </c>
      <c r="J77" s="361">
        <f t="shared" ca="1" si="38"/>
        <v>0</v>
      </c>
      <c r="K77" s="362">
        <f t="shared" ca="1" si="39"/>
        <v>120900</v>
      </c>
      <c r="L77" s="342"/>
      <c r="M77" s="342"/>
      <c r="N77" s="369"/>
      <c r="O77" s="344"/>
      <c r="P77" s="397"/>
      <c r="Q77" s="344"/>
    </row>
    <row r="78" spans="1:17" s="365" customFormat="1">
      <c r="A78" s="336"/>
      <c r="B78" s="503">
        <v>2</v>
      </c>
      <c r="C78" s="504" t="s">
        <v>261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1">
        <f>F76*1</f>
        <v>1</v>
      </c>
      <c r="G78" s="360">
        <f ca="1">IF(ISERROR(OFFSET('HARGA SATUAN'!$I$6,MATCH(RAB!C78,'HARGA SATUAN'!$C$7:$C$1492,0),0)),0,OFFSET('HARGA SATUAN'!$I$6,MATCH(RAB!C78,'HARGA SATUAN'!$C$7:$C$1492,0),0))</f>
        <v>135800</v>
      </c>
      <c r="H78" s="361">
        <f t="shared" ca="1" si="36"/>
        <v>0</v>
      </c>
      <c r="I78" s="361">
        <f t="shared" ca="1" si="37"/>
        <v>135800</v>
      </c>
      <c r="J78" s="361">
        <f t="shared" ca="1" si="38"/>
        <v>0</v>
      </c>
      <c r="K78" s="362">
        <f t="shared" ca="1" si="39"/>
        <v>135800</v>
      </c>
      <c r="L78" s="342"/>
      <c r="M78" s="342"/>
      <c r="N78" s="369"/>
      <c r="O78" s="344"/>
      <c r="P78" s="397"/>
      <c r="Q78" s="344"/>
    </row>
    <row r="79" spans="1:17" s="365" customFormat="1">
      <c r="A79" s="336"/>
      <c r="B79" s="503">
        <v>3</v>
      </c>
      <c r="C79" s="505" t="s">
        <v>214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20">
        <f>F76*1</f>
        <v>1</v>
      </c>
      <c r="G79" s="360">
        <f ca="1">IF(ISERROR(OFFSET('HARGA SATUAN'!$I$6,MATCH(RAB!C79,'HARGA SATUAN'!$C$7:$C$1492,0),0)),0,OFFSET('HARGA SATUAN'!$I$6,MATCH(RAB!C79,'HARGA SATUAN'!$C$7:$C$1492,0),0))</f>
        <v>4500</v>
      </c>
      <c r="H79" s="361">
        <f t="shared" ca="1" si="36"/>
        <v>0</v>
      </c>
      <c r="I79" s="361">
        <f t="shared" ca="1" si="37"/>
        <v>4500</v>
      </c>
      <c r="J79" s="361">
        <f t="shared" ca="1" si="38"/>
        <v>0</v>
      </c>
      <c r="K79" s="362">
        <f t="shared" ca="1" si="39"/>
        <v>4500</v>
      </c>
      <c r="L79" s="342"/>
      <c r="M79" s="342"/>
      <c r="N79" s="369"/>
      <c r="O79" s="344"/>
      <c r="P79" s="397"/>
      <c r="Q79" s="344"/>
    </row>
    <row r="80" spans="1:17" s="365" customFormat="1">
      <c r="A80" s="336"/>
      <c r="B80" s="512">
        <v>4</v>
      </c>
      <c r="C80" s="513" t="s">
        <v>768</v>
      </c>
      <c r="D80" s="358" t="str">
        <f ca="1">IF(ISERROR(OFFSET('HARGA SATUAN'!$D$6,MATCH(RAB!C80,'HARGA SATUAN'!$C$7:$C$1492,0),0)),"",OFFSET('HARGA SATUAN'!$D$6,MATCH(RAB!C80,'HARGA SATUAN'!$C$7:$C$1492,0),0))</f>
        <v>JASA</v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501">
        <f>F76*1</f>
        <v>1</v>
      </c>
      <c r="G80" s="360">
        <f ca="1">IF(ISERROR(OFFSET('HARGA SATUAN'!$I$6,MATCH(RAB!C80,'HARGA SATUAN'!$C$7:$C$1492,0),0)),0,OFFSET('HARGA SATUAN'!$I$6,MATCH(RAB!C80,'HARGA SATUAN'!$C$7:$C$1492,0),0))</f>
        <v>55500</v>
      </c>
      <c r="H80" s="361">
        <f t="shared" ca="1" si="36"/>
        <v>0</v>
      </c>
      <c r="I80" s="361">
        <f t="shared" ca="1" si="37"/>
        <v>0</v>
      </c>
      <c r="J80" s="361">
        <f t="shared" ca="1" si="38"/>
        <v>55500</v>
      </c>
      <c r="K80" s="362">
        <f t="shared" ca="1" si="39"/>
        <v>55500</v>
      </c>
      <c r="L80" s="342"/>
      <c r="M80" s="342"/>
      <c r="N80" s="369"/>
      <c r="O80" s="344"/>
      <c r="P80" s="397"/>
      <c r="Q80" s="344"/>
    </row>
    <row r="81" spans="1:17" s="365" customFormat="1" hidden="1">
      <c r="A81" s="336"/>
      <c r="B81" s="512"/>
      <c r="C81" s="513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501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36"/>
        <v>0</v>
      </c>
      <c r="I81" s="361">
        <f t="shared" ca="1" si="37"/>
        <v>0</v>
      </c>
      <c r="J81" s="361">
        <f t="shared" ca="1" si="38"/>
        <v>0</v>
      </c>
      <c r="K81" s="362">
        <f t="shared" ca="1" si="39"/>
        <v>0</v>
      </c>
      <c r="L81" s="342"/>
      <c r="M81" s="342"/>
      <c r="N81" s="369"/>
      <c r="O81" s="344"/>
      <c r="P81" s="397"/>
      <c r="Q81" s="344"/>
    </row>
    <row r="82" spans="1:17" s="365" customFormat="1">
      <c r="A82" s="336"/>
      <c r="B82" s="512" t="s">
        <v>1035</v>
      </c>
      <c r="C82" s="513" t="s">
        <v>1632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01">
        <v>1</v>
      </c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36"/>
        <v>0</v>
      </c>
      <c r="I82" s="361">
        <f t="shared" ca="1" si="37"/>
        <v>0</v>
      </c>
      <c r="J82" s="361">
        <f t="shared" ca="1" si="38"/>
        <v>0</v>
      </c>
      <c r="K82" s="362">
        <f t="shared" ca="1" si="39"/>
        <v>0</v>
      </c>
      <c r="L82" s="342"/>
      <c r="M82" s="342"/>
      <c r="N82" s="369"/>
      <c r="O82" s="344"/>
      <c r="P82" s="397"/>
      <c r="Q82" s="344"/>
    </row>
    <row r="83" spans="1:17" s="365" customFormat="1">
      <c r="A83" s="336"/>
      <c r="B83" s="512">
        <v>1</v>
      </c>
      <c r="C83" s="513" t="s">
        <v>30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1">
        <f>F82*1</f>
        <v>1</v>
      </c>
      <c r="G83" s="360">
        <f ca="1">IF(ISERROR(OFFSET('HARGA SATUAN'!$I$6,MATCH(RAB!C83,'HARGA SATUAN'!$C$7:$C$1492,0),0)),0,OFFSET('HARGA SATUAN'!$I$6,MATCH(RAB!C83,'HARGA SATUAN'!$C$7:$C$1492,0),0))</f>
        <v>47459</v>
      </c>
      <c r="H83" s="361">
        <f t="shared" ca="1" si="36"/>
        <v>0</v>
      </c>
      <c r="I83" s="361">
        <f t="shared" ca="1" si="37"/>
        <v>47459</v>
      </c>
      <c r="J83" s="361">
        <f t="shared" ca="1" si="38"/>
        <v>0</v>
      </c>
      <c r="K83" s="362">
        <f t="shared" ca="1" si="39"/>
        <v>47459</v>
      </c>
      <c r="L83" s="342"/>
      <c r="M83" s="342"/>
      <c r="N83" s="369"/>
      <c r="O83" s="344"/>
      <c r="P83" s="397"/>
      <c r="Q83" s="344"/>
    </row>
    <row r="84" spans="1:17" s="365" customFormat="1">
      <c r="A84" s="336"/>
      <c r="B84" s="512">
        <v>2</v>
      </c>
      <c r="C84" s="513" t="s">
        <v>32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Mtr</v>
      </c>
      <c r="F84" s="501">
        <f>F82*1</f>
        <v>1</v>
      </c>
      <c r="G84" s="360">
        <f ca="1">IF(ISERROR(OFFSET('HARGA SATUAN'!$I$6,MATCH(RAB!C84,'HARGA SATUAN'!$C$7:$C$1492,0),0)),0,OFFSET('HARGA SATUAN'!$I$6,MATCH(RAB!C84,'HARGA SATUAN'!$C$7:$C$1492,0),0))</f>
        <v>30000</v>
      </c>
      <c r="H84" s="361">
        <f t="shared" ca="1" si="36"/>
        <v>0</v>
      </c>
      <c r="I84" s="361">
        <f t="shared" ca="1" si="37"/>
        <v>30000</v>
      </c>
      <c r="J84" s="361">
        <f t="shared" ca="1" si="38"/>
        <v>0</v>
      </c>
      <c r="K84" s="362">
        <f t="shared" ca="1" si="39"/>
        <v>30000</v>
      </c>
      <c r="L84" s="342"/>
      <c r="M84" s="342"/>
      <c r="N84" s="369"/>
      <c r="O84" s="344"/>
      <c r="P84" s="397"/>
      <c r="Q84" s="344"/>
    </row>
    <row r="85" spans="1:17" s="365" customFormat="1">
      <c r="A85" s="336"/>
      <c r="B85" s="512">
        <v>3</v>
      </c>
      <c r="C85" s="513" t="s">
        <v>33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1">
        <f>F82*1</f>
        <v>1</v>
      </c>
      <c r="G85" s="360">
        <f ca="1">IF(ISERROR(OFFSET('HARGA SATUAN'!$I$6,MATCH(RAB!C85,'HARGA SATUAN'!$C$7:$C$1492,0),0)),0,OFFSET('HARGA SATUAN'!$I$6,MATCH(RAB!C85,'HARGA SATUAN'!$C$7:$C$1492,0),0))</f>
        <v>9500</v>
      </c>
      <c r="H85" s="361">
        <f t="shared" ca="1" si="36"/>
        <v>0</v>
      </c>
      <c r="I85" s="361">
        <f t="shared" ca="1" si="37"/>
        <v>9500</v>
      </c>
      <c r="J85" s="361">
        <f t="shared" ca="1" si="38"/>
        <v>0</v>
      </c>
      <c r="K85" s="362">
        <f t="shared" ca="1" si="39"/>
        <v>9500</v>
      </c>
      <c r="L85" s="342"/>
      <c r="M85" s="342"/>
      <c r="N85" s="369"/>
      <c r="O85" s="344"/>
      <c r="P85" s="397"/>
      <c r="Q85" s="344"/>
    </row>
    <row r="86" spans="1:17" s="365" customFormat="1">
      <c r="A86" s="336"/>
      <c r="B86" s="512">
        <v>4</v>
      </c>
      <c r="C86" s="513" t="s">
        <v>738</v>
      </c>
      <c r="D86" s="358" t="str">
        <f ca="1">IF(ISERROR(OFFSET('HARGA SATUAN'!$D$6,MATCH(RAB!C86,'HARGA SATUAN'!$C$7:$C$1492,0),0)),"",OFFSET('HARGA SATUAN'!$D$6,MATCH(RAB!C86,'HARGA SATUAN'!$C$7:$C$1492,0),0))</f>
        <v>JASA</v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501">
        <f>F82*1</f>
        <v>1</v>
      </c>
      <c r="G86" s="360">
        <f ca="1">IF(ISERROR(OFFSET('HARGA SATUAN'!$I$6,MATCH(RAB!C86,'HARGA SATUAN'!$C$7:$C$1492,0),0)),0,OFFSET('HARGA SATUAN'!$I$6,MATCH(RAB!C86,'HARGA SATUAN'!$C$7:$C$1492,0),0))</f>
        <v>21200</v>
      </c>
      <c r="H86" s="361">
        <f t="shared" ca="1" si="36"/>
        <v>0</v>
      </c>
      <c r="I86" s="361">
        <f t="shared" ca="1" si="37"/>
        <v>0</v>
      </c>
      <c r="J86" s="361">
        <f t="shared" ca="1" si="38"/>
        <v>21200</v>
      </c>
      <c r="K86" s="362">
        <f t="shared" ca="1" si="39"/>
        <v>21200</v>
      </c>
      <c r="L86" s="342"/>
      <c r="M86" s="342"/>
      <c r="N86" s="369"/>
      <c r="O86" s="344"/>
      <c r="P86" s="397"/>
      <c r="Q86" s="344"/>
    </row>
    <row r="87" spans="1:17" s="365" customFormat="1">
      <c r="A87" s="336"/>
      <c r="B87" s="498"/>
      <c r="C87" s="499"/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501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36"/>
        <v>0</v>
      </c>
      <c r="I87" s="361">
        <f t="shared" ca="1" si="37"/>
        <v>0</v>
      </c>
      <c r="J87" s="361">
        <f t="shared" ca="1" si="38"/>
        <v>0</v>
      </c>
      <c r="K87" s="362">
        <f t="shared" ca="1" si="39"/>
        <v>0</v>
      </c>
      <c r="L87" s="342"/>
      <c r="M87" s="342"/>
      <c r="N87" s="369"/>
      <c r="O87" s="344"/>
      <c r="P87" s="397"/>
      <c r="Q87" s="344"/>
    </row>
    <row r="88" spans="1:17">
      <c r="B88" s="366" t="s">
        <v>1608</v>
      </c>
      <c r="C88" s="367" t="s">
        <v>1610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501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36"/>
        <v>0</v>
      </c>
      <c r="I88" s="361">
        <f t="shared" ca="1" si="37"/>
        <v>0</v>
      </c>
      <c r="J88" s="361">
        <f t="shared" ca="1" si="38"/>
        <v>0</v>
      </c>
      <c r="K88" s="362">
        <f t="shared" ca="1" si="39"/>
        <v>0</v>
      </c>
    </row>
    <row r="89" spans="1:17">
      <c r="B89" s="494"/>
      <c r="C89" s="497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501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36"/>
        <v>0</v>
      </c>
      <c r="I89" s="361">
        <f t="shared" ca="1" si="37"/>
        <v>0</v>
      </c>
      <c r="J89" s="361">
        <f t="shared" ca="1" si="38"/>
        <v>0</v>
      </c>
      <c r="K89" s="362">
        <f t="shared" ca="1" si="39"/>
        <v>0</v>
      </c>
    </row>
    <row r="90" spans="1:17">
      <c r="B90" s="508" t="s">
        <v>1035</v>
      </c>
      <c r="C90" s="509" t="s">
        <v>1617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501">
        <v>1</v>
      </c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ref="H90:H109" ca="1" si="40">IF(OR(D90="MDU",D90="MDU-KD"),(IF($O$3="RAB NON MDU","PLN KD",G90*F90)),0)</f>
        <v>0</v>
      </c>
      <c r="I90" s="361">
        <f t="shared" ref="I90:I109" ca="1" si="41">IF(D90="HDW",G90*F90,0)</f>
        <v>0</v>
      </c>
      <c r="J90" s="361">
        <f t="shared" ref="J90:J109" ca="1" si="42">IF(D90="JASA",G90*F90,0)</f>
        <v>0</v>
      </c>
      <c r="K90" s="362">
        <f t="shared" ref="K90:K109" ca="1" si="43">SUM(H90:J90)</f>
        <v>0</v>
      </c>
    </row>
    <row r="91" spans="1:17">
      <c r="B91" s="508">
        <v>1</v>
      </c>
      <c r="C91" s="109" t="s">
        <v>1146</v>
      </c>
      <c r="D91" s="358" t="str">
        <f ca="1">IF(ISERROR(OFFSET('HARGA SATUAN'!$D$6,MATCH(RAB!C91,'HARGA SATUAN'!$C$7:$C$1492,0),0)),"",OFFSET('HARGA SATUAN'!$D$6,MATCH(RAB!C91,'HARGA SATUAN'!$C$7:$C$1492,0),0))</f>
        <v>MDU-KD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1">
        <f>F90*1</f>
        <v>1</v>
      </c>
      <c r="G91" s="360">
        <f ca="1">IF(ISERROR(OFFSET('HARGA SATUAN'!$I$6,MATCH(RAB!C91,'HARGA SATUAN'!$C$7:$C$1492,0),0)),0,OFFSET('HARGA SATUAN'!$I$6,MATCH(RAB!C91,'HARGA SATUAN'!$C$7:$C$1492,0),0))</f>
        <v>42757200</v>
      </c>
      <c r="H91" s="361">
        <f t="shared" ca="1" si="40"/>
        <v>42757200</v>
      </c>
      <c r="I91" s="361">
        <f t="shared" ca="1" si="41"/>
        <v>0</v>
      </c>
      <c r="J91" s="361">
        <f t="shared" ca="1" si="42"/>
        <v>0</v>
      </c>
      <c r="K91" s="362">
        <f t="shared" ca="1" si="43"/>
        <v>42757200</v>
      </c>
    </row>
    <row r="92" spans="1:17">
      <c r="B92" s="503">
        <v>2</v>
      </c>
      <c r="C92" s="506" t="s">
        <v>1612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507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40"/>
        <v>0</v>
      </c>
      <c r="I92" s="361">
        <f t="shared" ca="1" si="41"/>
        <v>0</v>
      </c>
      <c r="J92" s="361">
        <f t="shared" ca="1" si="42"/>
        <v>0</v>
      </c>
      <c r="K92" s="362">
        <f t="shared" ca="1" si="43"/>
        <v>0</v>
      </c>
    </row>
    <row r="93" spans="1:17">
      <c r="B93" s="508"/>
      <c r="C93" s="506" t="s">
        <v>65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Mtr</v>
      </c>
      <c r="F93" s="501">
        <f>F90*(3*3)</f>
        <v>9</v>
      </c>
      <c r="G93" s="360">
        <f ca="1">IF(ISERROR(OFFSET('HARGA SATUAN'!$I$6,MATCH(RAB!C93,'HARGA SATUAN'!$C$7:$C$1492,0),0)),0,OFFSET('HARGA SATUAN'!$I$6,MATCH(RAB!C93,'HARGA SATUAN'!$C$7:$C$1492,0),0))</f>
        <v>14200</v>
      </c>
      <c r="H93" s="361">
        <f t="shared" ca="1" si="40"/>
        <v>127800</v>
      </c>
      <c r="I93" s="361">
        <f t="shared" ca="1" si="41"/>
        <v>0</v>
      </c>
      <c r="J93" s="361">
        <f t="shared" ca="1" si="42"/>
        <v>0</v>
      </c>
      <c r="K93" s="362">
        <f t="shared" ca="1" si="43"/>
        <v>127800</v>
      </c>
    </row>
    <row r="94" spans="1:17">
      <c r="B94" s="508"/>
      <c r="C94" s="109" t="s">
        <v>1459</v>
      </c>
      <c r="D94" s="358" t="str">
        <f ca="1">IF(ISERROR(OFFSET('HARGA SATUAN'!$D$6,MATCH(RAB!C94,'HARGA SATUAN'!$C$7:$C$1492,0),0)),"",OFFSET('HARGA SATUAN'!$D$6,MATCH(RAB!C94,'HARGA SATUAN'!$C$7:$C$1492,0),0))</f>
        <v>MDU-KD</v>
      </c>
      <c r="E94" s="359" t="str">
        <f ca="1">IF(B94="+","Unit",IF(ISERROR(OFFSET('HARGA SATUAN'!$E$6,MATCH(RAB!C94,'HARGA SATUAN'!$C$7:$C$1492,0),0)),"",OFFSET('HARGA SATUAN'!$E$6,MATCH(RAB!C94,'HARGA SATUAN'!$C$7:$C$1492,0),0)))</f>
        <v>Mtr</v>
      </c>
      <c r="F94" s="501">
        <f>F90*3</f>
        <v>3</v>
      </c>
      <c r="G94" s="360">
        <f ca="1">IF(ISERROR(OFFSET('HARGA SATUAN'!$I$6,MATCH(RAB!C94,'HARGA SATUAN'!$C$7:$C$1492,0),0)),0,OFFSET('HARGA SATUAN'!$I$6,MATCH(RAB!C94,'HARGA SATUAN'!$C$7:$C$1492,0),0))</f>
        <v>54500</v>
      </c>
      <c r="H94" s="361">
        <f t="shared" ca="1" si="40"/>
        <v>163500</v>
      </c>
      <c r="I94" s="361">
        <f t="shared" ca="1" si="41"/>
        <v>0</v>
      </c>
      <c r="J94" s="361">
        <f t="shared" ca="1" si="42"/>
        <v>0</v>
      </c>
      <c r="K94" s="362">
        <f t="shared" ca="1" si="43"/>
        <v>163500</v>
      </c>
    </row>
    <row r="95" spans="1:17">
      <c r="B95" s="508">
        <v>3</v>
      </c>
      <c r="C95" s="109" t="s">
        <v>559</v>
      </c>
      <c r="D95" s="358" t="str">
        <f ca="1">IF(ISERROR(OFFSET('HARGA SATUAN'!$D$6,MATCH(RAB!C95,'HARGA SATUAN'!$C$7:$C$1492,0),0)),"",OFFSET('HARGA SATUAN'!$D$6,MATCH(RAB!C95,'HARGA SATUAN'!$C$7:$C$1492,0),0))</f>
        <v>MDU-KD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01">
        <f>F90*3</f>
        <v>3</v>
      </c>
      <c r="G95" s="360">
        <f ca="1">IF(ISERROR(OFFSET('HARGA SATUAN'!$I$6,MATCH(RAB!C95,'HARGA SATUAN'!$C$7:$C$1492,0),0)),0,OFFSET('HARGA SATUAN'!$I$6,MATCH(RAB!C95,'HARGA SATUAN'!$C$7:$C$1492,0),0))</f>
        <v>725900</v>
      </c>
      <c r="H95" s="361">
        <f t="shared" ca="1" si="40"/>
        <v>2177700</v>
      </c>
      <c r="I95" s="361">
        <f t="shared" ca="1" si="41"/>
        <v>0</v>
      </c>
      <c r="J95" s="361">
        <f t="shared" ca="1" si="42"/>
        <v>0</v>
      </c>
      <c r="K95" s="362">
        <f t="shared" ca="1" si="43"/>
        <v>2177700</v>
      </c>
    </row>
    <row r="96" spans="1:17">
      <c r="B96" s="508">
        <v>4</v>
      </c>
      <c r="C96" s="509" t="s">
        <v>535</v>
      </c>
      <c r="D96" s="358" t="str">
        <f ca="1">IF(ISERROR(OFFSET('HARGA SATUAN'!$D$6,MATCH(RAB!C96,'HARGA SATUAN'!$C$7:$C$1492,0),0)),"",OFFSET('HARGA SATUAN'!$D$6,MATCH(RAB!C96,'HARGA SATUAN'!$C$7:$C$1492,0),0))</f>
        <v>MDU-KD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01">
        <f>F90*3</f>
        <v>3</v>
      </c>
      <c r="G96" s="360">
        <f ca="1">IF(ISERROR(OFFSET('HARGA SATUAN'!$I$6,MATCH(RAB!C96,'HARGA SATUAN'!$C$7:$C$1492,0),0)),0,OFFSET('HARGA SATUAN'!$I$6,MATCH(RAB!C96,'HARGA SATUAN'!$C$7:$C$1492,0),0))</f>
        <v>848250</v>
      </c>
      <c r="H96" s="361">
        <f t="shared" ca="1" si="40"/>
        <v>2544750</v>
      </c>
      <c r="I96" s="361">
        <f t="shared" ca="1" si="41"/>
        <v>0</v>
      </c>
      <c r="J96" s="361">
        <f t="shared" ca="1" si="42"/>
        <v>0</v>
      </c>
      <c r="K96" s="362">
        <f t="shared" ca="1" si="43"/>
        <v>2544750</v>
      </c>
    </row>
    <row r="97" spans="2:11">
      <c r="B97" s="508">
        <v>5</v>
      </c>
      <c r="C97" s="509" t="s">
        <v>537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01">
        <f>F90*3</f>
        <v>3</v>
      </c>
      <c r="G97" s="360">
        <f ca="1">IF(ISERROR(OFFSET('HARGA SATUAN'!$I$6,MATCH(RAB!C97,'HARGA SATUAN'!$C$7:$C$1492,0),0)),0,OFFSET('HARGA SATUAN'!$I$6,MATCH(RAB!C97,'HARGA SATUAN'!$C$7:$C$1492,0),0))</f>
        <v>17500</v>
      </c>
      <c r="H97" s="361">
        <f t="shared" ca="1" si="40"/>
        <v>0</v>
      </c>
      <c r="I97" s="361">
        <f t="shared" ca="1" si="41"/>
        <v>52500</v>
      </c>
      <c r="J97" s="361">
        <f t="shared" ca="1" si="42"/>
        <v>0</v>
      </c>
      <c r="K97" s="362">
        <f t="shared" ca="1" si="43"/>
        <v>52500</v>
      </c>
    </row>
    <row r="98" spans="2:11">
      <c r="B98" s="508">
        <v>6</v>
      </c>
      <c r="C98" s="109" t="s">
        <v>1564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01">
        <f>F90*13</f>
        <v>13</v>
      </c>
      <c r="G98" s="360">
        <f ca="1">IF(ISERROR(OFFSET('HARGA SATUAN'!$I$6,MATCH(RAB!C98,'HARGA SATUAN'!$C$7:$C$1492,0),0)),0,OFFSET('HARGA SATUAN'!$I$6,MATCH(RAB!C98,'HARGA SATUAN'!$C$7:$C$1492,0),0))</f>
        <v>49000</v>
      </c>
      <c r="H98" s="361">
        <f t="shared" ca="1" si="40"/>
        <v>0</v>
      </c>
      <c r="I98" s="361">
        <f t="shared" ca="1" si="41"/>
        <v>637000</v>
      </c>
      <c r="J98" s="361">
        <f t="shared" ca="1" si="42"/>
        <v>0</v>
      </c>
      <c r="K98" s="362">
        <f t="shared" ca="1" si="43"/>
        <v>637000</v>
      </c>
    </row>
    <row r="99" spans="2:11">
      <c r="B99" s="508">
        <v>7</v>
      </c>
      <c r="C99" s="509" t="s">
        <v>163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01">
        <f>F90*22</f>
        <v>22</v>
      </c>
      <c r="G99" s="360">
        <f ca="1">IF(ISERROR(OFFSET('HARGA SATUAN'!$I$6,MATCH(RAB!C99,'HARGA SATUAN'!$C$7:$C$1492,0),0)),0,OFFSET('HARGA SATUAN'!$I$6,MATCH(RAB!C99,'HARGA SATUAN'!$C$7:$C$1492,0),0))</f>
        <v>7938</v>
      </c>
      <c r="H99" s="361">
        <f t="shared" ca="1" si="40"/>
        <v>0</v>
      </c>
      <c r="I99" s="361">
        <f t="shared" ca="1" si="41"/>
        <v>174636</v>
      </c>
      <c r="J99" s="361">
        <f t="shared" ca="1" si="42"/>
        <v>0</v>
      </c>
      <c r="K99" s="362">
        <f t="shared" ca="1" si="43"/>
        <v>174636</v>
      </c>
    </row>
    <row r="100" spans="2:11">
      <c r="B100" s="508">
        <v>8</v>
      </c>
      <c r="C100" s="509" t="s">
        <v>176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01">
        <f>F90*1</f>
        <v>1</v>
      </c>
      <c r="G100" s="360">
        <f ca="1">IF(ISERROR(OFFSET('HARGA SATUAN'!$I$6,MATCH(RAB!C100,'HARGA SATUAN'!$C$7:$C$1492,0),0)),0,OFFSET('HARGA SATUAN'!$I$6,MATCH(RAB!C100,'HARGA SATUAN'!$C$7:$C$1492,0),0))</f>
        <v>404600</v>
      </c>
      <c r="H100" s="361">
        <f t="shared" ca="1" si="40"/>
        <v>0</v>
      </c>
      <c r="I100" s="361">
        <f t="shared" ca="1" si="41"/>
        <v>404600</v>
      </c>
      <c r="J100" s="361">
        <f t="shared" ca="1" si="42"/>
        <v>0</v>
      </c>
      <c r="K100" s="362">
        <f t="shared" ca="1" si="43"/>
        <v>404600</v>
      </c>
    </row>
    <row r="101" spans="2:11">
      <c r="B101" s="508">
        <v>9</v>
      </c>
      <c r="C101" s="509" t="s">
        <v>184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501">
        <f>F90*3</f>
        <v>3</v>
      </c>
      <c r="G101" s="360">
        <f ca="1">IF(ISERROR(OFFSET('HARGA SATUAN'!$I$6,MATCH(RAB!C101,'HARGA SATUAN'!$C$7:$C$1492,0),0)),0,OFFSET('HARGA SATUAN'!$I$6,MATCH(RAB!C101,'HARGA SATUAN'!$C$7:$C$1492,0),0))</f>
        <v>15900</v>
      </c>
      <c r="H101" s="361">
        <f t="shared" ca="1" si="40"/>
        <v>0</v>
      </c>
      <c r="I101" s="361">
        <f t="shared" ca="1" si="41"/>
        <v>47700</v>
      </c>
      <c r="J101" s="361">
        <f t="shared" ca="1" si="42"/>
        <v>0</v>
      </c>
      <c r="K101" s="362">
        <f t="shared" ca="1" si="43"/>
        <v>47700</v>
      </c>
    </row>
    <row r="102" spans="2:11">
      <c r="B102" s="508">
        <v>10</v>
      </c>
      <c r="C102" s="509" t="s">
        <v>592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501">
        <f>F90*5</f>
        <v>5</v>
      </c>
      <c r="G102" s="360">
        <f ca="1">IF(ISERROR(OFFSET('HARGA SATUAN'!$I$6,MATCH(RAB!C102,'HARGA SATUAN'!$C$7:$C$1492,0),0)),0,OFFSET('HARGA SATUAN'!$I$6,MATCH(RAB!C102,'HARGA SATUAN'!$C$7:$C$1492,0),0))</f>
        <v>283100</v>
      </c>
      <c r="H102" s="361">
        <f t="shared" ca="1" si="40"/>
        <v>0</v>
      </c>
      <c r="I102" s="361">
        <f t="shared" ca="1" si="41"/>
        <v>1415500</v>
      </c>
      <c r="J102" s="361">
        <f t="shared" ca="1" si="42"/>
        <v>0</v>
      </c>
      <c r="K102" s="362">
        <f t="shared" ca="1" si="43"/>
        <v>1415500</v>
      </c>
    </row>
    <row r="103" spans="2:11">
      <c r="B103" s="508">
        <v>11</v>
      </c>
      <c r="C103" s="509" t="s">
        <v>593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01">
        <f>F90*4</f>
        <v>4</v>
      </c>
      <c r="G103" s="360">
        <f ca="1">IF(ISERROR(OFFSET('HARGA SATUAN'!$I$6,MATCH(RAB!C103,'HARGA SATUAN'!$C$7:$C$1492,0),0)),0,OFFSET('HARGA SATUAN'!$I$6,MATCH(RAB!C103,'HARGA SATUAN'!$C$7:$C$1492,0),0))</f>
        <v>380500</v>
      </c>
      <c r="H103" s="361">
        <f t="shared" ca="1" si="40"/>
        <v>0</v>
      </c>
      <c r="I103" s="361">
        <f t="shared" ca="1" si="41"/>
        <v>1522000</v>
      </c>
      <c r="J103" s="361">
        <f t="shared" ca="1" si="42"/>
        <v>0</v>
      </c>
      <c r="K103" s="362">
        <f t="shared" ca="1" si="43"/>
        <v>1522000</v>
      </c>
    </row>
    <row r="104" spans="2:11">
      <c r="B104" s="508">
        <v>12</v>
      </c>
      <c r="C104" s="509" t="s">
        <v>208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501">
        <f>F90*3</f>
        <v>3</v>
      </c>
      <c r="G104" s="360">
        <f ca="1">IF(ISERROR(OFFSET('HARGA SATUAN'!$I$6,MATCH(RAB!C104,'HARGA SATUAN'!$C$7:$C$1492,0),0)),0,OFFSET('HARGA SATUAN'!$I$6,MATCH(RAB!C104,'HARGA SATUAN'!$C$7:$C$1492,0),0))</f>
        <v>173400</v>
      </c>
      <c r="H104" s="361">
        <f t="shared" ca="1" si="40"/>
        <v>0</v>
      </c>
      <c r="I104" s="361">
        <f t="shared" ca="1" si="41"/>
        <v>520200</v>
      </c>
      <c r="J104" s="361">
        <f t="shared" ca="1" si="42"/>
        <v>0</v>
      </c>
      <c r="K104" s="362">
        <f t="shared" ca="1" si="43"/>
        <v>520200</v>
      </c>
    </row>
    <row r="105" spans="2:11">
      <c r="B105" s="508">
        <v>13</v>
      </c>
      <c r="C105" s="509" t="s">
        <v>247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01">
        <f>F90*1</f>
        <v>1</v>
      </c>
      <c r="G105" s="360">
        <f ca="1">IF(ISERROR(OFFSET('HARGA SATUAN'!$I$6,MATCH(RAB!C105,'HARGA SATUAN'!$C$7:$C$1492,0),0)),0,OFFSET('HARGA SATUAN'!$I$6,MATCH(RAB!C105,'HARGA SATUAN'!$C$7:$C$1492,0),0))</f>
        <v>57690</v>
      </c>
      <c r="H105" s="361">
        <f t="shared" ca="1" si="40"/>
        <v>0</v>
      </c>
      <c r="I105" s="361">
        <f t="shared" ca="1" si="41"/>
        <v>57690</v>
      </c>
      <c r="J105" s="361">
        <f t="shared" ca="1" si="42"/>
        <v>0</v>
      </c>
      <c r="K105" s="362">
        <f t="shared" ca="1" si="43"/>
        <v>57690</v>
      </c>
    </row>
    <row r="106" spans="2:11">
      <c r="B106" s="508">
        <v>14</v>
      </c>
      <c r="C106" s="509" t="s">
        <v>234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01">
        <f>F90*2</f>
        <v>2</v>
      </c>
      <c r="G106" s="360">
        <f ca="1">IF(ISERROR(OFFSET('HARGA SATUAN'!$I$6,MATCH(RAB!C106,'HARGA SATUAN'!$C$7:$C$1492,0),0)),0,OFFSET('HARGA SATUAN'!$I$6,MATCH(RAB!C106,'HARGA SATUAN'!$C$7:$C$1492,0),0))</f>
        <v>67500</v>
      </c>
      <c r="H106" s="361">
        <f t="shared" ca="1" si="40"/>
        <v>0</v>
      </c>
      <c r="I106" s="361">
        <f t="shared" ca="1" si="41"/>
        <v>135000</v>
      </c>
      <c r="J106" s="361">
        <f t="shared" ca="1" si="42"/>
        <v>0</v>
      </c>
      <c r="K106" s="362">
        <f t="shared" ca="1" si="43"/>
        <v>135000</v>
      </c>
    </row>
    <row r="107" spans="2:11">
      <c r="B107" s="508">
        <v>15</v>
      </c>
      <c r="C107" s="509" t="s">
        <v>267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01">
        <f>F90*2</f>
        <v>2</v>
      </c>
      <c r="G107" s="360">
        <f ca="1">IF(ISERROR(OFFSET('HARGA SATUAN'!$I$6,MATCH(RAB!C107,'HARGA SATUAN'!$C$7:$C$1492,0),0)),0,OFFSET('HARGA SATUAN'!$I$6,MATCH(RAB!C107,'HARGA SATUAN'!$C$7:$C$1492,0),0))</f>
        <v>129000</v>
      </c>
      <c r="H107" s="361">
        <f t="shared" ca="1" si="40"/>
        <v>0</v>
      </c>
      <c r="I107" s="361">
        <f t="shared" ca="1" si="41"/>
        <v>258000</v>
      </c>
      <c r="J107" s="361">
        <f t="shared" ca="1" si="42"/>
        <v>0</v>
      </c>
      <c r="K107" s="362">
        <f t="shared" ca="1" si="43"/>
        <v>258000</v>
      </c>
    </row>
    <row r="108" spans="2:11">
      <c r="B108" s="508">
        <v>16</v>
      </c>
      <c r="C108" s="509" t="s">
        <v>607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501">
        <f>F90*4</f>
        <v>4</v>
      </c>
      <c r="G108" s="360">
        <f ca="1">IF(ISERROR(OFFSET('HARGA SATUAN'!$I$6,MATCH(RAB!C108,'HARGA SATUAN'!$C$7:$C$1492,0),0)),0,OFFSET('HARGA SATUAN'!$I$6,MATCH(RAB!C108,'HARGA SATUAN'!$C$7:$C$1492,0),0))</f>
        <v>250000</v>
      </c>
      <c r="H108" s="361">
        <f t="shared" ca="1" si="40"/>
        <v>0</v>
      </c>
      <c r="I108" s="361">
        <f t="shared" ca="1" si="41"/>
        <v>1000000</v>
      </c>
      <c r="J108" s="361">
        <f t="shared" ca="1" si="42"/>
        <v>0</v>
      </c>
      <c r="K108" s="362">
        <f t="shared" ca="1" si="43"/>
        <v>1000000</v>
      </c>
    </row>
    <row r="109" spans="2:11">
      <c r="B109" s="508">
        <v>17</v>
      </c>
      <c r="C109" s="509" t="s">
        <v>783</v>
      </c>
      <c r="D109" s="358" t="str">
        <f ca="1">IF(ISERROR(OFFSET('HARGA SATUAN'!$D$6,MATCH(RAB!C109,'HARGA SATUAN'!$C$7:$C$1492,0),0)),"",OFFSET('HARGA SATUAN'!$D$6,MATCH(RAB!C109,'HARGA SATUAN'!$C$7:$C$1492,0),0))</f>
        <v>JASA</v>
      </c>
      <c r="E109" s="359" t="str">
        <f ca="1">IF(B109="+","Unit",IF(ISERROR(OFFSET('HARGA SATUAN'!$E$6,MATCH(RAB!C109,'HARGA SATUAN'!$C$7:$C$1492,0),0)),"",OFFSET('HARGA SATUAN'!$E$6,MATCH(RAB!C109,'HARGA SATUAN'!$C$7:$C$1492,0),0)))</f>
        <v>Unit</v>
      </c>
      <c r="F109" s="501">
        <f>F90*1</f>
        <v>1</v>
      </c>
      <c r="G109" s="360">
        <f ca="1">IF(ISERROR(OFFSET('HARGA SATUAN'!$I$6,MATCH(RAB!C109,'HARGA SATUAN'!$C$7:$C$1492,0),0)),0,OFFSET('HARGA SATUAN'!$I$6,MATCH(RAB!C109,'HARGA SATUAN'!$C$7:$C$1492,0),0))</f>
        <v>1182800</v>
      </c>
      <c r="H109" s="361">
        <f t="shared" ca="1" si="40"/>
        <v>0</v>
      </c>
      <c r="I109" s="361">
        <f t="shared" ca="1" si="41"/>
        <v>0</v>
      </c>
      <c r="J109" s="361">
        <f t="shared" ca="1" si="42"/>
        <v>1182800</v>
      </c>
      <c r="K109" s="362">
        <f t="shared" ca="1" si="43"/>
        <v>1182800</v>
      </c>
    </row>
    <row r="110" spans="2:11">
      <c r="B110" s="508">
        <v>18</v>
      </c>
      <c r="C110" s="109" t="s">
        <v>461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Set</v>
      </c>
      <c r="F110" s="501">
        <v>1</v>
      </c>
      <c r="G110" s="360">
        <f ca="1">IF(ISERROR(OFFSET('HARGA SATUAN'!$I$6,MATCH(RAB!C110,'HARGA SATUAN'!$C$7:$C$1492,0),0)),0,OFFSET('HARGA SATUAN'!$I$6,MATCH(RAB!C110,'HARGA SATUAN'!$C$7:$C$1492,0),0))</f>
        <v>200000</v>
      </c>
      <c r="H110" s="361">
        <f t="shared" ref="H110:H111" ca="1" si="44">IF(OR(D110="MDU",D110="MDU-KD"),(IF($O$3="RAB NON MDU","PLN KD",G110*F110)),0)</f>
        <v>0</v>
      </c>
      <c r="I110" s="361">
        <f t="shared" ref="I110:I111" ca="1" si="45">IF(D110="HDW",G110*F110,0)</f>
        <v>200000</v>
      </c>
      <c r="J110" s="361">
        <f t="shared" ref="J110:J111" ca="1" si="46">IF(D110="JASA",G110*F110,0)</f>
        <v>0</v>
      </c>
      <c r="K110" s="362">
        <f t="shared" ref="K110:K111" ca="1" si="47">SUM(H110:J110)</f>
        <v>200000</v>
      </c>
    </row>
    <row r="111" spans="2:11">
      <c r="B111" s="508"/>
      <c r="C111" s="109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501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44"/>
        <v>0</v>
      </c>
      <c r="I111" s="361">
        <f t="shared" ca="1" si="45"/>
        <v>0</v>
      </c>
      <c r="J111" s="361">
        <f t="shared" ca="1" si="46"/>
        <v>0</v>
      </c>
      <c r="K111" s="362">
        <f t="shared" ca="1" si="47"/>
        <v>0</v>
      </c>
    </row>
    <row r="112" spans="2:11">
      <c r="B112" s="503" t="s">
        <v>1035</v>
      </c>
      <c r="C112" s="504" t="s">
        <v>1613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501">
        <v>2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ref="H112:H122" ca="1" si="48">IF(OR(D112="MDU",D112="MDU-KD"),(IF($O$3="RAB NON MDU","PLN KD",G112*F112)),0)</f>
        <v>0</v>
      </c>
      <c r="I112" s="361">
        <f t="shared" ref="I112:I122" ca="1" si="49">IF(D112="HDW",G112*F112,0)</f>
        <v>0</v>
      </c>
      <c r="J112" s="361">
        <f t="shared" ref="J112:J122" ca="1" si="50">IF(D112="JASA",G112*F112,0)</f>
        <v>0</v>
      </c>
      <c r="K112" s="362">
        <f t="shared" ref="K112:K122" ca="1" si="51">SUM(H112:J112)</f>
        <v>0</v>
      </c>
    </row>
    <row r="113" spans="2:11">
      <c r="B113" s="503">
        <v>1</v>
      </c>
      <c r="C113" s="505" t="s">
        <v>29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501">
        <f>F112*1</f>
        <v>2</v>
      </c>
      <c r="G113" s="360">
        <f ca="1">IF(ISERROR(OFFSET('HARGA SATUAN'!$I$6,MATCH(RAB!C113,'HARGA SATUAN'!$C$7:$C$1492,0),0)),0,OFFSET('HARGA SATUAN'!$I$6,MATCH(RAB!C113,'HARGA SATUAN'!$C$7:$C$1492,0),0))</f>
        <v>185200</v>
      </c>
      <c r="H113" s="361">
        <f t="shared" ca="1" si="48"/>
        <v>0</v>
      </c>
      <c r="I113" s="361">
        <f t="shared" ca="1" si="49"/>
        <v>370400</v>
      </c>
      <c r="J113" s="361">
        <f t="shared" ca="1" si="50"/>
        <v>0</v>
      </c>
      <c r="K113" s="362">
        <f t="shared" ca="1" si="51"/>
        <v>370400</v>
      </c>
    </row>
    <row r="114" spans="2:11">
      <c r="B114" s="498">
        <v>2</v>
      </c>
      <c r="C114" s="499" t="s">
        <v>30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501">
        <f>F112*1</f>
        <v>2</v>
      </c>
      <c r="G114" s="360">
        <f ca="1">IF(ISERROR(OFFSET('HARGA SATUAN'!$I$6,MATCH(RAB!C114,'HARGA SATUAN'!$C$7:$C$1492,0),0)),0,OFFSET('HARGA SATUAN'!$I$6,MATCH(RAB!C114,'HARGA SATUAN'!$C$7:$C$1492,0),0))</f>
        <v>47459</v>
      </c>
      <c r="H114" s="361">
        <f t="shared" ca="1" si="48"/>
        <v>0</v>
      </c>
      <c r="I114" s="361">
        <f t="shared" ca="1" si="49"/>
        <v>94918</v>
      </c>
      <c r="J114" s="361">
        <f t="shared" ca="1" si="50"/>
        <v>0</v>
      </c>
      <c r="K114" s="362">
        <f t="shared" ca="1" si="51"/>
        <v>94918</v>
      </c>
    </row>
    <row r="115" spans="2:11">
      <c r="B115" s="498">
        <v>3</v>
      </c>
      <c r="C115" s="499" t="s">
        <v>31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01">
        <f>F112*1</f>
        <v>2</v>
      </c>
      <c r="G115" s="360">
        <f ca="1">IF(ISERROR(OFFSET('HARGA SATUAN'!$I$6,MATCH(RAB!C115,'HARGA SATUAN'!$C$7:$C$1492,0),0)),0,OFFSET('HARGA SATUAN'!$I$6,MATCH(RAB!C115,'HARGA SATUAN'!$C$7:$C$1492,0),0))</f>
        <v>4880</v>
      </c>
      <c r="H115" s="361">
        <f t="shared" ca="1" si="48"/>
        <v>0</v>
      </c>
      <c r="I115" s="361">
        <f t="shared" ca="1" si="49"/>
        <v>9760</v>
      </c>
      <c r="J115" s="361">
        <f t="shared" ca="1" si="50"/>
        <v>0</v>
      </c>
      <c r="K115" s="362">
        <f t="shared" ca="1" si="51"/>
        <v>9760</v>
      </c>
    </row>
    <row r="116" spans="2:11">
      <c r="B116" s="498">
        <v>4</v>
      </c>
      <c r="C116" s="499" t="s">
        <v>32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Mtr</v>
      </c>
      <c r="F116" s="501">
        <f>F112*10</f>
        <v>20</v>
      </c>
      <c r="G116" s="360">
        <f ca="1">IF(ISERROR(OFFSET('HARGA SATUAN'!$I$6,MATCH(RAB!C116,'HARGA SATUAN'!$C$7:$C$1492,0),0)),0,OFFSET('HARGA SATUAN'!$I$6,MATCH(RAB!C116,'HARGA SATUAN'!$C$7:$C$1492,0),0))</f>
        <v>30000</v>
      </c>
      <c r="H116" s="361">
        <f t="shared" ca="1" si="48"/>
        <v>0</v>
      </c>
      <c r="I116" s="361">
        <f t="shared" ca="1" si="49"/>
        <v>600000</v>
      </c>
      <c r="J116" s="361">
        <f t="shared" ca="1" si="50"/>
        <v>0</v>
      </c>
      <c r="K116" s="362">
        <f t="shared" ca="1" si="51"/>
        <v>600000</v>
      </c>
    </row>
    <row r="117" spans="2:11">
      <c r="B117" s="498">
        <v>5</v>
      </c>
      <c r="C117" s="499" t="s">
        <v>33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01">
        <f>F112*2</f>
        <v>4</v>
      </c>
      <c r="G117" s="360">
        <f ca="1">IF(ISERROR(OFFSET('HARGA SATUAN'!$I$6,MATCH(RAB!C117,'HARGA SATUAN'!$C$7:$C$1492,0),0)),0,OFFSET('HARGA SATUAN'!$I$6,MATCH(RAB!C117,'HARGA SATUAN'!$C$7:$C$1492,0),0))</f>
        <v>9500</v>
      </c>
      <c r="H117" s="361">
        <f t="shared" ca="1" si="48"/>
        <v>0</v>
      </c>
      <c r="I117" s="361">
        <f t="shared" ca="1" si="49"/>
        <v>38000</v>
      </c>
      <c r="J117" s="361">
        <f t="shared" ca="1" si="50"/>
        <v>0</v>
      </c>
      <c r="K117" s="362">
        <f t="shared" ca="1" si="51"/>
        <v>38000</v>
      </c>
    </row>
    <row r="118" spans="2:11">
      <c r="B118" s="498">
        <v>6</v>
      </c>
      <c r="C118" s="499" t="s">
        <v>34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501">
        <f>F112*5.5</f>
        <v>11</v>
      </c>
      <c r="G118" s="360">
        <f ca="1">IF(ISERROR(OFFSET('HARGA SATUAN'!$I$6,MATCH(RAB!C118,'HARGA SATUAN'!$C$7:$C$1492,0),0)),0,OFFSET('HARGA SATUAN'!$I$6,MATCH(RAB!C118,'HARGA SATUAN'!$C$7:$C$1492,0),0))</f>
        <v>6100</v>
      </c>
      <c r="H118" s="361">
        <f t="shared" ca="1" si="48"/>
        <v>0</v>
      </c>
      <c r="I118" s="361">
        <f t="shared" ca="1" si="49"/>
        <v>67100</v>
      </c>
      <c r="J118" s="361">
        <f t="shared" ca="1" si="50"/>
        <v>0</v>
      </c>
      <c r="K118" s="362">
        <f t="shared" ca="1" si="51"/>
        <v>67100</v>
      </c>
    </row>
    <row r="119" spans="2:11">
      <c r="B119" s="498">
        <v>7</v>
      </c>
      <c r="C119" s="499" t="s">
        <v>35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501">
        <f>F112*6</f>
        <v>12</v>
      </c>
      <c r="G119" s="360">
        <f ca="1">IF(ISERROR(OFFSET('HARGA SATUAN'!$I$6,MATCH(RAB!C119,'HARGA SATUAN'!$C$7:$C$1492,0),0)),0,OFFSET('HARGA SATUAN'!$I$6,MATCH(RAB!C119,'HARGA SATUAN'!$C$7:$C$1492,0),0))</f>
        <v>2300</v>
      </c>
      <c r="H119" s="361">
        <f t="shared" ca="1" si="48"/>
        <v>0</v>
      </c>
      <c r="I119" s="361">
        <f t="shared" ca="1" si="49"/>
        <v>27600</v>
      </c>
      <c r="J119" s="361">
        <f t="shared" ca="1" si="50"/>
        <v>0</v>
      </c>
      <c r="K119" s="362">
        <f t="shared" ca="1" si="51"/>
        <v>27600</v>
      </c>
    </row>
    <row r="120" spans="2:11">
      <c r="B120" s="498">
        <v>8</v>
      </c>
      <c r="C120" s="499" t="s">
        <v>1614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Mtr</v>
      </c>
      <c r="F120" s="501">
        <f>F112*4.8</f>
        <v>9.6</v>
      </c>
      <c r="G120" s="360">
        <f ca="1">IF(ISERROR(OFFSET('HARGA SATUAN'!$I$6,MATCH(RAB!C120,'HARGA SATUAN'!$C$7:$C$1492,0),0)),0,OFFSET('HARGA SATUAN'!$I$6,MATCH(RAB!C120,'HARGA SATUAN'!$C$7:$C$1492,0),0))</f>
        <v>23310</v>
      </c>
      <c r="H120" s="361">
        <f t="shared" ca="1" si="48"/>
        <v>0</v>
      </c>
      <c r="I120" s="361">
        <f t="shared" ca="1" si="49"/>
        <v>223776</v>
      </c>
      <c r="J120" s="361">
        <f t="shared" ca="1" si="50"/>
        <v>0</v>
      </c>
      <c r="K120" s="362">
        <f t="shared" ca="1" si="51"/>
        <v>223776</v>
      </c>
    </row>
    <row r="121" spans="2:11">
      <c r="B121" s="498">
        <v>9</v>
      </c>
      <c r="C121" s="499" t="s">
        <v>736</v>
      </c>
      <c r="D121" s="358" t="str">
        <f ca="1">IF(ISERROR(OFFSET('HARGA SATUAN'!$D$6,MATCH(RAB!C121,'HARGA SATUAN'!$C$7:$C$1492,0),0)),"",OFFSET('HARGA SATUAN'!$D$6,MATCH(RAB!C121,'HARGA SATUAN'!$C$7:$C$1492,0),0))</f>
        <v>JASA</v>
      </c>
      <c r="E121" s="359" t="str">
        <f ca="1">IF(B121="+","Unit",IF(ISERROR(OFFSET('HARGA SATUAN'!$E$6,MATCH(RAB!C121,'HARGA SATUAN'!$C$7:$C$1492,0),0)),"",OFFSET('HARGA SATUAN'!$E$6,MATCH(RAB!C121,'HARGA SATUAN'!$C$7:$C$1492,0),0)))</f>
        <v>Unit</v>
      </c>
      <c r="F121" s="501">
        <f>F112*1</f>
        <v>2</v>
      </c>
      <c r="G121" s="360">
        <f ca="1">IF(ISERROR(OFFSET('HARGA SATUAN'!$I$6,MATCH(RAB!C121,'HARGA SATUAN'!$C$7:$C$1492,0),0)),0,OFFSET('HARGA SATUAN'!$I$6,MATCH(RAB!C121,'HARGA SATUAN'!$C$7:$C$1492,0),0))</f>
        <v>65400</v>
      </c>
      <c r="H121" s="361">
        <f t="shared" ca="1" si="48"/>
        <v>0</v>
      </c>
      <c r="I121" s="361">
        <f t="shared" ca="1" si="49"/>
        <v>0</v>
      </c>
      <c r="J121" s="361">
        <f t="shared" ca="1" si="50"/>
        <v>130800</v>
      </c>
      <c r="K121" s="362">
        <f t="shared" ca="1" si="51"/>
        <v>130800</v>
      </c>
    </row>
    <row r="122" spans="2:11">
      <c r="B122" s="494"/>
      <c r="C122" s="497"/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/>
      </c>
      <c r="F122" s="502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ca="1" si="48"/>
        <v>0</v>
      </c>
      <c r="I122" s="361">
        <f t="shared" ca="1" si="49"/>
        <v>0</v>
      </c>
      <c r="J122" s="361">
        <f t="shared" ca="1" si="50"/>
        <v>0</v>
      </c>
      <c r="K122" s="362">
        <f t="shared" ca="1" si="51"/>
        <v>0</v>
      </c>
    </row>
    <row r="123" spans="2:11">
      <c r="B123" s="495" t="s">
        <v>1609</v>
      </c>
      <c r="C123" s="500" t="s">
        <v>1616</v>
      </c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368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ref="H123:H130" ca="1" si="52">IF(OR(D123="MDU",D123="MDU-KD"),(IF($O$3="RAB NON MDU","PLN KD",G123*F123)),0)</f>
        <v>0</v>
      </c>
      <c r="I123" s="361">
        <f t="shared" ref="I123:I130" ca="1" si="53">IF(D123="HDW",G123*F123,0)</f>
        <v>0</v>
      </c>
      <c r="J123" s="361">
        <f t="shared" ref="J123:J130" ca="1" si="54">IF(D123="JASA",G123*F123,0)</f>
        <v>0</v>
      </c>
      <c r="K123" s="362">
        <f t="shared" ref="K123:K130" ca="1" si="55">SUM(H123:J123)</f>
        <v>0</v>
      </c>
    </row>
    <row r="124" spans="2:11">
      <c r="B124" s="495" t="s">
        <v>1035</v>
      </c>
      <c r="C124" s="496" t="s">
        <v>1618</v>
      </c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11">
        <v>1</v>
      </c>
      <c r="G124" s="360">
        <f ca="1">IF(ISERROR(OFFSET('HARGA SATUAN'!$I$6,MATCH(RAB!C124,'HARGA SATUAN'!$C$7:$C$1492,0),0)),0,OFFSET('HARGA SATUAN'!$I$6,MATCH(RAB!C124,'HARGA SATUAN'!$C$7:$C$1492,0),0))</f>
        <v>0</v>
      </c>
      <c r="H124" s="361">
        <f t="shared" ca="1" si="52"/>
        <v>0</v>
      </c>
      <c r="I124" s="361">
        <f t="shared" ca="1" si="53"/>
        <v>0</v>
      </c>
      <c r="J124" s="361">
        <f t="shared" ca="1" si="54"/>
        <v>0</v>
      </c>
      <c r="K124" s="362">
        <f t="shared" ca="1" si="55"/>
        <v>0</v>
      </c>
    </row>
    <row r="125" spans="2:11" ht="30">
      <c r="B125" s="508">
        <v>1</v>
      </c>
      <c r="C125" s="109" t="s">
        <v>1197</v>
      </c>
      <c r="D125" s="358" t="str">
        <f ca="1">IF(ISERROR(OFFSET('HARGA SATUAN'!$D$6,MATCH(RAB!C125,'HARGA SATUAN'!$C$7:$C$1492,0),0)),"",OFFSET('HARGA SATUAN'!$D$6,MATCH(RAB!C125,'HARGA SATUAN'!$C$7:$C$1492,0),0))</f>
        <v>MDU-KD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511">
        <f>F124*1</f>
        <v>1</v>
      </c>
      <c r="G125" s="360">
        <f ca="1">IF(ISERROR(OFFSET('HARGA SATUAN'!$I$6,MATCH(RAB!C125,'HARGA SATUAN'!$C$7:$C$1492,0),0)),0,OFFSET('HARGA SATUAN'!$I$6,MATCH(RAB!C125,'HARGA SATUAN'!$C$7:$C$1492,0),0))</f>
        <v>1427400</v>
      </c>
      <c r="H125" s="361">
        <f t="shared" ca="1" si="52"/>
        <v>1427400</v>
      </c>
      <c r="I125" s="361">
        <f t="shared" ca="1" si="53"/>
        <v>0</v>
      </c>
      <c r="J125" s="361">
        <f t="shared" ca="1" si="54"/>
        <v>0</v>
      </c>
      <c r="K125" s="362">
        <f t="shared" ca="1" si="55"/>
        <v>1427400</v>
      </c>
    </row>
    <row r="126" spans="2:11">
      <c r="B126" s="508">
        <v>2</v>
      </c>
      <c r="C126" s="510" t="s">
        <v>514</v>
      </c>
      <c r="D126" s="358" t="str">
        <f ca="1">IF(ISERROR(OFFSET('HARGA SATUAN'!$D$6,MATCH(RAB!C126,'HARGA SATUAN'!$C$7:$C$1492,0),0)),"",OFFSET('HARGA SATUAN'!$D$6,MATCH(RAB!C126,'HARGA SATUAN'!$C$7:$C$1492,0),0))</f>
        <v>MDU-KD</v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511">
        <f>F124*1</f>
        <v>1</v>
      </c>
      <c r="G126" s="360">
        <f ca="1">IF(ISERROR(OFFSET('HARGA SATUAN'!$I$6,MATCH(RAB!C126,'HARGA SATUAN'!$C$7:$C$1492,0),0)),0,OFFSET('HARGA SATUAN'!$I$6,MATCH(RAB!C126,'HARGA SATUAN'!$C$7:$C$1492,0),0))</f>
        <v>3564900</v>
      </c>
      <c r="H126" s="361">
        <f t="shared" ca="1" si="52"/>
        <v>3564900</v>
      </c>
      <c r="I126" s="361">
        <f t="shared" ca="1" si="53"/>
        <v>0</v>
      </c>
      <c r="J126" s="361">
        <f t="shared" ca="1" si="54"/>
        <v>0</v>
      </c>
      <c r="K126" s="362">
        <f t="shared" ca="1" si="55"/>
        <v>3564900</v>
      </c>
    </row>
    <row r="127" spans="2:11">
      <c r="B127" s="508">
        <v>3</v>
      </c>
      <c r="C127" s="510" t="s">
        <v>1142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Unit</v>
      </c>
      <c r="F127" s="511">
        <f>F124*1</f>
        <v>1</v>
      </c>
      <c r="G127" s="360">
        <f ca="1">IF(ISERROR(OFFSET('HARGA SATUAN'!$I$6,MATCH(RAB!C127,'HARGA SATUAN'!$C$7:$C$1492,0),0)),0,OFFSET('HARGA SATUAN'!$I$6,MATCH(RAB!C127,'HARGA SATUAN'!$C$7:$C$1492,0),0))</f>
        <v>1113900</v>
      </c>
      <c r="H127" s="361">
        <f t="shared" ca="1" si="52"/>
        <v>0</v>
      </c>
      <c r="I127" s="361">
        <f t="shared" ca="1" si="53"/>
        <v>1113900</v>
      </c>
      <c r="J127" s="361">
        <f t="shared" ca="1" si="54"/>
        <v>0</v>
      </c>
      <c r="K127" s="362">
        <f t="shared" ca="1" si="55"/>
        <v>1113900</v>
      </c>
    </row>
    <row r="128" spans="2:11">
      <c r="B128" s="508">
        <v>4</v>
      </c>
      <c r="C128" s="109" t="s">
        <v>78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Mtr</v>
      </c>
      <c r="F128" s="511">
        <v>50</v>
      </c>
      <c r="G128" s="360">
        <f ca="1">IF(ISERROR(OFFSET('HARGA SATUAN'!$I$6,MATCH(RAB!C128,'HARGA SATUAN'!$C$7:$C$1492,0),0)),0,OFFSET('HARGA SATUAN'!$I$6,MATCH(RAB!C128,'HARGA SATUAN'!$C$7:$C$1492,0),0))</f>
        <v>23600</v>
      </c>
      <c r="H128" s="361">
        <f t="shared" ca="1" si="52"/>
        <v>0</v>
      </c>
      <c r="I128" s="361">
        <f t="shared" ca="1" si="53"/>
        <v>1180000</v>
      </c>
      <c r="J128" s="361">
        <f t="shared" ca="1" si="54"/>
        <v>0</v>
      </c>
      <c r="K128" s="362">
        <f t="shared" ca="1" si="55"/>
        <v>1180000</v>
      </c>
    </row>
    <row r="129" spans="2:11">
      <c r="B129" s="508">
        <v>5</v>
      </c>
      <c r="C129" s="510" t="s">
        <v>799</v>
      </c>
      <c r="D129" s="358" t="str">
        <f ca="1">IF(ISERROR(OFFSET('HARGA SATUAN'!$D$6,MATCH(RAB!C129,'HARGA SATUAN'!$C$7:$C$1492,0),0)),"",OFFSET('HARGA SATUAN'!$D$6,MATCH(RAB!C129,'HARGA SATUAN'!$C$7:$C$1492,0),0))</f>
        <v>JASA</v>
      </c>
      <c r="E129" s="359" t="str">
        <f ca="1">IF(B129="+","Unit",IF(ISERROR(OFFSET('HARGA SATUAN'!$E$6,MATCH(RAB!C129,'HARGA SATUAN'!$C$7:$C$1492,0),0)),"",OFFSET('HARGA SATUAN'!$E$6,MATCH(RAB!C129,'HARGA SATUAN'!$C$7:$C$1492,0),0)))</f>
        <v>Unit</v>
      </c>
      <c r="F129" s="511">
        <f>F124*1</f>
        <v>1</v>
      </c>
      <c r="G129" s="360">
        <f ca="1">IF(ISERROR(OFFSET('HARGA SATUAN'!$I$6,MATCH(RAB!C129,'HARGA SATUAN'!$C$7:$C$1492,0),0)),0,OFFSET('HARGA SATUAN'!$I$6,MATCH(RAB!C129,'HARGA SATUAN'!$C$7:$C$1492,0),0))</f>
        <v>106400</v>
      </c>
      <c r="H129" s="361">
        <f t="shared" ca="1" si="52"/>
        <v>0</v>
      </c>
      <c r="I129" s="361">
        <f t="shared" ca="1" si="53"/>
        <v>0</v>
      </c>
      <c r="J129" s="361">
        <f t="shared" ca="1" si="54"/>
        <v>106400</v>
      </c>
      <c r="K129" s="362">
        <f t="shared" ca="1" si="55"/>
        <v>106400</v>
      </c>
    </row>
    <row r="130" spans="2:11">
      <c r="B130" s="374">
        <v>6</v>
      </c>
      <c r="C130" s="510" t="s">
        <v>982</v>
      </c>
      <c r="D130" s="358" t="str">
        <f ca="1">IF(ISERROR(OFFSET('HARGA SATUAN'!$D$6,MATCH(RAB!C130,'HARGA SATUAN'!$C$7:$C$1492,0),0)),"",OFFSET('HARGA SATUAN'!$D$6,MATCH(RAB!C130,'HARGA SATUAN'!$C$7:$C$1492,0),0))</f>
        <v>JASA</v>
      </c>
      <c r="E130" s="359" t="str">
        <f ca="1">IF(B130="+","Unit",IF(ISERROR(OFFSET('HARGA SATUAN'!$E$6,MATCH(RAB!C130,'HARGA SATUAN'!$C$7:$C$1492,0),0)),"",OFFSET('HARGA SATUAN'!$E$6,MATCH(RAB!C130,'HARGA SATUAN'!$C$7:$C$1492,0),0)))</f>
        <v>Unit</v>
      </c>
      <c r="F130" s="368">
        <v>1</v>
      </c>
      <c r="G130" s="360">
        <f ca="1">IF(ISERROR(OFFSET('HARGA SATUAN'!$I$6,MATCH(RAB!C130,'HARGA SATUAN'!$C$7:$C$1492,0),0)),0,OFFSET('HARGA SATUAN'!$I$6,MATCH(RAB!C130,'HARGA SATUAN'!$C$7:$C$1492,0),0))</f>
        <v>63840</v>
      </c>
      <c r="H130" s="361">
        <f t="shared" ca="1" si="52"/>
        <v>0</v>
      </c>
      <c r="I130" s="361">
        <f t="shared" ca="1" si="53"/>
        <v>0</v>
      </c>
      <c r="J130" s="361">
        <f t="shared" ca="1" si="54"/>
        <v>63840</v>
      </c>
      <c r="K130" s="362">
        <f t="shared" ca="1" si="55"/>
        <v>63840</v>
      </c>
    </row>
    <row r="131" spans="2:11">
      <c r="B131" s="374"/>
      <c r="C131" s="510"/>
      <c r="D131" s="358" t="str">
        <f ca="1">IF(ISERROR(OFFSET('HARGA SATUAN'!$D$6,MATCH(RAB!C131,'HARGA SATUAN'!$C$7:$C$1492,0),0)),"",OFFSET('HARGA SATUAN'!$D$6,MATCH(RAB!C131,'HARGA SATUAN'!$C$7:$C$1492,0),0))</f>
        <v/>
      </c>
      <c r="E131" s="359" t="str">
        <f ca="1">IF(B131="+","Unit",IF(ISERROR(OFFSET('HARGA SATUAN'!$E$6,MATCH(RAB!C131,'HARGA SATUAN'!$C$7:$C$1492,0),0)),"",OFFSET('HARGA SATUAN'!$E$6,MATCH(RAB!C131,'HARGA SATUAN'!$C$7:$C$1492,0),0)))</f>
        <v/>
      </c>
      <c r="F131" s="368"/>
      <c r="G131" s="360">
        <f ca="1">IF(ISERROR(OFFSET('HARGA SATUAN'!$I$6,MATCH(RAB!C131,'HARGA SATUAN'!$C$7:$C$1492,0),0)),0,OFFSET('HARGA SATUAN'!$I$6,MATCH(RAB!C131,'HARGA SATUAN'!$C$7:$C$1492,0),0))</f>
        <v>0</v>
      </c>
      <c r="H131" s="361">
        <f t="shared" ref="H131:H150" ca="1" si="56">IF(OR(D131="MDU",D131="MDU-KD"),(IF($O$3="RAB NON MDU","PLN KD",G131*F131)),0)</f>
        <v>0</v>
      </c>
      <c r="I131" s="361">
        <f t="shared" ref="I131:I150" ca="1" si="57">IF(D131="HDW",G131*F131,0)</f>
        <v>0</v>
      </c>
      <c r="J131" s="361">
        <f t="shared" ref="J131:J150" ca="1" si="58">IF(D131="JASA",G131*F131,0)</f>
        <v>0</v>
      </c>
      <c r="K131" s="362">
        <f t="shared" ref="K131:K150" ca="1" si="59">SUM(H131:J131)</f>
        <v>0</v>
      </c>
    </row>
    <row r="132" spans="2:11">
      <c r="B132" s="512" t="s">
        <v>1035</v>
      </c>
      <c r="C132" s="523" t="s">
        <v>1635</v>
      </c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>Unit</v>
      </c>
      <c r="F132" s="520">
        <v>1</v>
      </c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56"/>
        <v>0</v>
      </c>
      <c r="I132" s="361">
        <f t="shared" ca="1" si="57"/>
        <v>0</v>
      </c>
      <c r="J132" s="361">
        <f t="shared" ca="1" si="58"/>
        <v>0</v>
      </c>
      <c r="K132" s="362">
        <f t="shared" ca="1" si="59"/>
        <v>0</v>
      </c>
    </row>
    <row r="133" spans="2:11">
      <c r="B133" s="512">
        <v>1</v>
      </c>
      <c r="C133" s="523" t="s">
        <v>115</v>
      </c>
      <c r="D133" s="358" t="str">
        <f ca="1">IF(ISERROR(OFFSET('HARGA SATUAN'!$D$6,MATCH(RAB!C133,'HARGA SATUAN'!$C$7:$C$1492,0),0)),"",OFFSET('HARGA SATUAN'!$D$6,MATCH(RAB!C133,'HARGA SATUAN'!$C$7:$C$1492,0),0))</f>
        <v>HDW</v>
      </c>
      <c r="E133" s="359" t="str">
        <f ca="1">IF(B133="+","Unit",IF(ISERROR(OFFSET('HARGA SATUAN'!$E$6,MATCH(RAB!C133,'HARGA SATUAN'!$C$7:$C$1492,0),0)),"",OFFSET('HARGA SATUAN'!$E$6,MATCH(RAB!C133,'HARGA SATUAN'!$C$7:$C$1492,0),0)))</f>
        <v>Set</v>
      </c>
      <c r="F133" s="520">
        <f>F132*1</f>
        <v>1</v>
      </c>
      <c r="G133" s="360">
        <f ca="1">IF(ISERROR(OFFSET('HARGA SATUAN'!$I$6,MATCH(RAB!C133,'HARGA SATUAN'!$C$7:$C$1492,0),0)),0,OFFSET('HARGA SATUAN'!$I$6,MATCH(RAB!C133,'HARGA SATUAN'!$C$7:$C$1492,0),0))</f>
        <v>11500</v>
      </c>
      <c r="H133" s="361">
        <f t="shared" ca="1" si="56"/>
        <v>0</v>
      </c>
      <c r="I133" s="361">
        <f t="shared" ca="1" si="57"/>
        <v>11500</v>
      </c>
      <c r="J133" s="361">
        <f t="shared" ca="1" si="58"/>
        <v>0</v>
      </c>
      <c r="K133" s="362">
        <f t="shared" ca="1" si="59"/>
        <v>11500</v>
      </c>
    </row>
    <row r="134" spans="2:11">
      <c r="B134" s="512">
        <v>2</v>
      </c>
      <c r="C134" s="523" t="s">
        <v>145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Set</v>
      </c>
      <c r="F134" s="520">
        <f>F132*1</f>
        <v>1</v>
      </c>
      <c r="G134" s="360">
        <f ca="1">IF(ISERROR(OFFSET('HARGA SATUAN'!$I$6,MATCH(RAB!C134,'HARGA SATUAN'!$C$7:$C$1492,0),0)),0,OFFSET('HARGA SATUAN'!$I$6,MATCH(RAB!C134,'HARGA SATUAN'!$C$7:$C$1492,0),0))</f>
        <v>6200</v>
      </c>
      <c r="H134" s="361">
        <f t="shared" ca="1" si="56"/>
        <v>0</v>
      </c>
      <c r="I134" s="361">
        <f t="shared" ca="1" si="57"/>
        <v>6200</v>
      </c>
      <c r="J134" s="361">
        <f t="shared" ca="1" si="58"/>
        <v>0</v>
      </c>
      <c r="K134" s="362">
        <f t="shared" ca="1" si="59"/>
        <v>6200</v>
      </c>
    </row>
    <row r="135" spans="2:11">
      <c r="B135" s="512">
        <v>3</v>
      </c>
      <c r="C135" s="523" t="s">
        <v>587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Btg</v>
      </c>
      <c r="F135" s="520">
        <f>F132*1</f>
        <v>1</v>
      </c>
      <c r="G135" s="360">
        <f ca="1">IF(ISERROR(OFFSET('HARGA SATUAN'!$I$6,MATCH(RAB!C135,'HARGA SATUAN'!$C$7:$C$1492,0),0)),0,OFFSET('HARGA SATUAN'!$I$6,MATCH(RAB!C135,'HARGA SATUAN'!$C$7:$C$1492,0),0))</f>
        <v>45796</v>
      </c>
      <c r="H135" s="361">
        <f t="shared" ca="1" si="56"/>
        <v>0</v>
      </c>
      <c r="I135" s="361">
        <f t="shared" ca="1" si="57"/>
        <v>45796</v>
      </c>
      <c r="J135" s="361">
        <f t="shared" ca="1" si="58"/>
        <v>0</v>
      </c>
      <c r="K135" s="362">
        <f t="shared" ca="1" si="59"/>
        <v>45796</v>
      </c>
    </row>
    <row r="136" spans="2:11">
      <c r="B136" s="512">
        <v>4</v>
      </c>
      <c r="C136" s="523" t="s">
        <v>118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Set</v>
      </c>
      <c r="F136" s="520">
        <f>F132*1</f>
        <v>1</v>
      </c>
      <c r="G136" s="360">
        <f ca="1">IF(ISERROR(OFFSET('HARGA SATUAN'!$I$6,MATCH(RAB!C136,'HARGA SATUAN'!$C$7:$C$1492,0),0)),0,OFFSET('HARGA SATUAN'!$I$6,MATCH(RAB!C136,'HARGA SATUAN'!$C$7:$C$1492,0),0))</f>
        <v>5300</v>
      </c>
      <c r="H136" s="361">
        <f t="shared" ca="1" si="56"/>
        <v>0</v>
      </c>
      <c r="I136" s="361">
        <f t="shared" ca="1" si="57"/>
        <v>5300</v>
      </c>
      <c r="J136" s="361">
        <f t="shared" ca="1" si="58"/>
        <v>0</v>
      </c>
      <c r="K136" s="362">
        <f t="shared" ca="1" si="59"/>
        <v>5300</v>
      </c>
    </row>
    <row r="137" spans="2:11">
      <c r="B137" s="512">
        <v>5</v>
      </c>
      <c r="C137" s="523" t="s">
        <v>117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520">
        <f>F132*1</f>
        <v>1</v>
      </c>
      <c r="G137" s="360">
        <f ca="1">IF(ISERROR(OFFSET('HARGA SATUAN'!$I$6,MATCH(RAB!C137,'HARGA SATUAN'!$C$7:$C$1492,0),0)),0,OFFSET('HARGA SATUAN'!$I$6,MATCH(RAB!C137,'HARGA SATUAN'!$C$7:$C$1492,0),0))</f>
        <v>58600</v>
      </c>
      <c r="H137" s="361">
        <f t="shared" ca="1" si="56"/>
        <v>0</v>
      </c>
      <c r="I137" s="361">
        <f t="shared" ca="1" si="57"/>
        <v>58600</v>
      </c>
      <c r="J137" s="361">
        <f t="shared" ca="1" si="58"/>
        <v>0</v>
      </c>
      <c r="K137" s="362">
        <f t="shared" ca="1" si="59"/>
        <v>58600</v>
      </c>
    </row>
    <row r="138" spans="2:11">
      <c r="B138" s="512">
        <v>6</v>
      </c>
      <c r="C138" s="109" t="s">
        <v>1155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Set</v>
      </c>
      <c r="F138" s="520">
        <f>F132*2</f>
        <v>2</v>
      </c>
      <c r="G138" s="360">
        <f ca="1">IF(ISERROR(OFFSET('HARGA SATUAN'!$I$6,MATCH(RAB!C138,'HARGA SATUAN'!$C$7:$C$1492,0),0)),0,OFFSET('HARGA SATUAN'!$I$6,MATCH(RAB!C138,'HARGA SATUAN'!$C$7:$C$1492,0),0))</f>
        <v>2900</v>
      </c>
      <c r="H138" s="361">
        <f t="shared" ca="1" si="56"/>
        <v>0</v>
      </c>
      <c r="I138" s="361">
        <f t="shared" ca="1" si="57"/>
        <v>5800</v>
      </c>
      <c r="J138" s="361">
        <f t="shared" ca="1" si="58"/>
        <v>0</v>
      </c>
      <c r="K138" s="362">
        <f t="shared" ca="1" si="59"/>
        <v>5800</v>
      </c>
    </row>
    <row r="139" spans="2:11">
      <c r="B139" s="512">
        <v>7</v>
      </c>
      <c r="C139" s="523" t="s">
        <v>119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Set</v>
      </c>
      <c r="F139" s="520">
        <f>F132*4</f>
        <v>4</v>
      </c>
      <c r="G139" s="360">
        <f ca="1">IF(ISERROR(OFFSET('HARGA SATUAN'!$I$6,MATCH(RAB!C139,'HARGA SATUAN'!$C$7:$C$1492,0),0)),0,OFFSET('HARGA SATUAN'!$I$6,MATCH(RAB!C139,'HARGA SATUAN'!$C$7:$C$1492,0),0))</f>
        <v>8900</v>
      </c>
      <c r="H139" s="361">
        <f t="shared" ca="1" si="56"/>
        <v>0</v>
      </c>
      <c r="I139" s="361">
        <f t="shared" ca="1" si="57"/>
        <v>35600</v>
      </c>
      <c r="J139" s="361">
        <f t="shared" ca="1" si="58"/>
        <v>0</v>
      </c>
      <c r="K139" s="362">
        <f t="shared" ca="1" si="59"/>
        <v>35600</v>
      </c>
    </row>
    <row r="140" spans="2:11">
      <c r="B140" s="374"/>
      <c r="C140" s="510"/>
      <c r="D140" s="358" t="str">
        <f ca="1">IF(ISERROR(OFFSET('HARGA SATUAN'!$D$6,MATCH(RAB!C140,'HARGA SATUAN'!$C$7:$C$1492,0),0)),"",OFFSET('HARGA SATUAN'!$D$6,MATCH(RAB!C140,'HARGA SATUAN'!$C$7:$C$1492,0),0))</f>
        <v/>
      </c>
      <c r="E140" s="359" t="str">
        <f ca="1">IF(B140="+","Unit",IF(ISERROR(OFFSET('HARGA SATUAN'!$E$6,MATCH(RAB!C140,'HARGA SATUAN'!$C$7:$C$1492,0),0)),"",OFFSET('HARGA SATUAN'!$E$6,MATCH(RAB!C140,'HARGA SATUAN'!$C$7:$C$1492,0),0)))</f>
        <v/>
      </c>
      <c r="F140" s="368"/>
      <c r="G140" s="360">
        <f ca="1">IF(ISERROR(OFFSET('HARGA SATUAN'!$I$6,MATCH(RAB!C140,'HARGA SATUAN'!$C$7:$C$1492,0),0)),0,OFFSET('HARGA SATUAN'!$I$6,MATCH(RAB!C140,'HARGA SATUAN'!$C$7:$C$1492,0),0))</f>
        <v>0</v>
      </c>
      <c r="H140" s="361">
        <f t="shared" ca="1" si="56"/>
        <v>0</v>
      </c>
      <c r="I140" s="361">
        <f t="shared" ca="1" si="57"/>
        <v>0</v>
      </c>
      <c r="J140" s="361">
        <f t="shared" ca="1" si="58"/>
        <v>0</v>
      </c>
      <c r="K140" s="362">
        <f t="shared" ca="1" si="59"/>
        <v>0</v>
      </c>
    </row>
    <row r="141" spans="2:11">
      <c r="B141" s="512" t="s">
        <v>1035</v>
      </c>
      <c r="C141" s="513" t="s">
        <v>1636</v>
      </c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>Unit</v>
      </c>
      <c r="F141" s="501">
        <v>1</v>
      </c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ca="1" si="56"/>
        <v>0</v>
      </c>
      <c r="I141" s="361">
        <f t="shared" ca="1" si="57"/>
        <v>0</v>
      </c>
      <c r="J141" s="361">
        <f t="shared" ca="1" si="58"/>
        <v>0</v>
      </c>
      <c r="K141" s="362">
        <f t="shared" ca="1" si="59"/>
        <v>0</v>
      </c>
    </row>
    <row r="142" spans="2:11">
      <c r="B142" s="512">
        <v>1</v>
      </c>
      <c r="C142" s="513" t="s">
        <v>29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501">
        <f>F141*1</f>
        <v>1</v>
      </c>
      <c r="G142" s="360">
        <f ca="1">IF(ISERROR(OFFSET('HARGA SATUAN'!$I$6,MATCH(RAB!C142,'HARGA SATUAN'!$C$7:$C$1492,0),0)),0,OFFSET('HARGA SATUAN'!$I$6,MATCH(RAB!C142,'HARGA SATUAN'!$C$7:$C$1492,0),0))</f>
        <v>185200</v>
      </c>
      <c r="H142" s="361">
        <f t="shared" ca="1" si="56"/>
        <v>0</v>
      </c>
      <c r="I142" s="361">
        <f t="shared" ca="1" si="57"/>
        <v>185200</v>
      </c>
      <c r="J142" s="361">
        <f t="shared" ca="1" si="58"/>
        <v>0</v>
      </c>
      <c r="K142" s="362">
        <f t="shared" ca="1" si="59"/>
        <v>185200</v>
      </c>
    </row>
    <row r="143" spans="2:11">
      <c r="B143" s="512">
        <v>2</v>
      </c>
      <c r="C143" s="513" t="s">
        <v>30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501">
        <f>F141*1</f>
        <v>1</v>
      </c>
      <c r="G143" s="360">
        <f ca="1">IF(ISERROR(OFFSET('HARGA SATUAN'!$I$6,MATCH(RAB!C143,'HARGA SATUAN'!$C$7:$C$1492,0),0)),0,OFFSET('HARGA SATUAN'!$I$6,MATCH(RAB!C143,'HARGA SATUAN'!$C$7:$C$1492,0),0))</f>
        <v>47459</v>
      </c>
      <c r="H143" s="361">
        <f t="shared" ca="1" si="56"/>
        <v>0</v>
      </c>
      <c r="I143" s="361">
        <f t="shared" ca="1" si="57"/>
        <v>47459</v>
      </c>
      <c r="J143" s="361">
        <f t="shared" ca="1" si="58"/>
        <v>0</v>
      </c>
      <c r="K143" s="362">
        <f t="shared" ca="1" si="59"/>
        <v>47459</v>
      </c>
    </row>
    <row r="144" spans="2:11">
      <c r="B144" s="512">
        <v>3</v>
      </c>
      <c r="C144" s="513" t="s">
        <v>32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Mtr</v>
      </c>
      <c r="F144" s="501">
        <f>F141*1.5</f>
        <v>1.5</v>
      </c>
      <c r="G144" s="360">
        <f ca="1">IF(ISERROR(OFFSET('HARGA SATUAN'!$I$6,MATCH(RAB!C144,'HARGA SATUAN'!$C$7:$C$1492,0),0)),0,OFFSET('HARGA SATUAN'!$I$6,MATCH(RAB!C144,'HARGA SATUAN'!$C$7:$C$1492,0),0))</f>
        <v>30000</v>
      </c>
      <c r="H144" s="361">
        <f t="shared" ca="1" si="56"/>
        <v>0</v>
      </c>
      <c r="I144" s="361">
        <f t="shared" ca="1" si="57"/>
        <v>45000</v>
      </c>
      <c r="J144" s="361">
        <f t="shared" ca="1" si="58"/>
        <v>0</v>
      </c>
      <c r="K144" s="362">
        <f t="shared" ca="1" si="59"/>
        <v>45000</v>
      </c>
    </row>
    <row r="145" spans="2:13">
      <c r="B145" s="512">
        <v>4</v>
      </c>
      <c r="C145" s="513" t="s">
        <v>33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501">
        <f>F141*2</f>
        <v>2</v>
      </c>
      <c r="G145" s="360">
        <f ca="1">IF(ISERROR(OFFSET('HARGA SATUAN'!$I$6,MATCH(RAB!C145,'HARGA SATUAN'!$C$7:$C$1492,0),0)),0,OFFSET('HARGA SATUAN'!$I$6,MATCH(RAB!C145,'HARGA SATUAN'!$C$7:$C$1492,0),0))</f>
        <v>9500</v>
      </c>
      <c r="H145" s="361">
        <f t="shared" ca="1" si="56"/>
        <v>0</v>
      </c>
      <c r="I145" s="361">
        <f t="shared" ca="1" si="57"/>
        <v>19000</v>
      </c>
      <c r="J145" s="361">
        <f t="shared" ca="1" si="58"/>
        <v>0</v>
      </c>
      <c r="K145" s="362">
        <f t="shared" ca="1" si="59"/>
        <v>19000</v>
      </c>
    </row>
    <row r="146" spans="2:13">
      <c r="B146" s="512">
        <v>5</v>
      </c>
      <c r="C146" s="513" t="s">
        <v>735</v>
      </c>
      <c r="D146" s="358" t="str">
        <f ca="1">IF(ISERROR(OFFSET('HARGA SATUAN'!$D$6,MATCH(RAB!C146,'HARGA SATUAN'!$C$7:$C$1492,0),0)),"",OFFSET('HARGA SATUAN'!$D$6,MATCH(RAB!C146,'HARGA SATUAN'!$C$7:$C$1492,0),0))</f>
        <v>JASA</v>
      </c>
      <c r="E146" s="359" t="str">
        <f ca="1">IF(B146="+","Unit",IF(ISERROR(OFFSET('HARGA SATUAN'!$E$6,MATCH(RAB!C146,'HARGA SATUAN'!$C$7:$C$1492,0),0)),"",OFFSET('HARGA SATUAN'!$E$6,MATCH(RAB!C146,'HARGA SATUAN'!$C$7:$C$1492,0),0)))</f>
        <v>Unit</v>
      </c>
      <c r="F146" s="501">
        <f>F141*1</f>
        <v>1</v>
      </c>
      <c r="G146" s="360">
        <f ca="1">IF(ISERROR(OFFSET('HARGA SATUAN'!$I$6,MATCH(RAB!C146,'HARGA SATUAN'!$C$7:$C$1492,0),0)),0,OFFSET('HARGA SATUAN'!$I$6,MATCH(RAB!C146,'HARGA SATUAN'!$C$7:$C$1492,0),0))</f>
        <v>56400</v>
      </c>
      <c r="H146" s="361">
        <f t="shared" ca="1" si="56"/>
        <v>0</v>
      </c>
      <c r="I146" s="361">
        <f t="shared" ca="1" si="57"/>
        <v>0</v>
      </c>
      <c r="J146" s="361">
        <f t="shared" ca="1" si="58"/>
        <v>56400</v>
      </c>
      <c r="K146" s="362">
        <f t="shared" ca="1" si="59"/>
        <v>56400</v>
      </c>
    </row>
    <row r="147" spans="2:13">
      <c r="B147" s="374"/>
      <c r="C147" s="510"/>
      <c r="D147" s="358" t="str">
        <f ca="1">IF(ISERROR(OFFSET('HARGA SATUAN'!$D$6,MATCH(RAB!C147,'HARGA SATUAN'!$C$7:$C$1492,0),0)),"",OFFSET('HARGA SATUAN'!$D$6,MATCH(RAB!C147,'HARGA SATUAN'!$C$7:$C$1492,0),0))</f>
        <v/>
      </c>
      <c r="E147" s="359" t="str">
        <f ca="1">IF(B147="+","Unit",IF(ISERROR(OFFSET('HARGA SATUAN'!$E$6,MATCH(RAB!C147,'HARGA SATUAN'!$C$7:$C$1492,0),0)),"",OFFSET('HARGA SATUAN'!$E$6,MATCH(RAB!C147,'HARGA SATUAN'!$C$7:$C$1492,0),0)))</f>
        <v/>
      </c>
      <c r="F147" s="368"/>
      <c r="G147" s="360">
        <f ca="1">IF(ISERROR(OFFSET('HARGA SATUAN'!$I$6,MATCH(RAB!C147,'HARGA SATUAN'!$C$7:$C$1492,0),0)),0,OFFSET('HARGA SATUAN'!$I$6,MATCH(RAB!C147,'HARGA SATUAN'!$C$7:$C$1492,0),0))</f>
        <v>0</v>
      </c>
      <c r="H147" s="361">
        <f t="shared" ca="1" si="56"/>
        <v>0</v>
      </c>
      <c r="I147" s="361">
        <f t="shared" ca="1" si="57"/>
        <v>0</v>
      </c>
      <c r="J147" s="361">
        <f t="shared" ca="1" si="58"/>
        <v>0</v>
      </c>
      <c r="K147" s="362">
        <f t="shared" ca="1" si="59"/>
        <v>0</v>
      </c>
    </row>
    <row r="148" spans="2:13">
      <c r="B148" s="366" t="s">
        <v>22</v>
      </c>
      <c r="C148" s="367" t="s">
        <v>1611</v>
      </c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/>
      </c>
      <c r="F148" s="368"/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ca="1" si="56"/>
        <v>0</v>
      </c>
      <c r="I148" s="361">
        <f t="shared" ca="1" si="57"/>
        <v>0</v>
      </c>
      <c r="J148" s="361">
        <f t="shared" ca="1" si="58"/>
        <v>0</v>
      </c>
      <c r="K148" s="362">
        <f t="shared" ca="1" si="59"/>
        <v>0</v>
      </c>
    </row>
    <row r="149" spans="2:13">
      <c r="B149" s="374"/>
      <c r="C149" s="373"/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368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ca="1" si="56"/>
        <v>0</v>
      </c>
      <c r="I149" s="361">
        <f t="shared" ca="1" si="57"/>
        <v>0</v>
      </c>
      <c r="J149" s="361">
        <f t="shared" ca="1" si="58"/>
        <v>0</v>
      </c>
      <c r="K149" s="362">
        <f t="shared" ca="1" si="59"/>
        <v>0</v>
      </c>
    </row>
    <row r="150" spans="2:13">
      <c r="B150" s="375"/>
      <c r="C150" s="376" t="s">
        <v>475</v>
      </c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/>
      </c>
      <c r="F150" s="368"/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ca="1" si="56"/>
        <v>0</v>
      </c>
      <c r="I150" s="361">
        <f t="shared" ca="1" si="57"/>
        <v>0</v>
      </c>
      <c r="J150" s="361">
        <f t="shared" ca="1" si="58"/>
        <v>0</v>
      </c>
      <c r="K150" s="362">
        <f t="shared" ca="1" si="59"/>
        <v>0</v>
      </c>
    </row>
    <row r="151" spans="2:13">
      <c r="B151" s="378">
        <v>1</v>
      </c>
      <c r="C151" s="379" t="s">
        <v>1091</v>
      </c>
      <c r="D151" s="380" t="str">
        <f ca="1">IF(ISERROR(OFFSET('HARGA SATUAN'!$D$6,MATCH(RAB!C151,'HARGA SATUAN'!$C$7:$C$1492,0),0)),"",OFFSET('HARGA SATUAN'!$D$6,MATCH(RAB!C151,'HARGA SATUAN'!$C$7:$C$1492,0),0))</f>
        <v>JASA</v>
      </c>
      <c r="E151" s="381" t="str">
        <f ca="1">IF(ISERROR(OFFSET('HARGA SATUAN'!$E$6,MATCH(RAB!C151,'HARGA SATUAN'!$C$7:$C$1492,0),0)),"",OFFSET('HARGA SATUAN'!$E$6,MATCH(RAB!C151,'HARGA SATUAN'!$C$7:$C$1492,0),0))</f>
        <v>Lot</v>
      </c>
      <c r="F151" s="382">
        <v>1</v>
      </c>
      <c r="G151" s="383">
        <f ca="1">IF(ISERROR(OFFSET('HARGA SATUAN'!$I$6,MATCH(RAB!C151,'HARGA SATUAN'!$C$7:$C$1492,0),0)),0,OFFSET('HARGA SATUAN'!$I$6,MATCH(RAB!C151,'HARGA SATUAN'!$C$7:$C$1492,0),0))</f>
        <v>2.5000000000000001E-2</v>
      </c>
      <c r="H151" s="384"/>
      <c r="I151" s="384"/>
      <c r="J151" s="384">
        <f ca="1">SUM(K15:K22)*G151</f>
        <v>489518.33333333331</v>
      </c>
      <c r="K151" s="385">
        <f ca="1">SUM(H151:J151)</f>
        <v>489518.33333333331</v>
      </c>
    </row>
    <row r="152" spans="2:13">
      <c r="B152" s="386"/>
      <c r="C152" s="387"/>
      <c r="D152" s="358" t="str">
        <f ca="1">IF(ISERROR(OFFSET('HARGA SATUAN'!$D$6,MATCH(RAB!C152,'HARGA SATUAN'!$C$7:$C$1492,0),0)),"",OFFSET('HARGA SATUAN'!$D$6,MATCH(RAB!C152,'HARGA SATUAN'!$C$7:$C$1492,0),0))</f>
        <v/>
      </c>
      <c r="E152" s="359" t="str">
        <f ca="1">IF(ISERROR(OFFSET('HARGA SATUAN'!$E$6,MATCH(RAB!C152,'HARGA SATUAN'!$C$7:$C$1492,0),0)),"",OFFSET('HARGA SATUAN'!$E$6,MATCH(RAB!C152,'HARGA SATUAN'!$C$7:$C$1492,0),0))</f>
        <v/>
      </c>
      <c r="F152" s="377"/>
      <c r="G152" s="360" t="str">
        <f ca="1">IF(ISERROR(OFFSET('HARGA SATUAN'!$I$6,MATCH(RAB!C152,'HARGA SATUAN'!$C$7:$C$1492,0),0)),"",OFFSET('HARGA SATUAN'!$I$6,MATCH(RAB!C152,'HARGA SATUAN'!$C$7:$C$1492,0),0))</f>
        <v/>
      </c>
      <c r="H152" s="361">
        <f ca="1">IF(OR(D152="MDU",D152="MDU-KD"),IF(G152="PLN",0,G152*F152),0)</f>
        <v>0</v>
      </c>
      <c r="I152" s="361">
        <f ca="1">IF(D152="HDW",IF(G152="PLN",0,G152*F152),0)</f>
        <v>0</v>
      </c>
      <c r="J152" s="361">
        <f ca="1">IF(D152="JASA",IF(G152="PLN",0,G152*F152),0)</f>
        <v>0</v>
      </c>
      <c r="K152" s="362">
        <f ca="1">SUM(H152:J152)</f>
        <v>0</v>
      </c>
    </row>
    <row r="153" spans="2:13" ht="15.75" thickBot="1">
      <c r="B153" s="388"/>
      <c r="C153" s="389"/>
      <c r="D153" s="390"/>
      <c r="E153" s="391"/>
      <c r="F153" s="391"/>
      <c r="G153" s="391"/>
      <c r="H153" s="392"/>
      <c r="I153" s="392"/>
      <c r="J153" s="392"/>
      <c r="K153" s="393"/>
    </row>
    <row r="154" spans="2:13">
      <c r="B154" s="394"/>
      <c r="C154" s="642" t="s">
        <v>1008</v>
      </c>
      <c r="D154" s="642"/>
      <c r="E154" s="642"/>
      <c r="F154" s="642"/>
      <c r="G154" s="395" t="s">
        <v>9</v>
      </c>
      <c r="H154" s="396">
        <f ca="1">SUM(H14:H152)</f>
        <v>58875390</v>
      </c>
      <c r="I154" s="396">
        <f ca="1">SUM(I14:I152)</f>
        <v>32544914.239999998</v>
      </c>
      <c r="J154" s="396">
        <f ca="1">SUM(J14:J152)</f>
        <v>2811411.666666667</v>
      </c>
      <c r="K154" s="396">
        <f ca="1">SUM(K14:K152)</f>
        <v>94231715.906666651</v>
      </c>
    </row>
    <row r="155" spans="2:13">
      <c r="B155" s="398"/>
      <c r="C155" s="625" t="s">
        <v>1457</v>
      </c>
      <c r="D155" s="625"/>
      <c r="E155" s="625"/>
      <c r="F155" s="625"/>
      <c r="G155" s="399" t="s">
        <v>9</v>
      </c>
      <c r="H155" s="400">
        <f ca="1">H154*0.11</f>
        <v>6476292.9000000004</v>
      </c>
      <c r="I155" s="400">
        <f ca="1">I154*0.11</f>
        <v>3579940.5663999999</v>
      </c>
      <c r="J155" s="400">
        <f ca="1">J154*0.11</f>
        <v>309255.28333333338</v>
      </c>
      <c r="K155" s="400">
        <f ca="1">K154*0.11</f>
        <v>10365488.749733333</v>
      </c>
    </row>
    <row r="156" spans="2:13" ht="15.75" thickBot="1">
      <c r="B156" s="398"/>
      <c r="C156" s="623" t="s">
        <v>463</v>
      </c>
      <c r="D156" s="623"/>
      <c r="E156" s="623"/>
      <c r="F156" s="623"/>
      <c r="G156" s="401" t="s">
        <v>9</v>
      </c>
      <c r="H156" s="402">
        <f ca="1">SUM(H154:H155)</f>
        <v>65351682.899999999</v>
      </c>
      <c r="I156" s="402">
        <f ca="1">SUM(I154:I155)</f>
        <v>36124854.806400001</v>
      </c>
      <c r="J156" s="401">
        <f ca="1">SUM(J154:J155)</f>
        <v>3120666.95</v>
      </c>
      <c r="K156" s="401">
        <f ca="1">SUM(K154:K155)</f>
        <v>104597204.65639998</v>
      </c>
      <c r="M156" s="484"/>
    </row>
    <row r="157" spans="2:13">
      <c r="B157" s="626" t="str">
        <f ca="1">"Terbilang : "&amp;PROPER(IF(K156=0,"nol",IF(K156&lt;0,"minus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IF(--MID(TEXT(ABS(K156),"000000000000000"),1,3)=0,"",MID(TEXT(ABS(K156),"000000000000000"),1,1)&amp;" ratus "&amp;MID(TEXT(ABS(K156),"000000000000000"),2,1)&amp;" puluh "&amp;MID(TEXT(ABS(K156),"000000000000000"),3,1)&amp;" trilyun ")&amp; IF(--MID(TEXT(ABS(K156),"000000000000000"),4,3)=0,"",MID(TEXT(ABS(K156),"000000000000000"),4,1)&amp;" ratus "&amp;MID(TEXT(ABS(K156),"000000000000000"),5,1)&amp;" puluh "&amp;MID(TEXT(ABS(K156),"000000000000000"),6,1)&amp;" milyar ")&amp; IF(--MID(TEXT(ABS(K156),"000000000000000"),7,3)=0,"",MID(TEXT(ABS(K156),"000000000000000"),7,1)&amp;" ratus "&amp;MID(TEXT(ABS(K156),"000000000000000"),8,1)&amp;" puluh "&amp;MID(TEXT(ABS(K156),"000000000000000"),9,1)&amp;" juta ")&amp; IF(--MID(TEXT(ABS(K156),"000000000000000"),10,3)=0,"",IF(--MID(TEXT(ABS(K156),"000000000000000"),10,3)=1,"*",MID(TEXT(ABS(K156),"000000000000000"),10,1)&amp;" ratus "&amp;MID(TEXT(ABS(K156),"000000000000000"),11,1)&amp;" puluh ")&amp;MID(TEXT(ABS(K156),"000000000000000"),12,1)&amp;" ribu ")&amp; IF(--MID(TEXT(ABS(K156),"000000000000000"),13,3)=0,"",MID(TEXT(ABS(K156),"000000000000000"),13,1)&amp;" ratus "&amp;MID(TEXT(ABS(K156),"000000000000000"),14,1)&amp;" puluh "&amp;MID(TEXT(ABS(K156),"000000000000000"),15,1)),1,"satu"),2,"dua"),3,"tiga"),4,"empat"),5,"lima"),6,"enam"),7,"tujuh"),8,"delapan"),9,"sembilan"),"0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Juta Lima Ratus Sembilan Puluh Tujuh Ribu Dua Ratus Lima Rupiah</v>
      </c>
      <c r="C157" s="627"/>
      <c r="D157" s="627"/>
      <c r="E157" s="627"/>
      <c r="F157" s="627"/>
      <c r="G157" s="627"/>
      <c r="H157" s="627"/>
      <c r="I157" s="627"/>
      <c r="J157" s="627"/>
      <c r="K157" s="628"/>
    </row>
    <row r="158" spans="2:13">
      <c r="B158" s="629"/>
      <c r="C158" s="630"/>
      <c r="D158" s="630"/>
      <c r="E158" s="630"/>
      <c r="F158" s="630"/>
      <c r="G158" s="630"/>
      <c r="H158" s="630"/>
      <c r="I158" s="630"/>
      <c r="J158" s="630"/>
      <c r="K158" s="631"/>
    </row>
    <row r="159" spans="2:13" ht="15.75" thickBot="1">
      <c r="B159" s="403" t="str">
        <f>"Harga yang dipakai adalah "&amp;'HARGA SATUAN'!I5&amp;""</f>
        <v>Harga yang dipakai adalah RAB HSS 2023</v>
      </c>
      <c r="C159" s="404"/>
      <c r="D159" s="405"/>
      <c r="E159" s="405"/>
      <c r="F159" s="405"/>
      <c r="G159" s="406"/>
      <c r="H159" s="406"/>
      <c r="I159" s="406"/>
      <c r="J159" s="406"/>
      <c r="K159" s="407"/>
    </row>
    <row r="160" spans="2:13">
      <c r="C160" s="408"/>
      <c r="E160" s="410"/>
      <c r="F160" s="410"/>
      <c r="G160" s="410"/>
    </row>
    <row r="161" spans="3:11">
      <c r="C161" s="337"/>
      <c r="E161" s="410"/>
      <c r="F161" s="410"/>
      <c r="G161" s="410"/>
      <c r="H161" s="632"/>
      <c r="I161" s="632"/>
      <c r="J161" s="633"/>
      <c r="K161" s="633"/>
    </row>
    <row r="162" spans="3:11">
      <c r="C162" s="337"/>
      <c r="E162" s="410"/>
      <c r="F162" s="410"/>
      <c r="G162" s="410"/>
      <c r="H162" s="411"/>
      <c r="I162" s="622" t="s">
        <v>1639</v>
      </c>
      <c r="J162" s="622"/>
      <c r="K162" s="622"/>
    </row>
    <row r="163" spans="3:11">
      <c r="C163" s="337"/>
      <c r="E163" s="410"/>
      <c r="F163" s="410"/>
      <c r="G163" s="410"/>
      <c r="H163" s="411"/>
      <c r="I163" s="622" t="s">
        <v>1640</v>
      </c>
      <c r="J163" s="622"/>
      <c r="K163" s="622"/>
    </row>
    <row r="164" spans="3:11" hidden="1">
      <c r="C164" s="337"/>
      <c r="E164" s="410"/>
      <c r="F164" s="410"/>
      <c r="G164" s="410"/>
      <c r="H164" s="412"/>
      <c r="I164" s="413"/>
      <c r="J164" s="413"/>
      <c r="K164" s="413"/>
    </row>
    <row r="165" spans="3:11" hidden="1">
      <c r="C165" s="337"/>
      <c r="E165" s="410"/>
      <c r="F165" s="410"/>
      <c r="G165" s="410"/>
      <c r="H165" s="412"/>
      <c r="I165" s="412"/>
      <c r="J165" s="412"/>
      <c r="K165" s="412"/>
    </row>
    <row r="166" spans="3:11">
      <c r="C166" s="337"/>
      <c r="E166" s="410"/>
      <c r="F166" s="410"/>
      <c r="G166" s="410"/>
      <c r="H166" s="412"/>
      <c r="I166" s="412"/>
      <c r="J166" s="412"/>
      <c r="K166" s="412"/>
    </row>
    <row r="167" spans="3:11">
      <c r="C167" s="337"/>
      <c r="E167" s="410"/>
      <c r="F167" s="410"/>
      <c r="G167" s="410"/>
      <c r="H167" s="412"/>
      <c r="I167" s="412"/>
      <c r="J167" s="412"/>
      <c r="K167" s="412"/>
    </row>
    <row r="168" spans="3:11">
      <c r="C168" s="337"/>
      <c r="E168" s="410"/>
      <c r="F168" s="410"/>
      <c r="G168" s="410"/>
      <c r="H168" s="414"/>
      <c r="I168" s="622" t="s">
        <v>1638</v>
      </c>
      <c r="J168" s="622"/>
      <c r="K168" s="622"/>
    </row>
    <row r="169" spans="3:11">
      <c r="C169" s="408"/>
      <c r="E169" s="410"/>
      <c r="F169" s="410"/>
      <c r="G169" s="410"/>
      <c r="H169" s="412"/>
      <c r="I169" s="412"/>
      <c r="J169" s="412"/>
      <c r="K169" s="412"/>
    </row>
    <row r="170" spans="3:11">
      <c r="C170" s="408"/>
      <c r="E170" s="410"/>
      <c r="F170" s="410"/>
      <c r="G170" s="410"/>
      <c r="H170" s="412"/>
      <c r="I170" s="412"/>
      <c r="J170" s="412"/>
      <c r="K170" s="412"/>
    </row>
    <row r="171" spans="3:11">
      <c r="C171" s="408"/>
      <c r="E171" s="410"/>
      <c r="F171" s="410"/>
      <c r="G171" s="410"/>
      <c r="H171" s="412"/>
      <c r="I171" s="412"/>
      <c r="J171" s="412"/>
      <c r="K171" s="412"/>
    </row>
  </sheetData>
  <sheetProtection sort="0" autoFilter="0"/>
  <protectedRanges>
    <protectedRange sqref="B149 B124:B140 B147" name="Range1_1"/>
    <protectedRange sqref="F123:F140 F14:F64 F66:F81 F87:F89 F147:F150" name="Range1_1_2_2"/>
    <protectedRange sqref="C149 C124:C127 C129:C140 C147" name="Range1_1_1"/>
    <protectedRange sqref="B99:C109 B92:C93 B98 B122:C123 B94 B91 B89:C90 B95:C97 B110:B111" name="Range1_6_2"/>
    <protectedRange sqref="C110:C111" name="Range1_1_3_2"/>
    <protectedRange sqref="C98" name="Range1_1_3_3"/>
    <protectedRange sqref="C94" name="Range1_1_3_10"/>
    <protectedRange sqref="C128" name="Range1_1_3_13"/>
    <protectedRange sqref="C17:C18" name="Range1_1_3_14"/>
    <protectedRange sqref="C25" name="Range1_1_3_15"/>
    <protectedRange sqref="C26" name="Range1_1_3_16"/>
    <protectedRange sqref="C19:C21" name="Range1_1_3"/>
    <protectedRange sqref="C91" name="Range1_1_3_1"/>
    <protectedRange sqref="C64" name="Range1_1_3_4"/>
    <protectedRange sqref="G65" name="Range1_3_7"/>
  </protectedRanges>
  <mergeCells count="22">
    <mergeCell ref="O3:P4"/>
    <mergeCell ref="B4:K4"/>
    <mergeCell ref="C154:F154"/>
    <mergeCell ref="B11:B13"/>
    <mergeCell ref="C11:C13"/>
    <mergeCell ref="D11:D13"/>
    <mergeCell ref="E11:E13"/>
    <mergeCell ref="F11:F13"/>
    <mergeCell ref="G11:G13"/>
    <mergeCell ref="I12:I13"/>
    <mergeCell ref="I163:K163"/>
    <mergeCell ref="I168:K168"/>
    <mergeCell ref="C156:F156"/>
    <mergeCell ref="G6:K6"/>
    <mergeCell ref="I162:K162"/>
    <mergeCell ref="C155:F155"/>
    <mergeCell ref="B157:K158"/>
    <mergeCell ref="H161:K161"/>
    <mergeCell ref="H11:K11"/>
    <mergeCell ref="H12:H13"/>
    <mergeCell ref="J12:J13"/>
    <mergeCell ref="K12:K13"/>
  </mergeCells>
  <phoneticPr fontId="137" type="noConversion"/>
  <conditionalFormatting sqref="C15">
    <cfRule type="cellIs" dxfId="18" priority="481" operator="equal">
      <formula>0</formula>
    </cfRule>
  </conditionalFormatting>
  <conditionalFormatting sqref="C17:C22">
    <cfRule type="cellIs" dxfId="17" priority="14" operator="equal">
      <formula>0</formula>
    </cfRule>
  </conditionalFormatting>
  <conditionalFormatting sqref="C25:C26">
    <cfRule type="cellIs" dxfId="16" priority="15" operator="equal">
      <formula>0</formula>
    </cfRule>
  </conditionalFormatting>
  <conditionalFormatting sqref="C40">
    <cfRule type="cellIs" dxfId="15" priority="12" operator="equal">
      <formula>0</formula>
    </cfRule>
  </conditionalFormatting>
  <conditionalFormatting sqref="C64">
    <cfRule type="cellIs" dxfId="14" priority="9" operator="equal">
      <formula>0</formula>
    </cfRule>
  </conditionalFormatting>
  <conditionalFormatting sqref="C88">
    <cfRule type="cellIs" dxfId="13" priority="106" operator="equal">
      <formula>0</formula>
    </cfRule>
  </conditionalFormatting>
  <conditionalFormatting sqref="C91">
    <cfRule type="cellIs" dxfId="12" priority="13" operator="equal">
      <formula>0</formula>
    </cfRule>
  </conditionalFormatting>
  <conditionalFormatting sqref="C94:C95">
    <cfRule type="cellIs" dxfId="11" priority="27" operator="equal">
      <formula>0</formula>
    </cfRule>
  </conditionalFormatting>
  <conditionalFormatting sqref="C98">
    <cfRule type="cellIs" dxfId="10" priority="28" operator="equal">
      <formula>0</formula>
    </cfRule>
  </conditionalFormatting>
  <conditionalFormatting sqref="C110:C111">
    <cfRule type="cellIs" dxfId="9" priority="22" operator="equal">
      <formula>0</formula>
    </cfRule>
  </conditionalFormatting>
  <conditionalFormatting sqref="C125">
    <cfRule type="cellIs" dxfId="8" priority="24" operator="equal">
      <formula>0</formula>
    </cfRule>
  </conditionalFormatting>
  <conditionalFormatting sqref="C128">
    <cfRule type="cellIs" dxfId="7" priority="21" operator="equal">
      <formula>0</formula>
    </cfRule>
  </conditionalFormatting>
  <conditionalFormatting sqref="C138">
    <cfRule type="cellIs" dxfId="6" priority="3" operator="equal">
      <formula>0</formula>
    </cfRule>
  </conditionalFormatting>
  <conditionalFormatting sqref="C148">
    <cfRule type="cellIs" dxfId="5" priority="104" operator="equal">
      <formula>0</formula>
    </cfRule>
  </conditionalFormatting>
  <conditionalFormatting sqref="C65:G65">
    <cfRule type="cellIs" dxfId="4" priority="7" operator="equal">
      <formula>0</formula>
    </cfRule>
  </conditionalFormatting>
  <conditionalFormatting sqref="E1:E3 G1:G13 E5:E13 H12:I12 O13 S14:V22 H65:K65 E151:G151 H151:K153 E152:H152 E153:F153">
    <cfRule type="cellIs" dxfId="3" priority="1061" stopIfTrue="1" operator="equal">
      <formula>0</formula>
    </cfRule>
  </conditionalFormatting>
  <conditionalFormatting sqref="E14:K64">
    <cfRule type="cellIs" dxfId="2" priority="10" stopIfTrue="1" operator="equal">
      <formula>0</formula>
    </cfRule>
  </conditionalFormatting>
  <conditionalFormatting sqref="E66:K150">
    <cfRule type="cellIs" dxfId="1" priority="1" stopIfTrue="1" operator="equal">
      <formula>0</formula>
    </cfRule>
  </conditionalFormatting>
  <conditionalFormatting sqref="G152:G65618 E157:E65618">
    <cfRule type="cellIs" dxfId="0" priority="195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C92:C93 F23:F64 F66:F78 F80:F122 H14:K153 F141:F14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65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40" zoomScale="115" zoomScaleNormal="115" zoomScaleSheetLayoutView="115" workbookViewId="0">
      <selection activeCell="S55" sqref="S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5" t="s">
        <v>1439</v>
      </c>
      <c r="X2" s="706"/>
      <c r="Y2" s="706"/>
      <c r="Z2" s="706"/>
      <c r="AA2" s="706"/>
      <c r="AB2" s="706"/>
      <c r="AC2" s="706"/>
      <c r="AD2" s="707"/>
    </row>
    <row r="3" spans="3:30">
      <c r="C3" s="238"/>
      <c r="W3" s="708"/>
      <c r="X3" s="709"/>
      <c r="Y3" s="709"/>
      <c r="Z3" s="709"/>
      <c r="AA3" s="709"/>
      <c r="AB3" s="709"/>
      <c r="AC3" s="709"/>
      <c r="AD3" s="71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238"/>
      <c r="W6" s="241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238"/>
      <c r="E7" s="490" t="str">
        <f>PETA!C6</f>
        <v>KOORDINAT : -6.895634, 110.750727</v>
      </c>
      <c r="W7" s="241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238"/>
      <c r="W8" s="241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238"/>
      <c r="W9" s="241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238"/>
      <c r="W10" s="241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238"/>
      <c r="W11" s="241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238"/>
      <c r="W12" s="241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238"/>
      <c r="W13" s="241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238"/>
      <c r="W14" s="241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238"/>
      <c r="W15" s="241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238"/>
      <c r="W16" s="241">
        <v>11</v>
      </c>
      <c r="X16" s="654" t="s">
        <v>1455</v>
      </c>
      <c r="Y16" s="654"/>
      <c r="Z16" s="654"/>
      <c r="AA16" s="654"/>
      <c r="AB16" s="654"/>
      <c r="AC16" s="654"/>
      <c r="AD16" s="655"/>
    </row>
    <row r="17" spans="3:30">
      <c r="C17" s="238"/>
      <c r="S17" s="242"/>
      <c r="W17" s="241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243"/>
      <c r="D18" s="244"/>
      <c r="E18" s="244"/>
      <c r="W18" s="241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238"/>
      <c r="W19" s="245"/>
      <c r="X19" s="703"/>
      <c r="Y19" s="703"/>
      <c r="Z19" s="703"/>
      <c r="AA19" s="703"/>
      <c r="AB19" s="703"/>
      <c r="AC19" s="703"/>
      <c r="AD19" s="704"/>
    </row>
    <row r="20" spans="3:30">
      <c r="C20" s="238"/>
      <c r="W20" s="690" t="s">
        <v>992</v>
      </c>
      <c r="X20" s="691"/>
      <c r="Y20" s="691"/>
      <c r="Z20" s="691"/>
      <c r="AA20" s="691"/>
      <c r="AB20" s="691"/>
      <c r="AC20" s="691"/>
      <c r="AD20" s="692"/>
    </row>
    <row r="21" spans="3:30">
      <c r="C21" s="238"/>
      <c r="W21" s="693" t="s">
        <v>985</v>
      </c>
      <c r="X21" s="694"/>
      <c r="Y21" s="694"/>
      <c r="Z21" s="695"/>
      <c r="AA21" s="696" t="s">
        <v>986</v>
      </c>
      <c r="AB21" s="697"/>
      <c r="AC21" s="697"/>
      <c r="AD21" s="698"/>
    </row>
    <row r="22" spans="3:30">
      <c r="C22" s="238"/>
      <c r="W22" s="699"/>
      <c r="X22" s="700"/>
      <c r="Y22" s="492"/>
      <c r="Z22" s="493"/>
      <c r="AA22" s="701"/>
      <c r="AB22" s="702"/>
      <c r="AC22" s="248"/>
      <c r="AD22" s="249"/>
    </row>
    <row r="23" spans="3:30">
      <c r="C23" s="238"/>
      <c r="W23" s="699"/>
      <c r="X23" s="700"/>
      <c r="Y23" s="492"/>
      <c r="Z23" s="493"/>
      <c r="AA23" s="688"/>
      <c r="AB23" s="689"/>
      <c r="AC23" s="248"/>
      <c r="AD23" s="249"/>
    </row>
    <row r="24" spans="3:30">
      <c r="C24" s="238"/>
      <c r="W24" s="683"/>
      <c r="X24" s="685"/>
      <c r="Y24" s="246"/>
      <c r="Z24" s="247"/>
      <c r="AA24" s="686"/>
      <c r="AB24" s="687"/>
      <c r="AC24" s="248"/>
      <c r="AD24" s="249"/>
    </row>
    <row r="25" spans="3:30">
      <c r="C25" s="238"/>
      <c r="W25" s="683"/>
      <c r="X25" s="685"/>
      <c r="Y25" s="246"/>
      <c r="Z25" s="247"/>
      <c r="AA25" s="688"/>
      <c r="AB25" s="689"/>
      <c r="AC25" s="248"/>
      <c r="AD25" s="249"/>
    </row>
    <row r="26" spans="3:30">
      <c r="C26" s="238"/>
      <c r="W26" s="480"/>
      <c r="X26" s="481"/>
      <c r="Y26" s="246"/>
      <c r="Z26" s="247"/>
      <c r="AA26" s="688"/>
      <c r="AB26" s="689"/>
      <c r="AC26" s="248"/>
      <c r="AD26" s="249"/>
    </row>
    <row r="27" spans="3:30">
      <c r="C27" s="238"/>
      <c r="W27" s="480"/>
      <c r="X27" s="481"/>
      <c r="Y27" s="246"/>
      <c r="Z27" s="247"/>
      <c r="AA27" s="682"/>
      <c r="AB27" s="677"/>
      <c r="AC27" s="248"/>
      <c r="AD27" s="249"/>
    </row>
    <row r="28" spans="3:30">
      <c r="C28" s="238"/>
      <c r="W28" s="480"/>
      <c r="X28" s="481"/>
      <c r="Y28" s="246"/>
      <c r="Z28" s="247"/>
      <c r="AA28" s="682"/>
      <c r="AB28" s="677"/>
      <c r="AC28" s="248"/>
      <c r="AD28" s="249"/>
    </row>
    <row r="29" spans="3:30">
      <c r="C29" s="238"/>
      <c r="W29" s="480"/>
      <c r="X29" s="481"/>
      <c r="Y29" s="246"/>
      <c r="Z29" s="247"/>
      <c r="AA29" s="682"/>
      <c r="AB29" s="677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2"/>
      <c r="AB30" s="677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2"/>
      <c r="AB31" s="677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2"/>
      <c r="AB32" s="677"/>
      <c r="AC32" s="248"/>
      <c r="AD32" s="249"/>
    </row>
    <row r="33" spans="3:30">
      <c r="C33" s="238"/>
      <c r="W33" s="480"/>
      <c r="X33" s="481"/>
      <c r="Y33" s="246"/>
      <c r="Z33" s="247"/>
      <c r="AA33" s="682"/>
      <c r="AB33" s="677"/>
      <c r="AC33" s="248"/>
      <c r="AD33" s="249"/>
    </row>
    <row r="34" spans="3:30">
      <c r="C34" s="238"/>
      <c r="W34" s="480"/>
      <c r="X34" s="481"/>
      <c r="Y34" s="246"/>
      <c r="Z34" s="247"/>
      <c r="AA34" s="682"/>
      <c r="AB34" s="677"/>
      <c r="AC34" s="248"/>
      <c r="AD34" s="249"/>
    </row>
    <row r="35" spans="3:30">
      <c r="C35" s="238"/>
      <c r="W35" s="683"/>
      <c r="X35" s="684"/>
      <c r="Y35" s="246"/>
      <c r="Z35" s="247"/>
      <c r="AA35" s="682"/>
      <c r="AB35" s="677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77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70"/>
      <c r="AB39" s="671"/>
      <c r="AC39" s="252"/>
      <c r="AD39" s="253"/>
    </row>
    <row r="40" spans="3:30" ht="12" customHeight="1">
      <c r="C40" s="238"/>
      <c r="W40" s="666"/>
      <c r="X40" s="66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8"/>
      <c r="X41" s="669"/>
      <c r="Y41" s="260"/>
      <c r="Z41" s="261"/>
      <c r="AA41" s="670"/>
      <c r="AB41" s="671"/>
      <c r="AC41" s="252"/>
      <c r="AD41" s="253"/>
    </row>
    <row r="42" spans="3:30" ht="12" customHeight="1">
      <c r="C42" s="238"/>
      <c r="W42" s="672" t="s">
        <v>1456</v>
      </c>
      <c r="X42" s="673"/>
      <c r="Y42" s="673"/>
      <c r="Z42" s="67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1" t="s">
        <v>11</v>
      </c>
      <c r="X44" s="652"/>
      <c r="Y44" s="654"/>
      <c r="Z44" s="654"/>
      <c r="AA44" s="654"/>
      <c r="AB44" s="654"/>
      <c r="AC44" s="654"/>
      <c r="AD44" s="65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1" t="s">
        <v>984</v>
      </c>
      <c r="X45" s="652"/>
      <c r="Y45" s="654">
        <v>1</v>
      </c>
      <c r="Z45" s="654"/>
      <c r="AA45" s="654"/>
      <c r="AB45" s="654" t="s">
        <v>12</v>
      </c>
      <c r="AC45" s="65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1" t="s">
        <v>15</v>
      </c>
      <c r="X46" s="652"/>
      <c r="Y46" s="665"/>
      <c r="Z46" s="665"/>
      <c r="AA46" s="665"/>
      <c r="AB46" s="654" t="s">
        <v>16</v>
      </c>
      <c r="AC46" s="65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9" t="s">
        <v>17</v>
      </c>
      <c r="X47" s="659"/>
      <c r="Y47" s="659"/>
      <c r="Z47" s="659"/>
      <c r="AA47" s="659"/>
      <c r="AB47" s="659"/>
      <c r="AC47" s="659"/>
      <c r="AD47" s="66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1" t="str">
        <f>RAB!G6</f>
        <v>UD RESTU</v>
      </c>
      <c r="X48" s="661"/>
      <c r="Y48" s="661"/>
      <c r="Z48" s="661"/>
      <c r="AA48" s="661"/>
      <c r="AB48" s="661"/>
      <c r="AC48" s="661"/>
      <c r="AD48" s="66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1"/>
      <c r="X49" s="661"/>
      <c r="Y49" s="661"/>
      <c r="Z49" s="661"/>
      <c r="AA49" s="661"/>
      <c r="AB49" s="661"/>
      <c r="AC49" s="661"/>
      <c r="AD49" s="66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1"/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3"/>
      <c r="X51" s="663"/>
      <c r="Y51" s="663"/>
      <c r="Z51" s="663"/>
      <c r="AA51" s="663"/>
      <c r="AB51" s="663"/>
      <c r="AC51" s="663"/>
      <c r="AD51" s="66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1" t="s">
        <v>18</v>
      </c>
      <c r="X52" s="652"/>
      <c r="Y52" s="654" t="s">
        <v>1641</v>
      </c>
      <c r="Z52" s="654"/>
      <c r="AA52" s="654"/>
      <c r="AB52" s="654"/>
      <c r="AC52" s="654"/>
      <c r="AD52" s="65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1" t="s">
        <v>19</v>
      </c>
      <c r="X53" s="652"/>
      <c r="Y53" s="654" t="s">
        <v>1642</v>
      </c>
      <c r="Z53" s="654"/>
      <c r="AA53" s="654"/>
      <c r="AB53" s="654"/>
      <c r="AC53" s="654"/>
      <c r="AD53" s="65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1" t="s">
        <v>20</v>
      </c>
      <c r="X54" s="652"/>
      <c r="Y54" s="653" t="s">
        <v>1643</v>
      </c>
      <c r="Z54" s="653"/>
      <c r="AA54" s="653"/>
      <c r="AB54" s="654"/>
      <c r="AC54" s="654"/>
      <c r="AD54" s="65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6" t="s">
        <v>21</v>
      </c>
      <c r="X55" s="657"/>
      <c r="Y55" s="653" t="s">
        <v>1644</v>
      </c>
      <c r="Z55" s="653"/>
      <c r="AA55" s="653"/>
      <c r="AB55" s="653"/>
      <c r="AC55" s="653"/>
      <c r="AD55" s="65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AC24" sqref="AC2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1" t="s">
        <v>1528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17"/>
      <c r="AE4" s="216"/>
      <c r="AF4" s="216"/>
    </row>
    <row r="5" spans="2:32" ht="13.5" customHeight="1">
      <c r="B5" s="215"/>
      <c r="C5" s="215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17"/>
      <c r="AE5" s="216"/>
      <c r="AF5" s="216"/>
    </row>
    <row r="6" spans="2:32" ht="12.75" customHeight="1">
      <c r="B6" s="215"/>
      <c r="C6" s="215"/>
      <c r="D6" s="714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16"/>
      <c r="AE6" s="216"/>
      <c r="AF6" s="216"/>
    </row>
    <row r="7" spans="2:32" ht="12.75" customHeight="1" thickBot="1">
      <c r="B7" s="215"/>
      <c r="C7" s="215"/>
      <c r="D7" s="717"/>
      <c r="E7" s="718"/>
      <c r="F7" s="718"/>
      <c r="G7" s="718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12" zoomScale="85" zoomScaleNormal="40" zoomScaleSheetLayoutView="85" workbookViewId="0">
      <selection activeCell="U32" sqref="U32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5" t="s">
        <v>1527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0" t="s">
        <v>1620</v>
      </c>
      <c r="D6" s="720"/>
      <c r="E6" s="720"/>
      <c r="F6" s="720"/>
      <c r="G6" s="720"/>
      <c r="H6" s="720"/>
      <c r="I6" s="720"/>
      <c r="J6" s="720"/>
      <c r="K6" s="720"/>
      <c r="L6" s="720"/>
      <c r="M6" s="720"/>
      <c r="W6" s="182"/>
      <c r="Y6" s="428"/>
      <c r="Z6" s="428"/>
      <c r="AA6" s="428"/>
      <c r="AB6" s="429"/>
      <c r="AC6" s="429"/>
    </row>
    <row r="7" spans="1:29" ht="18" customHeight="1">
      <c r="A7" s="181"/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2023-11-21T07:12:12Z</cp:lastPrinted>
  <dcterms:created xsi:type="dcterms:W3CDTF">2011-02-06T11:57:38Z</dcterms:created>
  <dcterms:modified xsi:type="dcterms:W3CDTF">2023-11-21T07:42:14Z</dcterms:modified>
</cp:coreProperties>
</file>