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5BF2E9A7-4E7D-45A4-900A-7F382E68A071}" xr6:coauthVersionLast="47" xr6:coauthVersionMax="47" xr10:uidLastSave="{00000000-0000-0000-0000-000000000000}"/>
  <bookViews>
    <workbookView xWindow="-120" yWindow="-120" windowWidth="24240" windowHeight="13140" tabRatio="85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RAB!$A$1:$K$215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</workbook>
</file>

<file path=xl/calcChain.xml><?xml version="1.0" encoding="utf-8"?>
<calcChain xmlns="http://schemas.openxmlformats.org/spreadsheetml/2006/main">
  <c r="D14" i="59" l="1"/>
  <c r="G176" i="11"/>
  <c r="E176" i="11"/>
  <c r="D176" i="11"/>
  <c r="G175" i="11"/>
  <c r="E175" i="11"/>
  <c r="D175" i="11"/>
  <c r="J175" i="11" s="1"/>
  <c r="A175" i="11"/>
  <c r="A167" i="11"/>
  <c r="D167" i="11"/>
  <c r="H167" i="11" s="1"/>
  <c r="E167" i="11"/>
  <c r="G167" i="11"/>
  <c r="A168" i="11"/>
  <c r="D168" i="11"/>
  <c r="J168" i="11" s="1"/>
  <c r="E168" i="11"/>
  <c r="G168" i="11"/>
  <c r="D169" i="11"/>
  <c r="J169" i="11" s="1"/>
  <c r="E169" i="11"/>
  <c r="G169" i="11"/>
  <c r="G188" i="11"/>
  <c r="G189" i="11"/>
  <c r="E188" i="11"/>
  <c r="E189" i="11"/>
  <c r="D188" i="11"/>
  <c r="H188" i="11" s="1"/>
  <c r="D189" i="11"/>
  <c r="H189" i="11" s="1"/>
  <c r="F149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8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70" i="11"/>
  <c r="G47" i="11"/>
  <c r="G48" i="11"/>
  <c r="G49" i="11"/>
  <c r="G50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1" i="11"/>
  <c r="F118" i="11"/>
  <c r="F117" i="11"/>
  <c r="F116" i="11"/>
  <c r="F115" i="11"/>
  <c r="F114" i="11"/>
  <c r="F113" i="11"/>
  <c r="F110" i="11"/>
  <c r="F109" i="11"/>
  <c r="F108" i="11"/>
  <c r="F107" i="11"/>
  <c r="F104" i="11"/>
  <c r="F103" i="11"/>
  <c r="F102" i="11"/>
  <c r="F101" i="11"/>
  <c r="F100" i="11"/>
  <c r="F99" i="11"/>
  <c r="F98" i="11"/>
  <c r="F97" i="11"/>
  <c r="F96" i="11"/>
  <c r="F93" i="11"/>
  <c r="F92" i="11"/>
  <c r="F91" i="11"/>
  <c r="F90" i="11"/>
  <c r="F87" i="11"/>
  <c r="F86" i="11"/>
  <c r="F85" i="11"/>
  <c r="F84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7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J176" i="11" l="1"/>
  <c r="H176" i="11"/>
  <c r="H175" i="11"/>
  <c r="I176" i="11"/>
  <c r="I175" i="11"/>
  <c r="I168" i="11"/>
  <c r="J167" i="11"/>
  <c r="H168" i="11"/>
  <c r="I167" i="11"/>
  <c r="H169" i="11"/>
  <c r="I169" i="11"/>
  <c r="J189" i="11"/>
  <c r="J188" i="11"/>
  <c r="I189" i="11"/>
  <c r="I188" i="11"/>
  <c r="K167" i="11" l="1"/>
  <c r="K168" i="11"/>
  <c r="K176" i="11"/>
  <c r="K175" i="11"/>
  <c r="K189" i="11"/>
  <c r="K188" i="11"/>
  <c r="K169" i="11"/>
  <c r="F81" i="11" l="1"/>
  <c r="F80" i="11"/>
  <c r="F79" i="11"/>
  <c r="F78" i="11"/>
  <c r="F77" i="11"/>
  <c r="F76" i="11"/>
  <c r="F75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72" i="11"/>
  <c r="F70" i="11"/>
  <c r="F69" i="11"/>
  <c r="F71" i="11" s="1"/>
  <c r="E25" i="11"/>
  <c r="E26" i="11"/>
  <c r="E42" i="11"/>
  <c r="E43" i="11"/>
  <c r="E44" i="11"/>
  <c r="E45" i="11"/>
  <c r="E46" i="11"/>
  <c r="E47" i="11"/>
  <c r="E48" i="11"/>
  <c r="E49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J131" i="11"/>
  <c r="A131" i="11"/>
  <c r="J130" i="11"/>
  <c r="A130" i="11"/>
  <c r="J129" i="11"/>
  <c r="A129" i="11"/>
  <c r="J128" i="11"/>
  <c r="A128" i="11"/>
  <c r="J127" i="11"/>
  <c r="A127" i="11"/>
  <c r="A126" i="11"/>
  <c r="J125" i="11"/>
  <c r="A125" i="11"/>
  <c r="J124" i="11"/>
  <c r="A124" i="11"/>
  <c r="J122" i="11"/>
  <c r="A122" i="11"/>
  <c r="J121" i="11"/>
  <c r="A121" i="11"/>
  <c r="J120" i="11"/>
  <c r="A120" i="11"/>
  <c r="J119" i="11"/>
  <c r="A119" i="11"/>
  <c r="J118" i="11"/>
  <c r="A118" i="11"/>
  <c r="J117" i="11"/>
  <c r="A117" i="11"/>
  <c r="J116" i="11"/>
  <c r="A116" i="11"/>
  <c r="J115" i="11"/>
  <c r="A115" i="11"/>
  <c r="J114" i="11"/>
  <c r="A114" i="11"/>
  <c r="A112" i="11"/>
  <c r="I111" i="11"/>
  <c r="A111" i="11"/>
  <c r="I110" i="11"/>
  <c r="A110" i="11"/>
  <c r="I109" i="11"/>
  <c r="A109" i="11"/>
  <c r="A108" i="11"/>
  <c r="A107" i="11"/>
  <c r="A105" i="11"/>
  <c r="I104" i="11"/>
  <c r="A104" i="11"/>
  <c r="I103" i="11"/>
  <c r="A103" i="11"/>
  <c r="A102" i="11"/>
  <c r="A101" i="11"/>
  <c r="A100" i="11"/>
  <c r="I99" i="11"/>
  <c r="A99" i="11"/>
  <c r="H97" i="11"/>
  <c r="A97" i="11"/>
  <c r="J96" i="11"/>
  <c r="A96" i="11"/>
  <c r="J95" i="11"/>
  <c r="A95" i="11"/>
  <c r="J94" i="11"/>
  <c r="A94" i="11"/>
  <c r="J93" i="11"/>
  <c r="A93" i="11"/>
  <c r="J92" i="11"/>
  <c r="A92" i="11"/>
  <c r="J91" i="11"/>
  <c r="A91" i="11"/>
  <c r="J90" i="11"/>
  <c r="A90" i="11"/>
  <c r="J89" i="11"/>
  <c r="J88" i="11"/>
  <c r="A88" i="11"/>
  <c r="J87" i="11"/>
  <c r="A87" i="11"/>
  <c r="J86" i="11"/>
  <c r="A86" i="11"/>
  <c r="J85" i="11"/>
  <c r="A85" i="11"/>
  <c r="J84" i="11"/>
  <c r="A84" i="11"/>
  <c r="J83" i="11"/>
  <c r="A83" i="11"/>
  <c r="J82" i="11"/>
  <c r="A82" i="11"/>
  <c r="A81" i="11"/>
  <c r="E80" i="11"/>
  <c r="J80" i="11"/>
  <c r="A80" i="11"/>
  <c r="E79" i="11"/>
  <c r="J79" i="11"/>
  <c r="A79" i="11"/>
  <c r="D24" i="11"/>
  <c r="D25" i="11"/>
  <c r="D26" i="11"/>
  <c r="D27" i="11"/>
  <c r="D28" i="11"/>
  <c r="D29" i="11"/>
  <c r="D30" i="11"/>
  <c r="D31" i="11"/>
  <c r="E72" i="11"/>
  <c r="D72" i="11"/>
  <c r="A72" i="11"/>
  <c r="E71" i="11"/>
  <c r="D71" i="11"/>
  <c r="J71" i="11" s="1"/>
  <c r="A71" i="11"/>
  <c r="E70" i="11"/>
  <c r="D70" i="11"/>
  <c r="E69" i="11"/>
  <c r="D69" i="11"/>
  <c r="I69" i="11" s="1"/>
  <c r="A69" i="11"/>
  <c r="E68" i="11"/>
  <c r="D68" i="11"/>
  <c r="I68" i="11" s="1"/>
  <c r="A68" i="11"/>
  <c r="E67" i="11"/>
  <c r="D67" i="11"/>
  <c r="I67" i="11" s="1"/>
  <c r="A67" i="11"/>
  <c r="E66" i="11"/>
  <c r="D66" i="11"/>
  <c r="I66" i="11" s="1"/>
  <c r="A66" i="11"/>
  <c r="E65" i="11"/>
  <c r="D65" i="11"/>
  <c r="J65" i="11" s="1"/>
  <c r="A65" i="11"/>
  <c r="E64" i="11"/>
  <c r="D64" i="11"/>
  <c r="J64" i="11" s="1"/>
  <c r="A64" i="11"/>
  <c r="E63" i="11"/>
  <c r="D63" i="11"/>
  <c r="J63" i="11" s="1"/>
  <c r="A63" i="11"/>
  <c r="E62" i="11"/>
  <c r="D62" i="11"/>
  <c r="J62" i="11" s="1"/>
  <c r="A62" i="11"/>
  <c r="E61" i="11"/>
  <c r="D61" i="11"/>
  <c r="J61" i="11" s="1"/>
  <c r="A61" i="11"/>
  <c r="E60" i="11"/>
  <c r="D60" i="11"/>
  <c r="E59" i="11"/>
  <c r="D59" i="11"/>
  <c r="A59" i="11"/>
  <c r="E58" i="11"/>
  <c r="D58" i="11"/>
  <c r="A58" i="11"/>
  <c r="E57" i="11"/>
  <c r="D57" i="11"/>
  <c r="J57" i="11" s="1"/>
  <c r="A57" i="11"/>
  <c r="E56" i="11"/>
  <c r="D56" i="11"/>
  <c r="J56" i="11" s="1"/>
  <c r="A56" i="11"/>
  <c r="E55" i="11"/>
  <c r="D55" i="11"/>
  <c r="A55" i="11"/>
  <c r="E54" i="11"/>
  <c r="D54" i="11"/>
  <c r="A54" i="11"/>
  <c r="E53" i="11"/>
  <c r="D53" i="11"/>
  <c r="E52" i="11"/>
  <c r="D52" i="11"/>
  <c r="H52" i="11" s="1"/>
  <c r="A52" i="11"/>
  <c r="E51" i="11"/>
  <c r="D51" i="11"/>
  <c r="H51" i="11" s="1"/>
  <c r="A51" i="11"/>
  <c r="E50" i="11"/>
  <c r="D50" i="11"/>
  <c r="H50" i="11" s="1"/>
  <c r="A50" i="11"/>
  <c r="D49" i="11"/>
  <c r="H49" i="11" s="1"/>
  <c r="A49" i="11"/>
  <c r="D48" i="11"/>
  <c r="H48" i="11" s="1"/>
  <c r="A48" i="11"/>
  <c r="D47" i="11"/>
  <c r="I47" i="11" s="1"/>
  <c r="A47" i="11"/>
  <c r="J138" i="11"/>
  <c r="A138" i="11"/>
  <c r="J137" i="11"/>
  <c r="A137" i="11"/>
  <c r="J136" i="11"/>
  <c r="A136" i="11"/>
  <c r="J135" i="11"/>
  <c r="A135" i="11"/>
  <c r="J133" i="11"/>
  <c r="A133" i="11"/>
  <c r="J132" i="11"/>
  <c r="A132" i="11"/>
  <c r="E78" i="11"/>
  <c r="J78" i="11"/>
  <c r="A78" i="11"/>
  <c r="E77" i="11"/>
  <c r="J77" i="11"/>
  <c r="A77" i="11"/>
  <c r="E76" i="11"/>
  <c r="H76" i="11"/>
  <c r="A76" i="11"/>
  <c r="E75" i="11"/>
  <c r="D75" i="11"/>
  <c r="A75" i="11"/>
  <c r="E74" i="11"/>
  <c r="D74" i="11"/>
  <c r="I74" i="11" s="1"/>
  <c r="A74" i="11"/>
  <c r="E73" i="11"/>
  <c r="D73" i="11"/>
  <c r="I73" i="11" s="1"/>
  <c r="A73" i="11"/>
  <c r="G46" i="11"/>
  <c r="D46" i="11"/>
  <c r="I46" i="11" s="1"/>
  <c r="A46" i="11"/>
  <c r="G45" i="11"/>
  <c r="D45" i="11"/>
  <c r="G44" i="11"/>
  <c r="D44" i="11"/>
  <c r="J44" i="11" s="1"/>
  <c r="A44" i="11"/>
  <c r="J146" i="11"/>
  <c r="A146" i="11"/>
  <c r="H145" i="11"/>
  <c r="A145" i="11"/>
  <c r="H144" i="11"/>
  <c r="A144" i="11"/>
  <c r="H143" i="11"/>
  <c r="A143" i="11"/>
  <c r="A142" i="11"/>
  <c r="J140" i="11"/>
  <c r="A140" i="11"/>
  <c r="J139" i="11"/>
  <c r="A139" i="11"/>
  <c r="G43" i="11"/>
  <c r="D43" i="11"/>
  <c r="J43" i="11" s="1"/>
  <c r="A43" i="11"/>
  <c r="I75" i="11" l="1"/>
  <c r="I100" i="11"/>
  <c r="I102" i="11"/>
  <c r="J126" i="11"/>
  <c r="J81" i="11"/>
  <c r="I107" i="11"/>
  <c r="I108" i="11"/>
  <c r="I112" i="11"/>
  <c r="J72" i="11"/>
  <c r="H126" i="11"/>
  <c r="H128" i="11"/>
  <c r="I54" i="11"/>
  <c r="I55" i="11"/>
  <c r="I58" i="11"/>
  <c r="I59" i="11"/>
  <c r="H81" i="11"/>
  <c r="H108" i="11"/>
  <c r="H85" i="11"/>
  <c r="H110" i="11"/>
  <c r="H83" i="11"/>
  <c r="H109" i="11"/>
  <c r="H79" i="11"/>
  <c r="H87" i="11"/>
  <c r="H107" i="11"/>
  <c r="H112" i="11"/>
  <c r="H120" i="11"/>
  <c r="H124" i="11"/>
  <c r="H111" i="11"/>
  <c r="H118" i="11"/>
  <c r="H122" i="11"/>
  <c r="H82" i="11"/>
  <c r="H86" i="11"/>
  <c r="J107" i="11"/>
  <c r="J109" i="11"/>
  <c r="J111" i="11"/>
  <c r="H119" i="11"/>
  <c r="H125" i="11"/>
  <c r="H129" i="11"/>
  <c r="H130" i="11"/>
  <c r="H80" i="11"/>
  <c r="H84" i="11"/>
  <c r="H88" i="11"/>
  <c r="J108" i="11"/>
  <c r="J110" i="11"/>
  <c r="J112" i="11"/>
  <c r="H117" i="11"/>
  <c r="H121" i="11"/>
  <c r="H127" i="11"/>
  <c r="H131" i="11"/>
  <c r="I92" i="11"/>
  <c r="H101" i="11"/>
  <c r="J101" i="11"/>
  <c r="H89" i="11"/>
  <c r="H91" i="11"/>
  <c r="H93" i="11"/>
  <c r="H95" i="11"/>
  <c r="H102" i="11"/>
  <c r="J102" i="11"/>
  <c r="I89" i="11"/>
  <c r="I91" i="11"/>
  <c r="I93" i="11"/>
  <c r="I95" i="11"/>
  <c r="J97" i="11"/>
  <c r="I97" i="11"/>
  <c r="H99" i="11"/>
  <c r="J99" i="11"/>
  <c r="H103" i="11"/>
  <c r="J103" i="11"/>
  <c r="I90" i="11"/>
  <c r="I94" i="11"/>
  <c r="I96" i="11"/>
  <c r="H105" i="11"/>
  <c r="J105" i="11"/>
  <c r="H90" i="11"/>
  <c r="H92" i="11"/>
  <c r="H94" i="11"/>
  <c r="H96" i="11"/>
  <c r="H100" i="11"/>
  <c r="J100" i="11"/>
  <c r="I101" i="11"/>
  <c r="H104" i="11"/>
  <c r="J104" i="11"/>
  <c r="I105" i="11"/>
  <c r="H114" i="11"/>
  <c r="H115" i="11"/>
  <c r="H116" i="11"/>
  <c r="I124" i="11"/>
  <c r="I125" i="11"/>
  <c r="I126" i="11"/>
  <c r="I127" i="11"/>
  <c r="I128" i="11"/>
  <c r="K128" i="11" s="1"/>
  <c r="I129" i="11"/>
  <c r="I130" i="11"/>
  <c r="I131" i="11"/>
  <c r="I116" i="11"/>
  <c r="I117" i="11"/>
  <c r="I118" i="11"/>
  <c r="K118" i="11" s="1"/>
  <c r="I119" i="11"/>
  <c r="I120" i="11"/>
  <c r="I121" i="11"/>
  <c r="I122" i="11"/>
  <c r="I79" i="11"/>
  <c r="I80" i="11"/>
  <c r="I81" i="11"/>
  <c r="I82" i="11"/>
  <c r="I83" i="11"/>
  <c r="I84" i="11"/>
  <c r="I85" i="11"/>
  <c r="I86" i="11"/>
  <c r="I87" i="11"/>
  <c r="I88" i="11"/>
  <c r="I114" i="11"/>
  <c r="I115" i="11"/>
  <c r="H67" i="11"/>
  <c r="I48" i="11"/>
  <c r="H142" i="11"/>
  <c r="J47" i="11"/>
  <c r="J54" i="11"/>
  <c r="H63" i="11"/>
  <c r="H58" i="11"/>
  <c r="H75" i="11"/>
  <c r="H135" i="11"/>
  <c r="H64" i="11"/>
  <c r="H74" i="11"/>
  <c r="H137" i="11"/>
  <c r="H59" i="11"/>
  <c r="H62" i="11"/>
  <c r="H69" i="11"/>
  <c r="H71" i="11"/>
  <c r="J58" i="11"/>
  <c r="J68" i="11"/>
  <c r="H46" i="11"/>
  <c r="J48" i="11"/>
  <c r="J67" i="11"/>
  <c r="J69" i="11"/>
  <c r="J66" i="11"/>
  <c r="H140" i="11"/>
  <c r="H73" i="11"/>
  <c r="H138" i="11"/>
  <c r="J55" i="11"/>
  <c r="J59" i="11"/>
  <c r="H61" i="11"/>
  <c r="H66" i="11"/>
  <c r="H68" i="11"/>
  <c r="H72" i="11"/>
  <c r="H47" i="11"/>
  <c r="H54" i="11"/>
  <c r="H55" i="11"/>
  <c r="H56" i="11"/>
  <c r="H57" i="11"/>
  <c r="I61" i="11"/>
  <c r="I62" i="11"/>
  <c r="I63" i="11"/>
  <c r="I64" i="11"/>
  <c r="H65" i="11"/>
  <c r="I71" i="11"/>
  <c r="I72" i="11"/>
  <c r="K72" i="11" s="1"/>
  <c r="I49" i="11"/>
  <c r="I50" i="11"/>
  <c r="I51" i="11"/>
  <c r="I52" i="11"/>
  <c r="J46" i="11"/>
  <c r="J74" i="11"/>
  <c r="I76" i="11"/>
  <c r="J49" i="11"/>
  <c r="J50" i="11"/>
  <c r="J51" i="11"/>
  <c r="J52" i="11"/>
  <c r="J76" i="11"/>
  <c r="H139" i="11"/>
  <c r="J73" i="11"/>
  <c r="J75" i="11"/>
  <c r="H136" i="11"/>
  <c r="I56" i="11"/>
  <c r="I57" i="11"/>
  <c r="I65" i="11"/>
  <c r="H44" i="11"/>
  <c r="H77" i="11"/>
  <c r="H78" i="11"/>
  <c r="H132" i="11"/>
  <c r="H133" i="11"/>
  <c r="I135" i="11"/>
  <c r="K135" i="11" s="1"/>
  <c r="I136" i="11"/>
  <c r="I137" i="11"/>
  <c r="I138" i="11"/>
  <c r="H43" i="11"/>
  <c r="I44" i="11"/>
  <c r="I77" i="11"/>
  <c r="I78" i="11"/>
  <c r="I132" i="11"/>
  <c r="I133" i="11"/>
  <c r="I142" i="11"/>
  <c r="I143" i="11"/>
  <c r="I145" i="11"/>
  <c r="H146" i="11"/>
  <c r="I140" i="11"/>
  <c r="J142" i="11"/>
  <c r="J143" i="11"/>
  <c r="J144" i="11"/>
  <c r="J145" i="11"/>
  <c r="I146" i="11"/>
  <c r="I139" i="11"/>
  <c r="K139" i="11" s="1"/>
  <c r="I144" i="11"/>
  <c r="K144" i="11" s="1"/>
  <c r="I43" i="11"/>
  <c r="K126" i="11" l="1"/>
  <c r="K81" i="11"/>
  <c r="K87" i="11"/>
  <c r="K86" i="11"/>
  <c r="K55" i="11"/>
  <c r="K125" i="11"/>
  <c r="K112" i="11"/>
  <c r="K109" i="11"/>
  <c r="K84" i="11"/>
  <c r="K107" i="11"/>
  <c r="K79" i="11"/>
  <c r="K131" i="11"/>
  <c r="K108" i="11"/>
  <c r="K85" i="11"/>
  <c r="K110" i="11"/>
  <c r="K111" i="11"/>
  <c r="K80" i="11"/>
  <c r="K83" i="11"/>
  <c r="K119" i="11"/>
  <c r="K127" i="11"/>
  <c r="K122" i="11"/>
  <c r="K103" i="11"/>
  <c r="K97" i="11"/>
  <c r="K117" i="11"/>
  <c r="K129" i="11"/>
  <c r="K88" i="11"/>
  <c r="K120" i="11"/>
  <c r="K96" i="11"/>
  <c r="K102" i="11"/>
  <c r="K124" i="11"/>
  <c r="K100" i="11"/>
  <c r="K64" i="11"/>
  <c r="K104" i="11"/>
  <c r="K95" i="11"/>
  <c r="K63" i="11"/>
  <c r="K48" i="11"/>
  <c r="K82" i="11"/>
  <c r="K130" i="11"/>
  <c r="K93" i="11"/>
  <c r="K121" i="11"/>
  <c r="K101" i="11"/>
  <c r="K67" i="11"/>
  <c r="K114" i="11"/>
  <c r="K94" i="11"/>
  <c r="K105" i="11"/>
  <c r="K116" i="11"/>
  <c r="K92" i="11"/>
  <c r="K99" i="11"/>
  <c r="K91" i="11"/>
  <c r="K115" i="11"/>
  <c r="K90" i="11"/>
  <c r="K89" i="11"/>
  <c r="K140" i="11"/>
  <c r="K137" i="11"/>
  <c r="K75" i="11"/>
  <c r="K71" i="11"/>
  <c r="K136" i="11"/>
  <c r="K47" i="11"/>
  <c r="K74" i="11"/>
  <c r="K66" i="11"/>
  <c r="K69" i="11"/>
  <c r="K46" i="11"/>
  <c r="K58" i="11"/>
  <c r="K59" i="11"/>
  <c r="K54" i="11"/>
  <c r="K49" i="11"/>
  <c r="K76" i="11"/>
  <c r="K62" i="11"/>
  <c r="K68" i="11"/>
  <c r="K43" i="11"/>
  <c r="K73" i="11"/>
  <c r="K61" i="11"/>
  <c r="K51" i="11"/>
  <c r="K50" i="11"/>
  <c r="K143" i="11"/>
  <c r="K52" i="11"/>
  <c r="K142" i="11"/>
  <c r="K138" i="11"/>
  <c r="K133" i="11"/>
  <c r="K44" i="11"/>
  <c r="K146" i="11"/>
  <c r="K65" i="11"/>
  <c r="K57" i="11"/>
  <c r="K56" i="11"/>
  <c r="K77" i="11"/>
  <c r="K145" i="11"/>
  <c r="K132" i="11"/>
  <c r="K78" i="11"/>
  <c r="G35" i="11" l="1"/>
  <c r="E35" i="11"/>
  <c r="D35" i="11"/>
  <c r="J35" i="11" s="1"/>
  <c r="A35" i="11"/>
  <c r="G34" i="11"/>
  <c r="E34" i="11"/>
  <c r="D34" i="11"/>
  <c r="J34" i="11" s="1"/>
  <c r="A34" i="11"/>
  <c r="G33" i="11"/>
  <c r="E33" i="11"/>
  <c r="D33" i="11"/>
  <c r="J33" i="11" s="1"/>
  <c r="A33" i="11"/>
  <c r="G32" i="11"/>
  <c r="E32" i="11"/>
  <c r="D32" i="11"/>
  <c r="J32" i="11" s="1"/>
  <c r="A32" i="11"/>
  <c r="H31" i="11"/>
  <c r="G31" i="11"/>
  <c r="E31" i="11"/>
  <c r="J31" i="11"/>
  <c r="A31" i="11"/>
  <c r="G30" i="11"/>
  <c r="E30" i="11"/>
  <c r="J30" i="11"/>
  <c r="A30" i="11"/>
  <c r="G29" i="11"/>
  <c r="E29" i="11"/>
  <c r="J29" i="11"/>
  <c r="A29" i="11"/>
  <c r="G28" i="11"/>
  <c r="E28" i="11"/>
  <c r="J28" i="11"/>
  <c r="A28" i="11"/>
  <c r="G27" i="11"/>
  <c r="E27" i="11"/>
  <c r="J27" i="11"/>
  <c r="A27" i="11"/>
  <c r="D36" i="11"/>
  <c r="D37" i="11"/>
  <c r="D38" i="11"/>
  <c r="D39" i="11"/>
  <c r="D40" i="11"/>
  <c r="D41" i="11"/>
  <c r="D42" i="11"/>
  <c r="G17" i="11"/>
  <c r="E17" i="11"/>
  <c r="D17" i="11"/>
  <c r="A17" i="11"/>
  <c r="G16" i="11"/>
  <c r="E16" i="11"/>
  <c r="D16" i="11"/>
  <c r="J16" i="11" s="1"/>
  <c r="A16" i="11"/>
  <c r="G19" i="11"/>
  <c r="E19" i="11"/>
  <c r="D19" i="11"/>
  <c r="A19" i="11"/>
  <c r="G18" i="11"/>
  <c r="E18" i="11"/>
  <c r="D18" i="11"/>
  <c r="J18" i="11" s="1"/>
  <c r="A18" i="11"/>
  <c r="W48" i="91"/>
  <c r="H27" i="11" l="1"/>
  <c r="H30" i="11"/>
  <c r="H34" i="11"/>
  <c r="H35" i="11"/>
  <c r="H28" i="11"/>
  <c r="H32" i="11"/>
  <c r="H29" i="11"/>
  <c r="H33" i="11"/>
  <c r="I27" i="11"/>
  <c r="K27" i="11" s="1"/>
  <c r="I28" i="11"/>
  <c r="I29" i="11"/>
  <c r="I30" i="11"/>
  <c r="K30" i="11" s="1"/>
  <c r="I31" i="11"/>
  <c r="K31" i="11" s="1"/>
  <c r="I32" i="11"/>
  <c r="K32" i="11" s="1"/>
  <c r="I33" i="11"/>
  <c r="I34" i="11"/>
  <c r="I35" i="11"/>
  <c r="J19" i="11"/>
  <c r="J17" i="11"/>
  <c r="H16" i="11"/>
  <c r="H17" i="11"/>
  <c r="I16" i="11"/>
  <c r="I17" i="11"/>
  <c r="H18" i="11"/>
  <c r="H19" i="11"/>
  <c r="I18" i="11"/>
  <c r="I19" i="11"/>
  <c r="K29" i="11" l="1"/>
  <c r="K34" i="11"/>
  <c r="K35" i="11"/>
  <c r="K33" i="11"/>
  <c r="K16" i="11"/>
  <c r="K28" i="11"/>
  <c r="K19" i="11"/>
  <c r="K17" i="11"/>
  <c r="K18" i="11"/>
  <c r="W49" i="91" l="1"/>
  <c r="G181" i="11" l="1"/>
  <c r="F184" i="11"/>
  <c r="F182" i="11"/>
  <c r="F180" i="11"/>
  <c r="F181" i="11" s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92" i="11"/>
  <c r="D192" i="11"/>
  <c r="H192" i="11" s="1"/>
  <c r="E191" i="11"/>
  <c r="D191" i="11"/>
  <c r="A191" i="11"/>
  <c r="E190" i="11"/>
  <c r="D190" i="11"/>
  <c r="A189" i="11"/>
  <c r="E187" i="11"/>
  <c r="D187" i="11"/>
  <c r="A187" i="11"/>
  <c r="E186" i="11"/>
  <c r="D186" i="11"/>
  <c r="J186" i="11" s="1"/>
  <c r="A186" i="11"/>
  <c r="E185" i="11"/>
  <c r="D185" i="11"/>
  <c r="E184" i="11"/>
  <c r="D184" i="11"/>
  <c r="A184" i="11"/>
  <c r="E183" i="11"/>
  <c r="D183" i="11"/>
  <c r="E182" i="11"/>
  <c r="D182" i="11"/>
  <c r="J182" i="11" s="1"/>
  <c r="A182" i="11"/>
  <c r="E181" i="11"/>
  <c r="J153" i="11"/>
  <c r="A153" i="11"/>
  <c r="H152" i="11"/>
  <c r="A152" i="11"/>
  <c r="A150" i="11"/>
  <c r="H149" i="11"/>
  <c r="A149" i="11"/>
  <c r="H148" i="11"/>
  <c r="A148" i="11"/>
  <c r="A147" i="11"/>
  <c r="H42" i="11"/>
  <c r="A42" i="11"/>
  <c r="E41" i="11"/>
  <c r="H41" i="11"/>
  <c r="A41" i="11"/>
  <c r="E40" i="11"/>
  <c r="H40" i="11"/>
  <c r="A40" i="11"/>
  <c r="E39" i="11"/>
  <c r="J39" i="11"/>
  <c r="A39" i="11"/>
  <c r="E38" i="11"/>
  <c r="A38" i="11"/>
  <c r="E37" i="11"/>
  <c r="A37" i="11"/>
  <c r="G36" i="11"/>
  <c r="I36" i="11" s="1"/>
  <c r="E36" i="11"/>
  <c r="G26" i="11"/>
  <c r="A26" i="11"/>
  <c r="G25" i="11"/>
  <c r="I25" i="11"/>
  <c r="A25" i="11"/>
  <c r="G180" i="11"/>
  <c r="E180" i="11"/>
  <c r="D180" i="11"/>
  <c r="J180" i="11" s="1"/>
  <c r="A180" i="11"/>
  <c r="E179" i="11"/>
  <c r="D179" i="11"/>
  <c r="A179" i="11"/>
  <c r="E178" i="11"/>
  <c r="D178" i="11"/>
  <c r="H178" i="11" s="1"/>
  <c r="E177" i="11"/>
  <c r="D177" i="11"/>
  <c r="H177" i="11" s="1"/>
  <c r="A177" i="11"/>
  <c r="E174" i="11"/>
  <c r="D174" i="11"/>
  <c r="H174" i="11" s="1"/>
  <c r="E173" i="11"/>
  <c r="D173" i="11"/>
  <c r="J173" i="11" s="1"/>
  <c r="A173" i="11"/>
  <c r="G172" i="11"/>
  <c r="E172" i="11"/>
  <c r="D172" i="11"/>
  <c r="J172" i="11" s="1"/>
  <c r="D193" i="11"/>
  <c r="J193" i="11" s="1"/>
  <c r="A159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J165" i="11"/>
  <c r="A164" i="11"/>
  <c r="H163" i="11"/>
  <c r="A163" i="11"/>
  <c r="A162" i="11"/>
  <c r="A161" i="11"/>
  <c r="A160" i="11"/>
  <c r="A158" i="11"/>
  <c r="A156" i="11"/>
  <c r="A155" i="11"/>
  <c r="A154" i="11"/>
  <c r="E171" i="11"/>
  <c r="D171" i="11"/>
  <c r="H171" i="11" s="1"/>
  <c r="A171" i="11"/>
  <c r="E170" i="11"/>
  <c r="H170" i="11"/>
  <c r="A170" i="11"/>
  <c r="A165" i="11"/>
  <c r="A166" i="11"/>
  <c r="G193" i="11"/>
  <c r="E193" i="11"/>
  <c r="E20" i="11"/>
  <c r="D20" i="11"/>
  <c r="J20" i="11" s="1"/>
  <c r="A20" i="11"/>
  <c r="G24" i="11"/>
  <c r="E24" i="11"/>
  <c r="J24" i="11"/>
  <c r="A24" i="11"/>
  <c r="G23" i="11"/>
  <c r="E23" i="11"/>
  <c r="D23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21" i="11"/>
  <c r="D21" i="11"/>
  <c r="A21" i="11"/>
  <c r="D22" i="11"/>
  <c r="H22" i="11" s="1"/>
  <c r="E22" i="11"/>
  <c r="D195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22" i="11"/>
  <c r="G194" i="11"/>
  <c r="E194" i="11"/>
  <c r="D194" i="11"/>
  <c r="H194" i="11" s="1"/>
  <c r="E195" i="11"/>
  <c r="D196" i="11"/>
  <c r="H196" i="11" s="1"/>
  <c r="E196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 s="1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9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38" i="11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185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2" i="11"/>
  <c r="I225" i="10"/>
  <c r="I276" i="10"/>
  <c r="I305" i="10"/>
  <c r="I331" i="10"/>
  <c r="I363" i="10"/>
  <c r="I391" i="10"/>
  <c r="I417" i="10"/>
  <c r="I449" i="10"/>
  <c r="I476" i="10"/>
  <c r="I503" i="10"/>
  <c r="I536" i="10"/>
  <c r="G178" i="11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42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183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39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192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184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41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187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179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40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173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191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186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190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171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0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21" i="11"/>
  <c r="G174" i="11"/>
  <c r="G37" i="11"/>
  <c r="G182" i="11"/>
  <c r="N1362" i="10"/>
  <c r="N1357" i="10"/>
  <c r="N1349" i="10"/>
  <c r="N1332" i="10"/>
  <c r="N1316" i="10"/>
  <c r="N1309" i="10"/>
  <c r="N1258" i="10"/>
  <c r="G195" i="11"/>
  <c r="G2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77" i="11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H191" i="11" l="1"/>
  <c r="I191" i="11"/>
  <c r="J191" i="11"/>
  <c r="H190" i="11"/>
  <c r="I190" i="11"/>
  <c r="J190" i="11"/>
  <c r="J181" i="11"/>
  <c r="I181" i="11"/>
  <c r="H181" i="11"/>
  <c r="C65" i="39"/>
  <c r="D65" i="39" s="1"/>
  <c r="E65" i="39" s="1"/>
  <c r="C70" i="39"/>
  <c r="D70" i="39" s="1"/>
  <c r="E70" i="39" s="1"/>
  <c r="C68" i="39"/>
  <c r="D68" i="39" s="1"/>
  <c r="E68" i="39" s="1"/>
  <c r="C63" i="39"/>
  <c r="D63" i="39" s="1"/>
  <c r="E63" i="39" s="1"/>
  <c r="C67" i="39"/>
  <c r="D67" i="39" s="1"/>
  <c r="E67" i="39" s="1"/>
  <c r="C66" i="39"/>
  <c r="D66" i="39" s="1"/>
  <c r="E66" i="39" s="1"/>
  <c r="C72" i="39"/>
  <c r="D72" i="39" s="1"/>
  <c r="E72" i="39" s="1"/>
  <c r="C71" i="39"/>
  <c r="D71" i="39" s="1"/>
  <c r="E71" i="39" s="1"/>
  <c r="C73" i="39"/>
  <c r="D73" i="39" s="1"/>
  <c r="E73" i="39" s="1"/>
  <c r="C64" i="39"/>
  <c r="D64" i="39" s="1"/>
  <c r="E64" i="39" s="1"/>
  <c r="C76" i="39"/>
  <c r="D76" i="39" s="1"/>
  <c r="E76" i="39" s="1"/>
  <c r="C69" i="39"/>
  <c r="D69" i="39" s="1"/>
  <c r="E69" i="39" s="1"/>
  <c r="C74" i="39"/>
  <c r="D74" i="39" s="1"/>
  <c r="E74" i="39" s="1"/>
  <c r="C75" i="39"/>
  <c r="D75" i="39" s="1"/>
  <c r="E75" i="39" s="1"/>
  <c r="H185" i="11"/>
  <c r="J162" i="11"/>
  <c r="H158" i="11"/>
  <c r="J183" i="11"/>
  <c r="H179" i="11"/>
  <c r="K9" i="60"/>
  <c r="K16" i="60" s="1"/>
  <c r="K20" i="60" s="1"/>
  <c r="C8" i="54"/>
  <c r="I8" i="54" s="1"/>
  <c r="C7" i="54"/>
  <c r="I7" i="54" s="1"/>
  <c r="D9" i="60"/>
  <c r="E858" i="41"/>
  <c r="E241" i="29"/>
  <c r="H186" i="11"/>
  <c r="E862" i="41"/>
  <c r="E831" i="41"/>
  <c r="F58" i="39"/>
  <c r="E761" i="41"/>
  <c r="E751" i="41"/>
  <c r="E757" i="41"/>
  <c r="I185" i="11"/>
  <c r="I170" i="11"/>
  <c r="E717" i="41"/>
  <c r="E866" i="41"/>
  <c r="I192" i="11"/>
  <c r="J192" i="11"/>
  <c r="F811" i="41"/>
  <c r="E842" i="41"/>
  <c r="I183" i="11"/>
  <c r="H182" i="11"/>
  <c r="I182" i="11"/>
  <c r="I148" i="11"/>
  <c r="F834" i="41"/>
  <c r="E269" i="29"/>
  <c r="I39" i="11"/>
  <c r="I153" i="11"/>
  <c r="H153" i="11"/>
  <c r="F352" i="29"/>
  <c r="J36" i="39"/>
  <c r="E748" i="41"/>
  <c r="I156" i="11"/>
  <c r="E351" i="29"/>
  <c r="F806" i="41"/>
  <c r="I178" i="11"/>
  <c r="J160" i="11"/>
  <c r="H36" i="11"/>
  <c r="H37" i="11"/>
  <c r="I186" i="11"/>
  <c r="H183" i="11"/>
  <c r="I41" i="11"/>
  <c r="J166" i="11"/>
  <c r="I154" i="11"/>
  <c r="H38" i="11"/>
  <c r="J36" i="11"/>
  <c r="E743" i="41"/>
  <c r="I158" i="11"/>
  <c r="F304" i="29"/>
  <c r="I184" i="11"/>
  <c r="H193" i="11"/>
  <c r="F762" i="41"/>
  <c r="E766" i="41"/>
  <c r="E823" i="41"/>
  <c r="E845" i="41"/>
  <c r="E840" i="41"/>
  <c r="F744" i="41"/>
  <c r="F827" i="41"/>
  <c r="E732" i="41"/>
  <c r="E795" i="41"/>
  <c r="I149" i="11"/>
  <c r="I152" i="11"/>
  <c r="F289" i="29"/>
  <c r="J152" i="11"/>
  <c r="J149" i="11"/>
  <c r="E796" i="41"/>
  <c r="I163" i="11"/>
  <c r="F752" i="41"/>
  <c r="I37" i="11"/>
  <c r="F237" i="29"/>
  <c r="H180" i="11"/>
  <c r="F353" i="29"/>
  <c r="E319" i="29"/>
  <c r="F225" i="29"/>
  <c r="E1227" i="41"/>
  <c r="I196" i="11"/>
  <c r="E1244" i="41"/>
  <c r="E985" i="41"/>
  <c r="E895" i="41"/>
  <c r="F789" i="41"/>
  <c r="F248" i="29"/>
  <c r="E949" i="41"/>
  <c r="E955" i="41"/>
  <c r="F764" i="41"/>
  <c r="E897" i="41"/>
  <c r="I162" i="11"/>
  <c r="E1115" i="41"/>
  <c r="E998" i="41"/>
  <c r="E902" i="41"/>
  <c r="E1099" i="41"/>
  <c r="F727" i="41"/>
  <c r="E346" i="29"/>
  <c r="I40" i="11"/>
  <c r="E793" i="41"/>
  <c r="E917" i="41"/>
  <c r="E1146" i="41"/>
  <c r="E754" i="41"/>
  <c r="E1147" i="41"/>
  <c r="E882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177" i="11"/>
  <c r="I42" i="11"/>
  <c r="E1047" i="41"/>
  <c r="E1272" i="41"/>
  <c r="E818" i="41"/>
  <c r="E1317" i="41"/>
  <c r="F846" i="41"/>
  <c r="E932" i="41"/>
  <c r="E1265" i="41"/>
  <c r="E1085" i="41"/>
  <c r="F857" i="41"/>
  <c r="J158" i="11"/>
  <c r="E1306" i="41"/>
  <c r="E1112" i="41"/>
  <c r="E981" i="41"/>
  <c r="F768" i="41"/>
  <c r="E890" i="41"/>
  <c r="E841" i="41"/>
  <c r="E1068" i="41"/>
  <c r="E749" i="41"/>
  <c r="H25" i="11"/>
  <c r="E1082" i="41"/>
  <c r="E868" i="41"/>
  <c r="E734" i="41"/>
  <c r="E872" i="41"/>
  <c r="E1103" i="41"/>
  <c r="H165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J41" i="11"/>
  <c r="E1008" i="41"/>
  <c r="E758" i="41"/>
  <c r="F736" i="41"/>
  <c r="E763" i="41"/>
  <c r="I179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22" i="11"/>
  <c r="J22" i="11"/>
  <c r="H20" i="11"/>
  <c r="J156" i="11"/>
  <c r="F242" i="29"/>
  <c r="F298" i="29"/>
  <c r="E276" i="29"/>
  <c r="J196" i="11"/>
  <c r="F798" i="41"/>
  <c r="E1235" i="41"/>
  <c r="E1289" i="41"/>
  <c r="E1045" i="41"/>
  <c r="F737" i="41"/>
  <c r="F305" i="29"/>
  <c r="J40" i="11"/>
  <c r="E851" i="41"/>
  <c r="E1171" i="41"/>
  <c r="E794" i="41"/>
  <c r="E740" i="41"/>
  <c r="E1216" i="41"/>
  <c r="E819" i="41"/>
  <c r="H156" i="11"/>
  <c r="E778" i="41"/>
  <c r="F760" i="41"/>
  <c r="F59" i="39"/>
  <c r="I20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185" i="11"/>
  <c r="F769" i="41"/>
  <c r="E1101" i="41"/>
  <c r="E1079" i="41"/>
  <c r="E1249" i="41"/>
  <c r="F745" i="41"/>
  <c r="F801" i="41"/>
  <c r="F782" i="41"/>
  <c r="I173" i="11"/>
  <c r="E861" i="41"/>
  <c r="E1150" i="41"/>
  <c r="E1040" i="41"/>
  <c r="F812" i="41"/>
  <c r="F730" i="41"/>
  <c r="F61" i="39"/>
  <c r="E315" i="29"/>
  <c r="H39" i="11"/>
  <c r="F738" i="41"/>
  <c r="E1064" i="41"/>
  <c r="E332" i="29"/>
  <c r="F324" i="29"/>
  <c r="E278" i="29"/>
  <c r="I165" i="11"/>
  <c r="F843" i="41"/>
  <c r="E1030" i="41"/>
  <c r="F821" i="41"/>
  <c r="F847" i="41"/>
  <c r="E776" i="41"/>
  <c r="E1066" i="41"/>
  <c r="E1168" i="41"/>
  <c r="E790" i="41"/>
  <c r="F772" i="41"/>
  <c r="E735" i="41"/>
  <c r="E971" i="41"/>
  <c r="J177" i="11"/>
  <c r="E249" i="29"/>
  <c r="J148" i="11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I171" i="11"/>
  <c r="J37" i="11"/>
  <c r="J171" i="11"/>
  <c r="I172" i="11"/>
  <c r="I174" i="11"/>
  <c r="H173" i="11"/>
  <c r="J42" i="11"/>
  <c r="F240" i="29"/>
  <c r="J163" i="11"/>
  <c r="H172" i="11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161" i="11"/>
  <c r="H161" i="11"/>
  <c r="I161" i="11"/>
  <c r="H23" i="11"/>
  <c r="J23" i="11"/>
  <c r="I23" i="11"/>
  <c r="J155" i="11"/>
  <c r="I155" i="11"/>
  <c r="H155" i="11"/>
  <c r="F339" i="29"/>
  <c r="E255" i="29"/>
  <c r="E364" i="29"/>
  <c r="F318" i="29"/>
  <c r="F243" i="29"/>
  <c r="E243" i="29"/>
  <c r="F245" i="29"/>
  <c r="E245" i="29"/>
  <c r="F33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J21" i="11"/>
  <c r="H21" i="11"/>
  <c r="I187" i="11"/>
  <c r="H187" i="11"/>
  <c r="E328" i="29"/>
  <c r="F328" i="29"/>
  <c r="J150" i="11"/>
  <c r="H150" i="11"/>
  <c r="E226" i="29"/>
  <c r="E295" i="29"/>
  <c r="F295" i="29"/>
  <c r="H159" i="11"/>
  <c r="J159" i="11"/>
  <c r="I159" i="11"/>
  <c r="I26" i="11"/>
  <c r="J26" i="11"/>
  <c r="H26" i="11"/>
  <c r="E340" i="29"/>
  <c r="E252" i="29"/>
  <c r="F270" i="29"/>
  <c r="E280" i="29"/>
  <c r="H162" i="11"/>
  <c r="I180" i="11"/>
  <c r="F286" i="29"/>
  <c r="E246" i="29"/>
  <c r="F266" i="29"/>
  <c r="F60" i="39"/>
  <c r="J187" i="11"/>
  <c r="H24" i="11"/>
  <c r="E327" i="29"/>
  <c r="E342" i="29"/>
  <c r="F321" i="29"/>
  <c r="I150" i="11"/>
  <c r="H15" i="11"/>
  <c r="H154" i="11"/>
  <c r="I21" i="11"/>
  <c r="J174" i="11"/>
  <c r="J25" i="11"/>
  <c r="E239" i="29"/>
  <c r="I36" i="39"/>
  <c r="J170" i="11"/>
  <c r="J154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E336" i="29"/>
  <c r="F341" i="29"/>
  <c r="E341" i="29"/>
  <c r="F354" i="29"/>
  <c r="E354" i="29"/>
  <c r="F231" i="29"/>
  <c r="E231" i="29"/>
  <c r="F36" i="39"/>
  <c r="E251" i="29"/>
  <c r="F251" i="29"/>
  <c r="F236" i="29"/>
  <c r="E236" i="29"/>
  <c r="F267" i="29"/>
  <c r="E229" i="29"/>
  <c r="F229" i="29"/>
  <c r="F306" i="29"/>
  <c r="F62" i="39"/>
  <c r="E287" i="29"/>
  <c r="F287" i="29"/>
  <c r="F260" i="29"/>
  <c r="E260" i="29"/>
  <c r="E300" i="29"/>
  <c r="E232" i="29"/>
  <c r="F232" i="29"/>
  <c r="F357" i="29"/>
  <c r="E325" i="29"/>
  <c r="F325" i="29"/>
  <c r="E372" i="29"/>
  <c r="E323" i="29"/>
  <c r="F299" i="29"/>
  <c r="E299" i="29"/>
  <c r="E303" i="29"/>
  <c r="F303" i="29"/>
  <c r="F265" i="29"/>
  <c r="E265" i="29"/>
  <c r="F301" i="29"/>
  <c r="F271" i="29"/>
  <c r="E250" i="29"/>
  <c r="F250" i="29"/>
  <c r="E244" i="29"/>
  <c r="F343" i="29"/>
  <c r="F264" i="29"/>
  <c r="E264" i="29"/>
  <c r="E317" i="29"/>
  <c r="F317" i="29"/>
  <c r="E234" i="29"/>
  <c r="F234" i="29"/>
  <c r="F344" i="29"/>
  <c r="F358" i="29"/>
  <c r="E272" i="29"/>
  <c r="E275" i="29"/>
  <c r="F275" i="29"/>
  <c r="E310" i="29"/>
  <c r="F310" i="29"/>
  <c r="I15" i="11"/>
  <c r="H164" i="11"/>
  <c r="I164" i="11"/>
  <c r="J147" i="11"/>
  <c r="H147" i="11"/>
  <c r="I147" i="11"/>
  <c r="E283" i="29"/>
  <c r="F283" i="29"/>
  <c r="K15" i="29"/>
  <c r="E288" i="29"/>
  <c r="F288" i="29"/>
  <c r="H160" i="11"/>
  <c r="I160" i="11"/>
  <c r="E281" i="29"/>
  <c r="F253" i="29"/>
  <c r="E293" i="29"/>
  <c r="F261" i="29"/>
  <c r="E256" i="29"/>
  <c r="E294" i="29"/>
  <c r="J164" i="11"/>
  <c r="H157" i="11"/>
  <c r="I157" i="11"/>
  <c r="J157" i="11"/>
  <c r="H166" i="11"/>
  <c r="I166" i="11"/>
  <c r="J38" i="11"/>
  <c r="I38" i="11"/>
  <c r="E268" i="29"/>
  <c r="F268" i="29"/>
  <c r="J194" i="11"/>
  <c r="I194" i="11"/>
  <c r="H184" i="11"/>
  <c r="J184" i="11"/>
  <c r="E313" i="29"/>
  <c r="J179" i="11"/>
  <c r="I24" i="11"/>
  <c r="I193" i="11"/>
  <c r="J178" i="11"/>
  <c r="K190" i="11" l="1"/>
  <c r="K191" i="11"/>
  <c r="F841" i="41"/>
  <c r="F323" i="29"/>
  <c r="F351" i="29"/>
  <c r="F813" i="41"/>
  <c r="F826" i="41"/>
  <c r="F336" i="29"/>
  <c r="F334" i="29"/>
  <c r="F824" i="41"/>
  <c r="F805" i="41"/>
  <c r="F315" i="29"/>
  <c r="K181" i="11"/>
  <c r="F783" i="41"/>
  <c r="F293" i="29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185" i="11"/>
  <c r="H7" i="54"/>
  <c r="D7" i="54"/>
  <c r="H8" i="54"/>
  <c r="D8" i="54"/>
  <c r="E8" i="54" s="1"/>
  <c r="C9" i="54"/>
  <c r="K186" i="11"/>
  <c r="F373" i="29"/>
  <c r="F1089" i="41"/>
  <c r="F65" i="39"/>
  <c r="F69" i="39"/>
  <c r="F372" i="29"/>
  <c r="F1158" i="41"/>
  <c r="F1052" i="41"/>
  <c r="F371" i="29"/>
  <c r="F940" i="41"/>
  <c r="F369" i="29"/>
  <c r="K170" i="11"/>
  <c r="K192" i="11"/>
  <c r="K183" i="11"/>
  <c r="K182" i="11"/>
  <c r="K36" i="39"/>
  <c r="K148" i="11"/>
  <c r="K153" i="11"/>
  <c r="K39" i="11"/>
  <c r="F852" i="41"/>
  <c r="K42" i="11"/>
  <c r="K25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41" i="11"/>
  <c r="K36" i="11"/>
  <c r="K178" i="11"/>
  <c r="K158" i="11"/>
  <c r="K193" i="11"/>
  <c r="K165" i="11"/>
  <c r="K180" i="11"/>
  <c r="K163" i="11"/>
  <c r="K152" i="11"/>
  <c r="K171" i="11"/>
  <c r="K40" i="11"/>
  <c r="K37" i="11"/>
  <c r="K149" i="11"/>
  <c r="K20" i="11"/>
  <c r="K173" i="11"/>
  <c r="K179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196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4" i="11"/>
  <c r="K177" i="11"/>
  <c r="K162" i="11"/>
  <c r="K156" i="11"/>
  <c r="K174" i="11"/>
  <c r="K22" i="11"/>
  <c r="K172" i="11"/>
  <c r="K154" i="11"/>
  <c r="K159" i="11"/>
  <c r="K150" i="11"/>
  <c r="F338" i="29"/>
  <c r="K164" i="11"/>
  <c r="F837" i="41"/>
  <c r="K21" i="11"/>
  <c r="K155" i="11"/>
  <c r="K160" i="11"/>
  <c r="K184" i="11"/>
  <c r="K187" i="11"/>
  <c r="K26" i="11"/>
  <c r="K166" i="11"/>
  <c r="K194" i="11"/>
  <c r="F347" i="29"/>
  <c r="K23" i="11"/>
  <c r="K161" i="11"/>
  <c r="K147" i="11"/>
  <c r="K157" i="11"/>
  <c r="H198" i="11"/>
  <c r="F828" i="41"/>
  <c r="F802" i="41"/>
  <c r="F312" i="29"/>
  <c r="F233" i="29"/>
  <c r="I198" i="11"/>
  <c r="K15" i="11"/>
  <c r="K38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B26" i="39" s="1"/>
  <c r="E26" i="39" s="1"/>
  <c r="C22" i="39"/>
  <c r="G22" i="39" s="1"/>
  <c r="C34" i="39"/>
  <c r="B34" i="39" s="1"/>
  <c r="E34" i="39" s="1"/>
  <c r="C13" i="41"/>
  <c r="L13" i="41" s="1"/>
  <c r="F29" i="39"/>
  <c r="C30" i="39"/>
  <c r="D30" i="39" s="1"/>
  <c r="J30" i="39" s="1"/>
  <c r="F35" i="39"/>
  <c r="C33" i="39"/>
  <c r="D33" i="39" s="1"/>
  <c r="C24" i="39"/>
  <c r="G24" i="39" s="1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G27" i="39" s="1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L614" i="41" s="1"/>
  <c r="F126" i="41"/>
  <c r="C171" i="41"/>
  <c r="G171" i="41" s="1"/>
  <c r="F62" i="41"/>
  <c r="C86" i="29"/>
  <c r="G86" i="29" s="1"/>
  <c r="F18" i="41"/>
  <c r="F63" i="29"/>
  <c r="F33" i="29"/>
  <c r="C83" i="29"/>
  <c r="B83" i="29" s="1"/>
  <c r="E83" i="29" s="1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B191" i="41" s="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513" i="41"/>
  <c r="F89" i="29"/>
  <c r="B24" i="39"/>
  <c r="E24" i="39" s="1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99" i="11"/>
  <c r="H200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L495" i="41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I199" i="11"/>
  <c r="I200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D614" i="41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C17" i="29"/>
  <c r="G20" i="39"/>
  <c r="J195" i="11"/>
  <c r="F20" i="29"/>
  <c r="C93" i="29"/>
  <c r="C442" i="41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D26" i="39" l="1"/>
  <c r="G25" i="39"/>
  <c r="G26" i="39"/>
  <c r="D380" i="41"/>
  <c r="D24" i="39"/>
  <c r="D83" i="29"/>
  <c r="B27" i="39"/>
  <c r="E27" i="39" s="1"/>
  <c r="G614" i="41"/>
  <c r="L191" i="41"/>
  <c r="G34" i="39"/>
  <c r="D27" i="39"/>
  <c r="B614" i="41"/>
  <c r="G83" i="29"/>
  <c r="G191" i="41"/>
  <c r="D34" i="39"/>
  <c r="D191" i="41"/>
  <c r="G19" i="39"/>
  <c r="B339" i="41"/>
  <c r="I339" i="41" s="1"/>
  <c r="D48" i="29"/>
  <c r="B16" i="29"/>
  <c r="E16" i="29" s="1"/>
  <c r="D43" i="29"/>
  <c r="J43" i="29" s="1"/>
  <c r="L496" i="41"/>
  <c r="B13" i="41"/>
  <c r="K13" i="41" s="1"/>
  <c r="G35" i="39"/>
  <c r="B412" i="41"/>
  <c r="E412" i="41" s="1"/>
  <c r="D339" i="41"/>
  <c r="G546" i="41"/>
  <c r="L412" i="41"/>
  <c r="G412" i="41"/>
  <c r="G339" i="41"/>
  <c r="D61" i="29"/>
  <c r="J61" i="29" s="1"/>
  <c r="G66" i="29"/>
  <c r="D86" i="29"/>
  <c r="H86" i="29" s="1"/>
  <c r="D66" i="29"/>
  <c r="J66" i="29" s="1"/>
  <c r="D599" i="41"/>
  <c r="B19" i="39"/>
  <c r="E19" i="39" s="1"/>
  <c r="L370" i="41"/>
  <c r="D106" i="29"/>
  <c r="H106" i="29" s="1"/>
  <c r="G554" i="41"/>
  <c r="D22" i="39"/>
  <c r="H22" i="39" s="1"/>
  <c r="D202" i="41"/>
  <c r="D21" i="39"/>
  <c r="J21" i="39" s="1"/>
  <c r="B495" i="41"/>
  <c r="K495" i="41" s="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195" i="11"/>
  <c r="K198" i="11" s="1"/>
  <c r="J198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H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H495" i="41"/>
  <c r="I495" i="41"/>
  <c r="J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I43" i="29" l="1"/>
  <c r="E202" i="41"/>
  <c r="E339" i="41"/>
  <c r="J339" i="41"/>
  <c r="H339" i="41"/>
  <c r="I106" i="29"/>
  <c r="J106" i="29"/>
  <c r="H412" i="41"/>
  <c r="J412" i="41"/>
  <c r="K412" i="41"/>
  <c r="I412" i="41"/>
  <c r="K133" i="41"/>
  <c r="H43" i="29"/>
  <c r="K43" i="29" s="1"/>
  <c r="I608" i="41"/>
  <c r="I86" i="29"/>
  <c r="J86" i="29"/>
  <c r="E495" i="41"/>
  <c r="E13" i="41"/>
  <c r="J13" i="41"/>
  <c r="H327" i="41"/>
  <c r="H426" i="41"/>
  <c r="I13" i="41"/>
  <c r="E164" i="41"/>
  <c r="H61" i="29"/>
  <c r="K61" i="29" s="1"/>
  <c r="J22" i="39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99" i="11"/>
  <c r="J200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99" i="11"/>
  <c r="K200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106" i="29" l="1"/>
  <c r="K86" i="29"/>
  <c r="K22" i="39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201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J27" i="54" s="1"/>
  <c r="S17" i="54"/>
  <c r="Q18" i="54"/>
  <c r="T18" i="54" s="1"/>
  <c r="N26" i="54" l="1"/>
  <c r="P26" i="54" s="1"/>
  <c r="N27" i="54"/>
  <c r="P27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<sst xmlns="http://schemas.openxmlformats.org/spreadsheetml/2006/main" count="4924" uniqueCount="1667">
  <si>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</si>
  <si>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</si>
  <si>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</si>
  <si>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</si>
  <si>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</si>
  <si>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</si>
  <si>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</si>
  <si>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</si>
  <si>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</si>
  <si>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</si>
  <si>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</si>
  <si>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</si>
  <si>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</si>
  <si>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</si>
  <si>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</si>
  <si>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</si>
  <si>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</si>
  <si>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</si>
  <si>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</si>
  <si>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</si>
  <si>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</si>
  <si>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</si>
  <si>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</si>
  <si>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</si>
  <si>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</si>
  <si>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</si>
  <si>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</si>
  <si>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</si>
  <si>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</si>
  <si>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</si>
  <si>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</si>
  <si>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</si>
  <si>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</si>
  <si>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</si>
  <si>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</si>
  <si>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</si>
  <si>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</si>
  <si>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</si>
  <si>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</si>
  <si>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</si>
  <si>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</si>
  <si>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</si>
  <si>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</si>
  <si>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</si>
  <si>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</si>
  <si>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</si>
  <si>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</si>
  <si>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</si>
  <si>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</si>
  <si>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</si>
  <si>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</si>
  <si>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</si>
  <si>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</si>
  <si>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</si>
  <si>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</si>
  <si>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</si>
  <si>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</si>
  <si>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</si>
  <si>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</si>
  <si>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</si>
  <si>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</si>
  <si>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</si>
  <si>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</si>
  <si>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</si>
  <si>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</si>
  <si>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</si>
  <si>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</si>
  <si>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</si>
  <si>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</si>
  <si>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</si>
  <si>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</si>
  <si>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</si>
  <si>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</si>
  <si>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</si>
  <si>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</si>
  <si>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</si>
  <si>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</si>
  <si>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</si>
  <si>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</si>
  <si>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</si>
  <si>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</si>
  <si>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</si>
  <si>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</si>
  <si>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</si>
  <si>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</si>
  <si>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</si>
  <si>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</si>
  <si>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</si>
  <si>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</si>
  <si>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</si>
  <si>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</si>
  <si>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</si>
  <si>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</si>
  <si>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</si>
  <si>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</si>
  <si>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</si>
  <si>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</si>
  <si>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</si>
  <si>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</si>
  <si>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</si>
  <si>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</si>
  <si>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</si>
  <si>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</si>
  <si>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</si>
  <si>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</si>
  <si>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</si>
  <si>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</si>
  <si>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</si>
  <si>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</si>
  <si>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</si>
  <si>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</si>
  <si>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</si>
  <si>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</si>
  <si>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</si>
  <si>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</si>
  <si>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</si>
  <si>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</si>
  <si>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</si>
  <si>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</si>
  <si>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</si>
  <si>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</si>
  <si>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</si>
  <si>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</si>
  <si>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</si>
  <si>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</si>
  <si>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</si>
  <si>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</si>
  <si>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</si>
  <si>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</si>
  <si>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</si>
  <si>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</si>
  <si>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</si>
  <si>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</si>
  <si>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</si>
  <si>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</si>
  <si>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</si>
  <si>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</si>
  <si>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</si>
  <si>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</si>
  <si>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</si>
  <si>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</si>
  <si>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</si>
  <si>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</si>
  <si>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</si>
  <si>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</si>
  <si>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</si>
  <si>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</si>
  <si>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</si>
  <si>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</si>
  <si>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</si>
  <si>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</si>
  <si>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</si>
  <si>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</si>
  <si>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</si>
  <si>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</si>
  <si>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</si>
  <si>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</si>
  <si>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</si>
  <si>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</si>
  <si>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</si>
  <si>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</si>
  <si>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</si>
  <si>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</si>
  <si>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</si>
  <si>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</si>
  <si>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</si>
  <si>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</si>
  <si>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</si>
  <si>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</si>
  <si>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</si>
  <si>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</si>
  <si>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</si>
  <si>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</si>
  <si>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</si>
  <si>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</si>
  <si>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</si>
  <si>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</si>
  <si>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</si>
  <si>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</si>
  <si>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</si>
  <si>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</si>
  <si>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</si>
  <si>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</si>
  <si>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</si>
  <si>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</si>
  <si>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</si>
  <si>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</si>
  <si>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</si>
  <si>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</si>
  <si>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</si>
  <si>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</si>
  <si>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</si>
  <si>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</si>
  <si>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</si>
  <si>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</si>
  <si>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</si>
  <si>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</si>
  <si>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</si>
  <si>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</si>
  <si>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</si>
  <si>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</si>
  <si>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</si>
  <si>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</si>
  <si>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</si>
  <si>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</si>
  <si>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</si>
  <si>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</si>
  <si>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</si>
  <si>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</si>
  <si>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</si>
  <si>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</si>
  <si>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</si>
  <si>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</si>
  <si>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</si>
  <si>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</si>
  <si>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</si>
  <si>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</si>
  <si>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</si>
  <si>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</si>
  <si>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</si>
  <si>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</si>
  <si>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</si>
  <si>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</si>
  <si>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</si>
  <si>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</si>
  <si>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</si>
  <si>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</si>
  <si>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</si>
  <si>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</si>
  <si>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</si>
  <si>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</si>
  <si>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</si>
  <si>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</si>
  <si>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</si>
  <si>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</si>
  <si>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</si>
  <si>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</si>
  <si>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</si>
  <si>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</si>
  <si>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</si>
  <si>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</si>
  <si>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</si>
  <si>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</si>
  <si>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</si>
  <si>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</si>
  <si>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</si>
  <si>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</si>
  <si>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</si>
  <si>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</si>
  <si>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</si>
  <si>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</si>
  <si>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</si>
  <si>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</si>
  <si>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</si>
  <si>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</si>
  <si>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</si>
  <si>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</si>
  <si>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</si>
  <si>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</si>
  <si>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</si>
  <si>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</si>
  <si>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</si>
  <si>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</si>
  <si>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</si>
  <si>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</si>
  <si>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</si>
  <si>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</si>
  <si>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</si>
  <si>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</si>
  <si>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</si>
  <si>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</si>
  <si>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</si>
  <si>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</si>
  <si>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</si>
  <si>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</si>
  <si>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</si>
  <si>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</si>
  <si>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</si>
  <si>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</si>
  <si>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</si>
  <si>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</si>
  <si>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</si>
  <si>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</si>
  <si>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</si>
  <si>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</si>
  <si>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</si>
  <si>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</si>
  <si>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</si>
  <si>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</si>
  <si>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</si>
  <si>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</si>
  <si>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</si>
  <si>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</si>
  <si>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</si>
  <si>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</si>
  <si>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</si>
  <si>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</si>
  <si>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</si>
  <si>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</si>
  <si>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</si>
  <si>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</si>
  <si>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</si>
  <si>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</si>
  <si>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</si>
  <si>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</si>
  <si>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</si>
  <si>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</si>
  <si>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</si>
  <si>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</si>
  <si>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</si>
  <si>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</si>
  <si>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</si>
  <si>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</si>
  <si>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</si>
  <si>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</si>
  <si>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</si>
  <si>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</si>
  <si>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</si>
  <si>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</si>
  <si>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</si>
  <si>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</si>
  <si>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</si>
  <si>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</si>
  <si>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</si>
  <si>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</si>
  <si>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</si>
  <si>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</si>
  <si>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</si>
  <si>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</si>
  <si>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</si>
  <si>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</si>
  <si>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</si>
  <si>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</si>
  <si>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</si>
  <si>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</si>
  <si>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</si>
  <si>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</si>
  <si>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</si>
  <si>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</si>
  <si>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</si>
  <si>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</si>
  <si>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</si>
  <si>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</si>
  <si>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</si>
  <si>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</si>
  <si>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</si>
  <si>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</si>
  <si>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</si>
  <si>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</si>
  <si>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</si>
  <si>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</si>
  <si>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</si>
  <si>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</si>
  <si>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</si>
  <si>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</si>
  <si>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</si>
  <si>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</si>
  <si>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</si>
  <si>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</si>
  <si>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</si>
  <si>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</si>
  <si>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</si>
  <si>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</si>
  <si>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</si>
  <si>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</si>
  <si>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</si>
  <si>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</si>
  <si>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</si>
  <si>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</si>
  <si>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</si>
  <si>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</si>
  <si>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</si>
  <si>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</si>
  <si>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</si>
  <si>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</si>
  <si>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</si>
  <si>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</si>
  <si>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</si>
  <si>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</si>
  <si>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</si>
  <si>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</si>
  <si>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</si>
  <si>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</si>
  <si>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</si>
  <si>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</si>
  <si>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</si>
  <si>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</si>
  <si>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</si>
  <si>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</si>
  <si>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</si>
  <si>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</si>
  <si>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</si>
  <si>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</si>
  <si>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</si>
  <si>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</si>
  <si>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</si>
  <si>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</si>
  <si>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</si>
  <si>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</si>
  <si>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</si>
  <si>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</si>
  <si>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</si>
  <si>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</si>
  <si>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</si>
  <si>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</si>
  <si>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</si>
  <si>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</si>
  <si>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</si>
  <si>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</si>
  <si>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</si>
  <si>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</si>
  <si>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</si>
  <si>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</si>
  <si>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</si>
  <si>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</si>
  <si>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</si>
  <si>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</si>
  <si>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</si>
  <si>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</si>
  <si>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</si>
  <si>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</si>
  <si>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</si>
  <si>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</si>
  <si>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</si>
  <si>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</si>
  <si>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</si>
  <si>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</si>
  <si>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</si>
  <si>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</si>
  <si>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</si>
  <si>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</si>
  <si>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</si>
  <si>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</si>
  <si>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</si>
  <si>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</si>
  <si>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</si>
  <si>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</si>
  <si>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</si>
  <si>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</si>
  <si>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</si>
  <si>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</si>
  <si>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</si>
  <si>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</si>
  <si>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</si>
  <si>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</si>
  <si>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</si>
  <si>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</si>
  <si>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</si>
  <si>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</si>
  <si>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</si>
  <si>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</si>
  <si>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</si>
  <si>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</si>
  <si>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</si>
  <si>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</si>
  <si>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</si>
  <si>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</si>
  <si>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</si>
  <si>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</si>
  <si>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</si>
  <si>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</si>
  <si>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</si>
  <si>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</si>
  <si>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</si>
  <si>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</si>
  <si>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</si>
  <si>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</si>
  <si>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</si>
  <si>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</si>
  <si>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</si>
  <si>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</si>
  <si>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</si>
  <si>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</si>
  <si>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</si>
  <si>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</si>
  <si>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</si>
  <si>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</si>
  <si>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</si>
  <si>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</si>
  <si>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</si>
  <si>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</si>
  <si>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</si>
  <si>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</si>
  <si>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</si>
  <si>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</si>
  <si>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</si>
  <si>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</si>
  <si>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</si>
  <si>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</si>
  <si>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</si>
  <si>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</si>
  <si>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</si>
  <si>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</si>
  <si>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</si>
  <si>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</si>
  <si>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</si>
  <si>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</si>
  <si>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</si>
  <si>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</si>
  <si>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</si>
  <si>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</si>
  <si>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</si>
  <si>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</si>
  <si>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</si>
  <si>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</si>
  <si>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</si>
  <si>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</si>
  <si>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</si>
  <si>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</si>
  <si>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</si>
  <si>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</si>
  <si>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</si>
  <si>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</si>
  <si>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</si>
  <si>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</si>
  <si>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</si>
  <si>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</si>
  <si>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</si>
  <si>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</si>
  <si>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</si>
  <si>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</si>
  <si>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</si>
  <si>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</si>
  <si>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</si>
  <si>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</si>
  <si>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</si>
  <si>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</si>
  <si>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</si>
  <si>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</si>
  <si>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</si>
  <si>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</si>
  <si>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</si>
  <si>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</si>
  <si>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</si>
  <si>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</si>
  <si>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</si>
  <si>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</si>
  <si>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</si>
  <si>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</si>
  <si>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</si>
  <si>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</si>
  <si>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</si>
  <si>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</si>
  <si>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</si>
  <si>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</si>
  <si>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</si>
  <si>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</si>
  <si>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</si>
  <si>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</si>
  <si>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</si>
  <si>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</si>
  <si>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</si>
  <si>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</si>
  <si>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</si>
  <si>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</si>
  <si>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</si>
  <si>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</si>
  <si>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</si>
  <si>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</si>
  <si>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</si>
  <si>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</si>
  <si>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</si>
  <si>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</si>
  <si>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</si>
  <si>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</si>
  <si>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</si>
  <si>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</si>
  <si>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</si>
  <si>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</si>
  <si>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</si>
  <si>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</si>
  <si>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</si>
  <si>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</si>
  <si>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</si>
  <si>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</si>
  <si>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</si>
  <si>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</si>
  <si>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</si>
  <si>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</si>
  <si>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</si>
  <si>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</si>
  <si>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</si>
  <si>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</si>
  <si>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</si>
  <si>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</si>
  <si>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</si>
  <si>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</si>
  <si>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</si>
  <si>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</si>
  <si>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</si>
  <si>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</si>
  <si>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</si>
  <si>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</si>
  <si>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</si>
  <si>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</si>
  <si>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</si>
  <si>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</si>
  <si>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</si>
  <si>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</si>
  <si>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</si>
  <si>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</si>
  <si>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</si>
  <si>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</si>
  <si>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</si>
  <si>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</si>
  <si>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</si>
  <si>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</si>
  <si>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</si>
  <si>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</si>
  <si>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</si>
  <si>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</si>
  <si>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</si>
  <si>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</si>
  <si>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</si>
  <si>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</si>
  <si>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</si>
  <si>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</si>
  <si>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</si>
  <si>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</si>
  <si>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</si>
  <si>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</si>
  <si>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</si>
  <si>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</si>
  <si>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</si>
  <si>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</si>
  <si>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</si>
  <si>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</si>
  <si>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</si>
  <si>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</si>
  <si>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</si>
  <si>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</si>
  <si>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</si>
  <si>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</si>
  <si>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</si>
  <si>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</si>
  <si>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</si>
  <si>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</si>
  <si>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</si>
  <si>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</si>
  <si>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</si>
  <si>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</si>
  <si>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</si>
  <si>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</si>
  <si>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</si>
  <si>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</si>
  <si>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</si>
  <si>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</si>
  <si>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</si>
  <si>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</si>
  <si>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</si>
  <si>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</si>
  <si>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</si>
  <si>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</si>
  <si>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</si>
  <si>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</si>
  <si>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</si>
  <si>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</si>
  <si>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</si>
  <si>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</si>
  <si>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</si>
  <si>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</si>
  <si>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</si>
  <si>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</si>
  <si>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</si>
  <si>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</si>
  <si>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</si>
  <si>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</si>
  <si>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</si>
  <si>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</si>
  <si>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</si>
  <si>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</si>
  <si>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</si>
  <si>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</si>
  <si>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</si>
  <si>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</si>
  <si>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</si>
  <si>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</si>
  <si>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</si>
  <si>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</si>
  <si>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</si>
  <si>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</si>
  <si>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</si>
  <si>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</si>
  <si>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</si>
  <si>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</si>
  <si>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</si>
  <si>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</si>
  <si>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</si>
  <si>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</si>
  <si>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</si>
  <si>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</si>
  <si>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</si>
  <si>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</si>
  <si>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</si>
  <si>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</si>
  <si>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</si>
  <si>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</si>
  <si>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</si>
  <si>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</si>
  <si>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</si>
  <si>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</si>
  <si>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</si>
  <si>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</si>
  <si>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</si>
  <si>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</si>
  <si>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</si>
  <si>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</si>
  <si>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</si>
  <si>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</si>
  <si>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</si>
  <si>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</si>
  <si>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</si>
  <si>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</si>
  <si>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</si>
  <si>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</si>
  <si>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</si>
  <si>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</si>
  <si>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</si>
  <si>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</si>
  <si>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</si>
  <si>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</si>
  <si>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</si>
  <si>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</si>
  <si>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</si>
  <si>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</si>
  <si>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</si>
  <si>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</si>
  <si>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</si>
  <si>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</si>
  <si>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</si>
  <si>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</si>
  <si>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</si>
  <si>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</si>
  <si>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</si>
  <si>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</si>
  <si>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</si>
  <si>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</si>
  <si>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</si>
  <si>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</si>
  <si>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</si>
  <si>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</si>
  <si>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</si>
  <si>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</si>
  <si>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</si>
  <si>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</si>
  <si>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</si>
  <si>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</si>
  <si>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</si>
  <si>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</si>
  <si>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</si>
  <si>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</si>
  <si>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</si>
  <si>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</si>
  <si>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</si>
  <si>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</si>
  <si>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</si>
  <si>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</si>
  <si>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</si>
  <si>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</si>
  <si>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</si>
  <si>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</si>
  <si>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</si>
  <si>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</si>
  <si>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</si>
  <si>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</si>
  <si>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</si>
  <si>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</si>
  <si>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</si>
  <si>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</si>
  <si>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</si>
  <si>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</si>
  <si>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</si>
  <si>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</si>
  <si>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</si>
  <si>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</si>
  <si>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</si>
  <si>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</si>
  <si>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</si>
  <si>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</si>
  <si>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</si>
  <si>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</si>
  <si>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</si>
  <si>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</si>
  <si>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</si>
  <si>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</si>
  <si>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</si>
  <si>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</si>
  <si>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</si>
  <si>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</si>
  <si>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</si>
  <si>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</si>
  <si>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</si>
  <si>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</si>
  <si>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</si>
  <si>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</si>
  <si>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</si>
  <si>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</si>
  <si>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</si>
  <si>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</si>
  <si>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</si>
  <si>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</si>
  <si>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</si>
  <si>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</si>
  <si>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</si>
  <si>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</si>
  <si>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</si>
  <si>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</si>
  <si>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</si>
  <si>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</si>
  <si>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</si>
  <si>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</si>
  <si>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</si>
  <si>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</si>
  <si>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</si>
  <si>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</si>
  <si>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</si>
  <si>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</si>
  <si>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</si>
  <si>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</si>
  <si>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</si>
  <si>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</si>
  <si>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</si>
  <si>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</si>
  <si>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</si>
  <si>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</si>
  <si>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</si>
  <si>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</si>
  <si>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</si>
  <si>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</si>
  <si>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</si>
  <si>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</si>
  <si>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</si>
  <si>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</si>
  <si>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</si>
  <si>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</si>
  <si>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</si>
  <si>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</si>
  <si>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</si>
  <si>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</si>
  <si>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</si>
  <si>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</si>
  <si>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</si>
  <si>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</si>
  <si>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</si>
  <si>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</si>
  <si>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</si>
  <si>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</si>
  <si>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</si>
  <si>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</si>
  <si>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</si>
  <si>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</si>
  <si>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</si>
  <si>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</si>
  <si>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</si>
  <si>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</si>
  <si>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</si>
  <si>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</si>
  <si>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</si>
  <si>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</si>
  <si>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</si>
  <si>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</si>
  <si>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</si>
  <si>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</si>
  <si>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</si>
  <si>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</si>
  <si>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</si>
  <si>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</si>
  <si>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</si>
  <si>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</si>
  <si>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</si>
  <si>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</si>
  <si>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</si>
  <si>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</si>
  <si>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</si>
  <si>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</si>
  <si>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</si>
  <si>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</si>
  <si>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</si>
  <si>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</si>
  <si>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</si>
  <si>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</si>
  <si>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</si>
  <si>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</si>
  <si>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</si>
  <si>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</si>
  <si>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</si>
  <si>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</si>
  <si>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</si>
  <si>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</si>
  <si>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</si>
  <si>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</si>
  <si>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</si>
  <si>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</si>
  <si>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</si>
  <si>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</si>
  <si>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</si>
  <si>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</si>
  <si>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</si>
  <si>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</si>
  <si>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</si>
  <si>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</si>
  <si>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</si>
  <si>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</si>
  <si>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</si>
  <si>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</si>
  <si>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</si>
  <si>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</si>
  <si>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</si>
  <si>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</si>
  <si>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</si>
  <si>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</si>
  <si>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</si>
  <si>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</si>
  <si>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</si>
  <si>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</si>
  <si>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</si>
  <si>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</si>
  <si>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</si>
  <si>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</si>
  <si>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</si>
  <si>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</si>
  <si>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</si>
  <si>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</si>
  <si>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</si>
  <si>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</si>
  <si>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</si>
  <si>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</si>
  <si>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</si>
  <si>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</si>
  <si>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</si>
  <si>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</si>
  <si>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</si>
  <si>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</si>
  <si>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</si>
  <si>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</si>
  <si>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</si>
  <si>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</si>
  <si>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</si>
  <si>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</si>
  <si>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</si>
  <si>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</si>
  <si>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</si>
  <si>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</si>
  <si>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</si>
  <si>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</si>
  <si>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</si>
  <si>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</si>
  <si>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</si>
  <si>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</si>
  <si>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</si>
  <si>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</si>
  <si>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</si>
  <si>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</si>
  <si>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</si>
  <si>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</si>
  <si>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</si>
  <si>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</si>
  <si>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</si>
  <si>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</si>
  <si>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</si>
  <si>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</si>
  <si>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</si>
  <si>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</si>
  <si>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</si>
  <si>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</si>
  <si>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</si>
  <si>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</si>
  <si>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</si>
  <si>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</si>
  <si>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</si>
  <si>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</si>
  <si>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</si>
  <si>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</si>
  <si>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</si>
  <si>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</si>
  <si>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</si>
  <si>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</si>
  <si>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</si>
  <si>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</si>
  <si>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</si>
  <si>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</si>
  <si>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</si>
  <si>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</si>
  <si>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</si>
  <si>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</si>
  <si>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</si>
  <si>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</si>
  <si>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</si>
  <si>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</si>
  <si>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</si>
  <si>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</si>
  <si>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</si>
  <si>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</si>
  <si>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</si>
  <si>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</si>
  <si>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</si>
  <si>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</si>
  <si>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</si>
  <si>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</si>
  <si>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</si>
  <si>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</si>
  <si>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</si>
  <si>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</si>
  <si>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</si>
  <si>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</si>
  <si>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</si>
  <si>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</si>
  <si>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</si>
  <si>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</si>
  <si>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</si>
  <si>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</si>
  <si>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</si>
  <si>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</si>
  <si>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</si>
  <si>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</si>
  <si>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</si>
  <si>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</si>
  <si>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</si>
  <si>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</si>
  <si>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</si>
  <si>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</si>
  <si>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</si>
  <si>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</si>
  <si>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</si>
  <si>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</si>
  <si>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</si>
  <si>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</si>
  <si>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</si>
  <si>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</si>
  <si>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</si>
  <si>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</si>
  <si>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</si>
  <si>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</si>
  <si>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</si>
  <si>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</si>
  <si>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</si>
  <si>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</si>
  <si>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</si>
  <si>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</si>
  <si>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</si>
  <si>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</si>
  <si>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</si>
  <si>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</si>
  <si>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</si>
  <si>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</si>
  <si>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</si>
  <si>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</si>
  <si>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</si>
  <si>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</si>
  <si>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</si>
  <si>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</si>
  <si>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</si>
  <si>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</si>
  <si>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</si>
  <si>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</si>
  <si>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</si>
  <si>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</si>
  <si>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</si>
  <si>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</si>
  <si>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</si>
  <si>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</si>
  <si>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</si>
  <si>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</si>
  <si>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</si>
  <si>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</si>
  <si>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</si>
  <si>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</si>
  <si>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</si>
  <si>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</si>
  <si>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</si>
  <si>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</si>
  <si>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</si>
  <si>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</si>
  <si>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</si>
  <si>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</si>
  <si>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</si>
  <si>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</si>
  <si>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</si>
  <si>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</si>
  <si>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</si>
  <si>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</si>
  <si>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</si>
  <si>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</si>
  <si>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</si>
  <si>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</si>
  <si>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</si>
  <si>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</si>
  <si>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</si>
  <si>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</si>
  <si>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</si>
  <si>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</si>
  <si>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</si>
  <si>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</si>
  <si>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</si>
  <si>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</si>
  <si>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</si>
  <si>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</si>
  <si>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</si>
  <si>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</si>
  <si>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</si>
  <si>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</si>
  <si>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</si>
  <si>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</si>
  <si>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</si>
  <si>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</si>
  <si>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</si>
  <si>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</si>
  <si>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</si>
  <si>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</si>
  <si>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</si>
  <si>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</si>
  <si>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</si>
  <si>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</si>
  <si>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</si>
  <si>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</si>
  <si>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</si>
  <si>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</si>
  <si>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</si>
  <si>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</si>
  <si>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</si>
  <si>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</si>
  <si>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</si>
  <si>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</si>
  <si>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</si>
  <si>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</si>
  <si>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</si>
  <si>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</si>
  <si>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</si>
  <si>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</si>
  <si>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</si>
  <si>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</si>
  <si>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</si>
  <si>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</si>
  <si>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</si>
  <si>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</si>
  <si>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</si>
  <si>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</si>
  <si>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</si>
  <si>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</si>
  <si>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</si>
  <si>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</si>
  <si>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</si>
  <si>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</si>
  <si>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</si>
  <si>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</si>
  <si>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</si>
  <si>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</si>
  <si>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</si>
  <si>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</si>
  <si>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</si>
  <si>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</si>
  <si>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</si>
  <si>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</si>
  <si>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</si>
  <si>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</si>
  <si>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</si>
  <si>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</si>
  <si>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</si>
  <si>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</si>
  <si>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</si>
  <si>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</si>
  <si>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</si>
  <si>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</si>
  <si>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</si>
  <si>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</si>
  <si>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</si>
  <si>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</si>
  <si>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</si>
  <si>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</si>
  <si>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</si>
  <si>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</si>
  <si>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</si>
  <si>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</si>
  <si>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</si>
  <si>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</si>
  <si>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</si>
  <si>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</si>
  <si>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</si>
  <si>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</si>
  <si>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</si>
  <si>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</si>
  <si>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</si>
  <si>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</si>
  <si>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</si>
  <si>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</si>
  <si>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</si>
  <si>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</si>
  <si>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</si>
  <si>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</si>
  <si>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</si>
  <si>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</si>
  <si>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</si>
  <si>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</si>
  <si>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</si>
  <si>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</si>
  <si>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</si>
  <si>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</si>
  <si>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</si>
  <si>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</si>
  <si>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</si>
  <si>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</si>
  <si>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</si>
  <si>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</si>
  <si>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</si>
  <si>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</si>
  <si>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</si>
  <si>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</si>
  <si>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</si>
  <si>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</si>
  <si>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</si>
  <si>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</si>
  <si>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</si>
  <si>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</si>
  <si>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</si>
  <si>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</si>
  <si>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</si>
  <si>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</si>
  <si>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</si>
  <si>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</si>
  <si>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</si>
  <si>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</si>
  <si>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</si>
  <si>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</si>
  <si>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</si>
  <si>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</si>
  <si>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</si>
  <si>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</si>
  <si>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</si>
  <si>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</si>
  <si>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</si>
  <si>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</si>
  <si>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</si>
  <si>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</si>
  <si>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</si>
  <si>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</si>
  <si>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</si>
  <si>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</si>
  <si>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</si>
  <si>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</si>
  <si>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</si>
  <si>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</si>
  <si>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</si>
  <si>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</si>
  <si>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</si>
  <si>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</si>
  <si>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</si>
  <si>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</si>
  <si>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</si>
  <si>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</si>
  <si>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</si>
  <si>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</si>
  <si>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</si>
  <si>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</si>
  <si>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</si>
  <si>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</si>
  <si>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</si>
  <si>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</si>
  <si>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</si>
  <si>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</si>
  <si>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</si>
  <si>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</si>
  <si>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</si>
  <si>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</si>
  <si>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</si>
  <si>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</si>
  <si>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</si>
  <si>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</si>
  <si>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</si>
  <si>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</si>
  <si>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</si>
  <si>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</si>
  <si>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</si>
  <si>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</si>
  <si>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</si>
  <si>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</si>
  <si>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</si>
  <si>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</si>
  <si>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</si>
  <si>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</si>
  <si>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</si>
  <si>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</si>
  <si>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</si>
  <si>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</si>
  <si>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</si>
  <si>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</si>
  <si>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</si>
  <si>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</si>
  <si>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</si>
  <si>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</si>
  <si>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</si>
  <si>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</si>
  <si>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</si>
  <si>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</si>
  <si>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</si>
  <si>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</si>
  <si>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</si>
  <si>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</si>
  <si>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</si>
  <si>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</si>
  <si>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</si>
  <si>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</si>
  <si>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</si>
  <si>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</si>
  <si>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</si>
  <si>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</si>
  <si>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</si>
  <si>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</si>
  <si>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</si>
  <si>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</si>
  <si>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</si>
  <si>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</si>
  <si>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</si>
  <si>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</si>
  <si>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</si>
  <si>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</si>
  <si>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</si>
  <si>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</si>
  <si>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</si>
  <si>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</si>
  <si>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</si>
  <si>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</si>
  <si>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</si>
  <si>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</si>
  <si>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</si>
  <si>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</si>
  <si>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</si>
  <si>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</si>
  <si>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</si>
  <si>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</si>
  <si>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</si>
  <si>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</si>
  <si>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</si>
  <si>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</si>
  <si>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</si>
  <si>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</si>
  <si>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</si>
  <si>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</si>
  <si>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</si>
  <si>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</si>
  <si>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</si>
  <si>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</si>
  <si>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</si>
  <si>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</si>
  <si>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</si>
  <si>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</si>
  <si>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</si>
  <si>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</si>
  <si>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</si>
  <si>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</si>
  <si>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</si>
  <si>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</si>
  <si>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</si>
  <si>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</si>
  <si>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</si>
  <si>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</si>
  <si>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</si>
  <si>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</si>
  <si>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</si>
  <si>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</si>
  <si>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</si>
  <si>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</si>
  <si>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</si>
  <si>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</si>
  <si>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</si>
  <si>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</si>
  <si>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</si>
  <si>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</si>
  <si>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</si>
  <si>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</si>
  <si>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</si>
  <si>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</si>
  <si>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</si>
  <si>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</si>
  <si>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</si>
  <si>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</si>
  <si>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</si>
  <si>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</si>
  <si>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</si>
  <si>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</si>
  <si>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</si>
  <si>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</si>
  <si>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</si>
  <si>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</si>
  <si>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</si>
  <si>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</si>
  <si>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</si>
  <si>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</si>
  <si>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</si>
  <si>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</si>
  <si>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</si>
  <si>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</si>
  <si>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</si>
  <si>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</si>
  <si>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</si>
  <si>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</si>
  <si>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</si>
  <si>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</si>
  <si>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</si>
  <si>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</si>
  <si>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</si>
  <si>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</si>
  <si>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</si>
  <si>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</si>
  <si>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</si>
  <si>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</si>
  <si>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</si>
  <si>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</si>
  <si>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</si>
  <si>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</si>
  <si>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</si>
  <si>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</si>
  <si>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</si>
  <si>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</si>
  <si>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</si>
  <si>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</si>
  <si>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</si>
  <si>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</si>
  <si>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</si>
  <si>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</si>
  <si>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</si>
  <si>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</si>
  <si>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</si>
  <si>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</si>
  <si>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</si>
  <si>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</si>
  <si>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</si>
  <si>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</si>
  <si>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</si>
  <si>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</si>
  <si>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</si>
  <si>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</si>
  <si>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</si>
  <si>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</si>
  <si>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</si>
  <si>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</si>
  <si>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</si>
  <si>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</si>
  <si>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</si>
  <si>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</si>
  <si>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</si>
  <si>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</si>
  <si>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</si>
  <si>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</si>
  <si>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</si>
  <si>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</si>
  <si>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</si>
  <si>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</si>
  <si>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</si>
  <si>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</si>
  <si>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</si>
  <si>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</si>
  <si>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</si>
  <si>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</si>
  <si>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</si>
  <si>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</si>
  <si>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</si>
  <si>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</si>
  <si>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</si>
  <si>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</si>
  <si>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</si>
  <si>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</si>
  <si>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</si>
  <si>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</si>
  <si>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</si>
  <si>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</si>
  <si>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</si>
  <si>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</si>
  <si>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</si>
  <si>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</si>
  <si>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</si>
  <si>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</si>
  <si>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</si>
  <si>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</si>
  <si>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</si>
  <si>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</si>
  <si>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</si>
  <si>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</si>
  <si>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</si>
  <si>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</si>
  <si>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</si>
  <si>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</si>
  <si>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</si>
  <si>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</si>
  <si>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</si>
  <si>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</si>
  <si>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</si>
  <si>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</si>
  <si>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</si>
  <si>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</si>
  <si>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</si>
  <si>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</si>
  <si>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</si>
  <si>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</si>
  <si>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</si>
  <si>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</si>
  <si>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</si>
  <si>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</si>
  <si>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</si>
  <si>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</si>
  <si>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</si>
  <si>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</si>
  <si>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</si>
  <si>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</si>
  <si>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</si>
  <si>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</si>
  <si>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</si>
  <si>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</si>
  <si>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</si>
  <si>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</si>
  <si>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</si>
  <si>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</si>
  <si>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</si>
  <si>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</si>
  <si>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</si>
  <si>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</si>
  <si>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</si>
  <si>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</si>
  <si>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</si>
  <si>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</si>
  <si>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</si>
  <si>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</si>
  <si>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</si>
  <si>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</si>
  <si>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</si>
  <si>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</si>
  <si>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</si>
  <si>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</si>
  <si>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</si>
  <si>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</si>
  <si>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</si>
  <si>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</si>
  <si>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</si>
  <si>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</si>
  <si>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</si>
  <si>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</si>
  <si>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</si>
  <si>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</si>
  <si>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</si>
  <si>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</si>
  <si>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</si>
  <si>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</si>
  <si>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</si>
  <si>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</si>
  <si>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</si>
  <si>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</si>
  <si>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</si>
  <si>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</si>
  <si>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</si>
  <si>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</si>
  <si>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</si>
  <si>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</si>
  <si>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</si>
  <si>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</si>
  <si>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</si>
  <si>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</si>
  <si>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</si>
  <si>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</si>
  <si>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</si>
  <si>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</si>
  <si>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</si>
  <si>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</si>
  <si>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</si>
  <si>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</si>
  <si>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</si>
  <si>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</si>
  <si>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</si>
  <si>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</si>
  <si>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</si>
  <si>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</si>
  <si>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</si>
  <si>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</si>
  <si>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</si>
  <si>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</si>
  <si>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</si>
  <si>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</si>
  <si>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</si>
  <si>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</si>
  <si>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</si>
  <si>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</si>
  <si>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</si>
  <si>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</si>
  <si>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B2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</si>
  <si>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</si>
  <si>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</si>
  <si>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</si>
  <si>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</si>
  <si>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</si>
  <si>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</si>
  <si>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</si>
  <si>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</si>
  <si>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</si>
  <si>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</si>
  <si>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</si>
  <si>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</si>
  <si>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</si>
  <si>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</si>
  <si>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</si>
  <si>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</si>
  <si>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</si>
  <si>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</si>
  <si>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</si>
  <si>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</si>
  <si>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</si>
  <si>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</si>
  <si>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</si>
  <si>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</si>
  <si>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</si>
  <si>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</si>
  <si>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</si>
  <si>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</si>
  <si>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</si>
  <si>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</si>
  <si>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</si>
  <si>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</si>
  <si>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</si>
  <si>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</si>
  <si>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</si>
  <si>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</si>
  <si>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</si>
  <si>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</si>
  <si>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</si>
  <si>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</si>
  <si>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</si>
  <si>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</si>
  <si>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Hasil Ukur Trafo 3 Ph 50 KVA ( X ) di SYG5-206A/4</t>
  </si>
  <si>
    <t>CJ6-T</t>
  </si>
  <si>
    <t>G312-A 50KVA</t>
  </si>
  <si>
    <t>Daya 53.000 VA</t>
  </si>
  <si>
    <t>APP 53KVA</t>
  </si>
  <si>
    <t>APP 41,5KVA</t>
  </si>
  <si>
    <t>LVTC 3X35+35</t>
  </si>
  <si>
    <t>MTR</t>
  </si>
  <si>
    <t>LVTC 3X70+70</t>
  </si>
  <si>
    <t>MGN02</t>
  </si>
  <si>
    <t>MANAGER ULP TEGOWANU</t>
  </si>
  <si>
    <t>HARY PRATAMA</t>
  </si>
  <si>
    <t>ATB</t>
  </si>
  <si>
    <t>G313A 160KVA</t>
  </si>
  <si>
    <t>SJ6</t>
  </si>
  <si>
    <t>C14-350E</t>
  </si>
  <si>
    <t>BTG</t>
  </si>
  <si>
    <t>CC7</t>
  </si>
  <si>
    <t>CC8-AN</t>
  </si>
  <si>
    <t>CM5-5</t>
  </si>
  <si>
    <t>CM2-12</t>
  </si>
  <si>
    <t>CM2-12A</t>
  </si>
  <si>
    <t>CE1-2</t>
  </si>
  <si>
    <t>F1-3</t>
  </si>
  <si>
    <t>CM8-A1</t>
  </si>
  <si>
    <t>NYY 1X70 mm2</t>
  </si>
  <si>
    <t>CCO 70-70</t>
  </si>
  <si>
    <t>BH</t>
  </si>
  <si>
    <t>CCO 240-70</t>
  </si>
  <si>
    <t>CCO 150-70</t>
  </si>
  <si>
    <t>Keterangan Tambahan : '-7.028584,110.529414</t>
  </si>
  <si>
    <t>MR DIY KEMBANGARUM</t>
  </si>
  <si>
    <t>JL. RAYA KEMBANGARUM MRANGGEN DEMAK</t>
  </si>
  <si>
    <t>TL. Teknik</t>
  </si>
  <si>
    <t>Trafo 3 Fasa 160 KVA 2 Tiang (G313)</t>
  </si>
  <si>
    <t>F1-2</t>
  </si>
  <si>
    <t>CE1-3</t>
  </si>
  <si>
    <t>LVCB 2 Jurusan Untuk 1 Tiang (M8-A1)</t>
  </si>
  <si>
    <t>Sepatu Kabel CU/CU-70 mm²</t>
  </si>
  <si>
    <t>AAAC 70 mm2</t>
  </si>
  <si>
    <t>Tegowanu, Oktober 2023</t>
  </si>
  <si>
    <t>KOORDINAT LOKASI :  '-7.028584,110.529414</t>
  </si>
  <si>
    <t>DC MGN01-67 MGN06-73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</si>
</sst>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5" fontId="102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5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6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6" fontId="21" fillId="0" borderId="0" applyFont="0" applyFill="0" applyBorder="0" applyAlignment="0" applyProtection="0"/>
    <xf numFmtId="166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09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67" fillId="0" borderId="0"/>
    <xf numFmtId="0" fontId="34" fillId="0" borderId="0"/>
    <xf numFmtId="0" fontId="109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09" fillId="0" borderId="0"/>
    <xf numFmtId="0" fontId="10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9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09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09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109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09" fillId="0" borderId="0"/>
    <xf numFmtId="0" fontId="109" fillId="0" borderId="0"/>
    <xf numFmtId="0" fontId="109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09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34" fillId="0" borderId="0"/>
    <xf numFmtId="0" fontId="20" fillId="0" borderId="0"/>
    <xf numFmtId="0" fontId="111" fillId="0" borderId="0"/>
    <xf numFmtId="0" fontId="20" fillId="0" borderId="0"/>
    <xf numFmtId="0" fontId="20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1" fillId="0" borderId="0"/>
    <xf numFmtId="0" fontId="110" fillId="0" borderId="0"/>
    <xf numFmtId="0" fontId="6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0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34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41" fillId="0" borderId="0" applyFont="0" applyFill="0" applyBorder="0" applyAlignment="0" applyProtection="0"/>
    <xf numFmtId="41" fontId="15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20" fillId="0" borderId="0" applyFont="0" applyFill="0" applyBorder="0" applyAlignment="0" applyProtection="0"/>
    <xf numFmtId="0" fontId="5" fillId="0" borderId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0" fontId="14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5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0" fontId="4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720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4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4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4" fontId="43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5" fontId="51" fillId="0" borderId="0" xfId="1652" applyNumberFormat="1" applyFont="1"/>
    <xf numFmtId="0" fontId="109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5" fontId="42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5" fontId="42" fillId="0" borderId="0" xfId="1615" applyNumberFormat="1" applyFont="1" applyAlignment="1">
      <alignment horizontal="left" vertical="center"/>
    </xf>
    <xf numFmtId="165" fontId="51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4" fontId="93" fillId="0" borderId="0" xfId="1448" applyNumberFormat="1" applyFont="1" applyAlignment="1">
      <alignment wrapText="1"/>
    </xf>
    <xf numFmtId="164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4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15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18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5" fontId="114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16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6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8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4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18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left" vertical="center"/>
    </xf>
    <xf numFmtId="0" fontId="126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right" vertical="center"/>
    </xf>
    <xf numFmtId="9" fontId="127" fillId="36" borderId="0" xfId="2671" applyFont="1" applyFill="1" applyBorder="1" applyAlignment="1" applyProtection="1">
      <alignment horizontal="right" vertical="center"/>
    </xf>
    <xf numFmtId="165" fontId="126" fillId="36" borderId="0" xfId="2672" applyFont="1" applyFill="1" applyBorder="1" applyAlignment="1" applyProtection="1">
      <alignment horizontal="right" vertical="center"/>
    </xf>
    <xf numFmtId="165" fontId="127" fillId="36" borderId="0" xfId="2672" applyFont="1" applyFill="1" applyBorder="1" applyAlignment="1" applyProtection="1">
      <alignment horizontal="right" vertical="center"/>
    </xf>
    <xf numFmtId="10" fontId="127" fillId="36" borderId="0" xfId="2671" applyNumberFormat="1" applyFont="1" applyFill="1" applyBorder="1" applyAlignment="1" applyProtection="1">
      <alignment horizontal="right" vertical="center"/>
    </xf>
    <xf numFmtId="169" fontId="126" fillId="36" borderId="0" xfId="2672" applyNumberFormat="1" applyFont="1" applyFill="1" applyBorder="1" applyAlignment="1" applyProtection="1">
      <alignment horizontal="right" vertical="center"/>
    </xf>
    <xf numFmtId="0" fontId="120" fillId="0" borderId="0" xfId="2670" applyFont="1" applyAlignment="1">
      <alignment horizontal="left" vertical="center"/>
    </xf>
    <xf numFmtId="0" fontId="123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0" fillId="0" borderId="0" xfId="1538"/>
    <xf numFmtId="165" fontId="110" fillId="0" borderId="0" xfId="1538" applyNumberFormat="1"/>
    <xf numFmtId="0" fontId="60" fillId="0" borderId="0" xfId="1538" applyFont="1"/>
    <xf numFmtId="0" fontId="113" fillId="0" borderId="0" xfId="1538" applyFont="1"/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60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5" fontId="0" fillId="0" borderId="3" xfId="1026" applyFont="1" applyFill="1" applyBorder="1" applyProtection="1"/>
    <xf numFmtId="165" fontId="110" fillId="0" borderId="3" xfId="1538" applyNumberFormat="1" applyBorder="1"/>
    <xf numFmtId="165" fontId="121" fillId="0" borderId="3" xfId="1026" applyFont="1" applyBorder="1" applyProtection="1"/>
    <xf numFmtId="165" fontId="0" fillId="0" borderId="3" xfId="1026" applyFont="1" applyBorder="1" applyProtection="1"/>
    <xf numFmtId="165" fontId="113" fillId="0" borderId="3" xfId="1538" applyNumberFormat="1" applyFont="1" applyBorder="1"/>
    <xf numFmtId="0" fontId="60" fillId="0" borderId="3" xfId="1538" applyFont="1" applyBorder="1"/>
    <xf numFmtId="164" fontId="110" fillId="0" borderId="3" xfId="1538" applyNumberFormat="1" applyBorder="1"/>
    <xf numFmtId="165" fontId="102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5" fontId="48" fillId="0" borderId="3" xfId="1538" applyNumberFormat="1" applyFont="1" applyBorder="1"/>
    <xf numFmtId="0" fontId="110" fillId="29" borderId="0" xfId="1538" applyFill="1"/>
    <xf numFmtId="0" fontId="48" fillId="0" borderId="0" xfId="1538" applyFont="1" applyAlignment="1">
      <alignment horizontal="center"/>
    </xf>
    <xf numFmtId="165" fontId="48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5" fontId="110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29" fillId="0" borderId="0" xfId="1614" applyFont="1" applyAlignment="1">
      <alignment horizontal="center"/>
    </xf>
    <xf numFmtId="0" fontId="130" fillId="0" borderId="0" xfId="1614" applyFont="1" applyAlignment="1">
      <alignment horizontal="center" vertical="center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2" fillId="0" borderId="0" xfId="1614" applyFont="1" applyAlignment="1">
      <alignment horizontal="center" vertical="center"/>
    </xf>
    <xf numFmtId="3" fontId="130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 vertical="center"/>
    </xf>
    <xf numFmtId="0" fontId="132" fillId="0" borderId="0" xfId="1614" applyFont="1" applyAlignment="1">
      <alignment horizontal="center"/>
    </xf>
    <xf numFmtId="0" fontId="130" fillId="0" borderId="0" xfId="1614" applyFont="1" applyAlignment="1">
      <alignment horizontal="center"/>
    </xf>
    <xf numFmtId="3" fontId="129" fillId="0" borderId="0" xfId="1614" applyNumberFormat="1" applyFont="1" applyAlignment="1">
      <alignment horizontal="center"/>
    </xf>
    <xf numFmtId="0" fontId="134" fillId="0" borderId="0" xfId="1614" applyFont="1"/>
    <xf numFmtId="165" fontId="134" fillId="0" borderId="0" xfId="1652" applyNumberFormat="1" applyFont="1"/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left" vertical="center"/>
    </xf>
    <xf numFmtId="0" fontId="134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0" fontId="134" fillId="0" borderId="0" xfId="1614" applyFont="1" applyAlignment="1">
      <alignment horizontal="center" vertical="center" wrapText="1"/>
    </xf>
    <xf numFmtId="0" fontId="131" fillId="0" borderId="0" xfId="1614" applyFont="1" applyAlignment="1">
      <alignment horizontal="center" vertical="center" wrapText="1"/>
    </xf>
    <xf numFmtId="3" fontId="130" fillId="0" borderId="0" xfId="1614" applyNumberFormat="1" applyFont="1" applyAlignment="1">
      <alignment vertical="center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130" fillId="0" borderId="21" xfId="1614" applyFont="1" applyBorder="1" applyAlignment="1">
      <alignment horizontal="center" vertical="center" wrapText="1"/>
    </xf>
    <xf numFmtId="0" fontId="137" fillId="0" borderId="21" xfId="1614" applyFont="1" applyBorder="1" applyAlignment="1">
      <alignment horizontal="center" vertical="center"/>
    </xf>
    <xf numFmtId="3" fontId="137" fillId="0" borderId="21" xfId="1614" applyNumberFormat="1" applyFont="1" applyBorder="1" applyAlignment="1">
      <alignment horizontal="center" vertical="center"/>
    </xf>
    <xf numFmtId="3" fontId="130" fillId="0" borderId="21" xfId="1614" applyNumberFormat="1" applyFont="1" applyBorder="1" applyAlignment="1">
      <alignment horizontal="center" vertical="center"/>
    </xf>
    <xf numFmtId="3" fontId="130" fillId="0" borderId="22" xfId="1614" applyNumberFormat="1" applyFont="1" applyBorder="1" applyAlignment="1">
      <alignment horizontal="center" vertical="center"/>
    </xf>
    <xf numFmtId="3" fontId="130" fillId="0" borderId="0" xfId="1614" applyNumberFormat="1" applyFont="1" applyAlignment="1">
      <alignment horizontal="center"/>
    </xf>
    <xf numFmtId="3" fontId="129" fillId="0" borderId="0" xfId="1614" applyNumberFormat="1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2" fillId="0" borderId="21" xfId="1653" applyFont="1" applyBorder="1" applyAlignment="1">
      <alignment horizontal="center" vertical="center"/>
    </xf>
    <xf numFmtId="3" fontId="133" fillId="0" borderId="0" xfId="1614" applyNumberFormat="1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0" fillId="0" borderId="21" xfId="1451" applyFont="1" applyBorder="1" applyAlignment="1">
      <alignment horizontal="left" vertical="center" wrapText="1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horizontal="center" vertical="center"/>
    </xf>
    <xf numFmtId="0" fontId="137" fillId="0" borderId="44" xfId="1652" applyFont="1" applyBorder="1" applyAlignment="1">
      <alignment horizontal="center" vertical="center"/>
    </xf>
    <xf numFmtId="0" fontId="137" fillId="0" borderId="3" xfId="1652" applyFont="1" applyBorder="1" applyAlignment="1">
      <alignment vertical="center" wrapText="1"/>
    </xf>
    <xf numFmtId="0" fontId="130" fillId="0" borderId="3" xfId="1614" applyFont="1" applyBorder="1" applyAlignment="1">
      <alignment horizontal="center" vertical="center" wrapText="1"/>
    </xf>
    <xf numFmtId="0" fontId="137" fillId="0" borderId="3" xfId="1614" applyFont="1" applyBorder="1" applyAlignment="1">
      <alignment horizontal="center" vertical="center"/>
    </xf>
    <xf numFmtId="0" fontId="137" fillId="0" borderId="3" xfId="1652" applyFont="1" applyBorder="1" applyAlignment="1">
      <alignment horizontal="center" vertical="center"/>
    </xf>
    <xf numFmtId="207" fontId="137" fillId="0" borderId="3" xfId="1614" applyNumberFormat="1" applyFont="1" applyBorder="1" applyAlignment="1">
      <alignment horizontal="center" vertical="center"/>
    </xf>
    <xf numFmtId="3" fontId="130" fillId="0" borderId="3" xfId="1614" applyNumberFormat="1" applyFont="1" applyBorder="1" applyAlignment="1">
      <alignment horizontal="center" vertical="center"/>
    </xf>
    <xf numFmtId="3" fontId="130" fillId="0" borderId="39" xfId="1614" applyNumberFormat="1" applyFont="1" applyBorder="1" applyAlignment="1">
      <alignment horizontal="center" vertic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30" fillId="0" borderId="23" xfId="1614" applyFont="1" applyBorder="1" applyAlignment="1">
      <alignment horizontal="center" vertical="center"/>
    </xf>
    <xf numFmtId="0" fontId="130" fillId="0" borderId="24" xfId="1614" applyFont="1" applyBorder="1" applyAlignment="1">
      <alignment horizontal="left" vertical="center"/>
    </xf>
    <xf numFmtId="0" fontId="130" fillId="0" borderId="24" xfId="1614" applyFont="1" applyBorder="1" applyAlignment="1">
      <alignment vertical="center"/>
    </xf>
    <xf numFmtId="0" fontId="137" fillId="0" borderId="24" xfId="1614" applyFont="1" applyBorder="1" applyAlignment="1">
      <alignment horizontal="center" vertical="center"/>
    </xf>
    <xf numFmtId="3" fontId="130" fillId="0" borderId="24" xfId="1614" applyNumberFormat="1" applyFont="1" applyBorder="1" applyAlignment="1">
      <alignment horizontal="center" vertical="center"/>
    </xf>
    <xf numFmtId="3" fontId="130" fillId="0" borderId="25" xfId="1614" applyNumberFormat="1" applyFont="1" applyBorder="1" applyAlignment="1">
      <alignment horizontal="center" vertical="center"/>
    </xf>
    <xf numFmtId="0" fontId="132" fillId="0" borderId="26" xfId="1614" applyFont="1" applyBorder="1" applyAlignment="1">
      <alignment horizontal="center" vertical="center"/>
    </xf>
    <xf numFmtId="37" fontId="134" fillId="0" borderId="27" xfId="1614" applyNumberFormat="1" applyFont="1" applyBorder="1" applyAlignment="1">
      <alignment horizontal="center"/>
    </xf>
    <xf numFmtId="37" fontId="132" fillId="0" borderId="27" xfId="1614" applyNumberFormat="1" applyFont="1" applyBorder="1" applyAlignment="1">
      <alignment horizontal="center"/>
    </xf>
    <xf numFmtId="0" fontId="132" fillId="0" borderId="28" xfId="1614" applyFont="1" applyBorder="1" applyAlignment="1">
      <alignment horizontal="center" vertical="center"/>
    </xf>
    <xf numFmtId="37" fontId="134" fillId="0" borderId="29" xfId="1614" applyNumberFormat="1" applyFont="1" applyBorder="1" applyAlignment="1">
      <alignment horizontal="center"/>
    </xf>
    <xf numFmtId="37" fontId="132" fillId="0" borderId="29" xfId="1614" applyNumberFormat="1" applyFont="1" applyBorder="1" applyAlignment="1">
      <alignment horizontal="center"/>
    </xf>
    <xf numFmtId="37" fontId="138" fillId="0" borderId="30" xfId="1614" applyNumberFormat="1" applyFont="1" applyBorder="1" applyAlignment="1">
      <alignment horizontal="center"/>
    </xf>
    <xf numFmtId="37" fontId="138" fillId="0" borderId="32" xfId="1614" applyNumberFormat="1" applyFont="1" applyBorder="1" applyAlignment="1">
      <alignment horizontal="center"/>
    </xf>
    <xf numFmtId="0" fontId="138" fillId="0" borderId="34" xfId="1614" applyFont="1" applyBorder="1" applyAlignment="1">
      <alignment vertical="center"/>
    </xf>
    <xf numFmtId="0" fontId="132" fillId="0" borderId="19" xfId="1614" applyFont="1" applyBorder="1"/>
    <xf numFmtId="0" fontId="132" fillId="0" borderId="19" xfId="1614" applyFont="1" applyBorder="1" applyAlignment="1">
      <alignment horizontal="center"/>
    </xf>
    <xf numFmtId="0" fontId="132" fillId="0" borderId="19" xfId="1614" applyFont="1" applyBorder="1" applyAlignment="1">
      <alignment horizontal="right"/>
    </xf>
    <xf numFmtId="0" fontId="132" fillId="0" borderId="31" xfId="1614" applyFont="1" applyBorder="1" applyAlignment="1">
      <alignment horizontal="right"/>
    </xf>
    <xf numFmtId="0" fontId="130" fillId="0" borderId="0" xfId="1614" applyFont="1" applyAlignment="1">
      <alignment horizontal="left" vertical="center"/>
    </xf>
    <xf numFmtId="0" fontId="130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164" fontId="137" fillId="0" borderId="0" xfId="1652" applyNumberFormat="1" applyFont="1" applyAlignment="1">
      <alignment vertical="center"/>
    </xf>
    <xf numFmtId="0" fontId="132" fillId="0" borderId="0" xfId="1652" applyFont="1" applyAlignment="1">
      <alignment horizontal="right"/>
    </xf>
    <xf numFmtId="0" fontId="139" fillId="0" borderId="0" xfId="1644" applyFont="1" applyAlignment="1">
      <alignment horizontal="center" vertical="center"/>
    </xf>
    <xf numFmtId="0" fontId="137" fillId="0" borderId="0" xfId="1652" applyFont="1" applyAlignment="1">
      <alignment vertical="center"/>
    </xf>
    <xf numFmtId="0" fontId="140" fillId="39" borderId="59" xfId="2670" applyFont="1" applyFill="1" applyBorder="1" applyAlignment="1">
      <alignment horizontal="left" vertical="center"/>
    </xf>
    <xf numFmtId="0" fontId="140" fillId="39" borderId="60" xfId="2670" applyFont="1" applyFill="1" applyBorder="1" applyAlignment="1">
      <alignment horizontal="center" vertical="center"/>
    </xf>
    <xf numFmtId="0" fontId="140" fillId="39" borderId="62" xfId="2670" applyFont="1" applyFill="1" applyBorder="1" applyAlignment="1">
      <alignment horizontal="left" vertical="center"/>
    </xf>
    <xf numFmtId="0" fontId="140" fillId="39" borderId="58" xfId="2670" applyFont="1" applyFill="1" applyBorder="1" applyAlignment="1">
      <alignment horizontal="center" vertical="center"/>
    </xf>
    <xf numFmtId="0" fontId="140" fillId="39" borderId="64" xfId="2670" applyFont="1" applyFill="1" applyBorder="1" applyAlignment="1">
      <alignment horizontal="left" vertical="center"/>
    </xf>
    <xf numFmtId="0" fontId="140" fillId="39" borderId="65" xfId="2670" applyFont="1" applyFill="1" applyBorder="1" applyAlignment="1">
      <alignment horizontal="center" vertical="center"/>
    </xf>
    <xf numFmtId="165" fontId="122" fillId="40" borderId="61" xfId="2672" applyFont="1" applyFill="1" applyBorder="1" applyAlignment="1" applyProtection="1">
      <alignment horizontal="right" vertical="center" wrapText="1"/>
      <protection locked="0"/>
    </xf>
    <xf numFmtId="165" fontId="122" fillId="40" borderId="63" xfId="2672" applyFont="1" applyFill="1" applyBorder="1" applyAlignment="1" applyProtection="1">
      <alignment horizontal="right" vertical="center"/>
      <protection locked="0"/>
    </xf>
    <xf numFmtId="169" fontId="122" fillId="40" borderId="63" xfId="2672" applyNumberFormat="1" applyFont="1" applyFill="1" applyBorder="1" applyAlignment="1" applyProtection="1">
      <alignment horizontal="right" vertical="center"/>
      <protection locked="0"/>
    </xf>
    <xf numFmtId="169" fontId="122" fillId="40" borderId="66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51" xfId="2673" applyFont="1" applyBorder="1" applyAlignment="1">
      <alignment horizontal="center" vertical="center" wrapText="1"/>
    </xf>
    <xf numFmtId="0" fontId="143" fillId="0" borderId="0" xfId="2673" applyFont="1" applyAlignment="1">
      <alignment horizontal="center" vertical="center" wrapText="1"/>
    </xf>
    <xf numFmtId="0" fontId="144" fillId="0" borderId="0" xfId="2673" applyFont="1" applyAlignment="1">
      <alignment vertical="center" wrapText="1"/>
    </xf>
    <xf numFmtId="0" fontId="145" fillId="0" borderId="0" xfId="2673" applyFont="1" applyAlignment="1">
      <alignment vertical="center" wrapText="1"/>
    </xf>
    <xf numFmtId="0" fontId="128" fillId="35" borderId="70" xfId="2673" applyFont="1" applyFill="1" applyBorder="1" applyAlignment="1">
      <alignment vertical="center" wrapText="1"/>
    </xf>
    <xf numFmtId="0" fontId="128" fillId="43" borderId="70" xfId="2673" applyFont="1" applyFill="1" applyBorder="1" applyAlignment="1">
      <alignment vertical="center" wrapText="1"/>
    </xf>
    <xf numFmtId="0" fontId="142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1" fontId="149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17" fillId="35" borderId="32" xfId="2673" applyFont="1" applyFill="1" applyBorder="1" applyAlignment="1">
      <alignment vertical="center" wrapText="1"/>
    </xf>
    <xf numFmtId="0" fontId="117" fillId="43" borderId="32" xfId="2673" applyFont="1" applyFill="1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2" fontId="117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2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7" fillId="0" borderId="0" xfId="2675" applyFont="1" applyFill="1" applyBorder="1" applyAlignment="1">
      <alignment horizontal="center" vertical="center" wrapText="1"/>
    </xf>
    <xf numFmtId="1" fontId="117" fillId="0" borderId="45" xfId="2673" applyNumberFormat="1" applyFont="1" applyBorder="1" applyAlignment="1">
      <alignment vertical="center" wrapText="1"/>
    </xf>
    <xf numFmtId="0" fontId="150" fillId="0" borderId="0" xfId="2673" applyFont="1" applyAlignment="1">
      <alignment vertical="center" wrapText="1"/>
    </xf>
    <xf numFmtId="0" fontId="150" fillId="0" borderId="0" xfId="2673" applyFont="1" applyAlignment="1">
      <alignment horizontal="center" vertical="center" wrapText="1"/>
    </xf>
    <xf numFmtId="2" fontId="150" fillId="0" borderId="0" xfId="2673" applyNumberFormat="1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51" fillId="0" borderId="0" xfId="2673" applyFont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0" borderId="48" xfId="2673" applyFont="1" applyBorder="1" applyAlignment="1">
      <alignment horizontal="center" vertical="center" wrapText="1"/>
    </xf>
    <xf numFmtId="0" fontId="128" fillId="35" borderId="44" xfId="2673" applyFont="1" applyFill="1" applyBorder="1" applyAlignment="1">
      <alignment vertical="center" wrapText="1"/>
    </xf>
    <xf numFmtId="1" fontId="117" fillId="0" borderId="50" xfId="2673" applyNumberFormat="1" applyFont="1" applyBorder="1" applyAlignment="1">
      <alignment vertical="center" wrapText="1"/>
    </xf>
    <xf numFmtId="0" fontId="117" fillId="35" borderId="44" xfId="2673" applyFont="1" applyFill="1" applyBorder="1" applyAlignment="1">
      <alignment vertical="center" wrapText="1"/>
    </xf>
    <xf numFmtId="0" fontId="117" fillId="35" borderId="74" xfId="2673" applyFont="1" applyFill="1" applyBorder="1" applyAlignment="1">
      <alignment vertical="center" wrapText="1"/>
    </xf>
    <xf numFmtId="0" fontId="104" fillId="0" borderId="52" xfId="2673" applyFont="1" applyBorder="1" applyAlignment="1">
      <alignment horizontal="center"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44" xfId="2673" applyFont="1" applyBorder="1" applyAlignment="1">
      <alignment vertical="center" wrapText="1"/>
    </xf>
    <xf numFmtId="0" fontId="117" fillId="0" borderId="44" xfId="2673" applyFont="1" applyBorder="1" applyAlignment="1">
      <alignment vertical="center" wrapText="1"/>
    </xf>
    <xf numFmtId="0" fontId="117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3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3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26" fillId="47" borderId="0" xfId="2672" applyNumberFormat="1" applyFont="1" applyFill="1" applyBorder="1" applyAlignment="1" applyProtection="1">
      <alignment horizontal="right" vertical="center"/>
    </xf>
    <xf numFmtId="0" fontId="137" fillId="0" borderId="21" xfId="1615" applyFont="1" applyBorder="1" applyAlignment="1">
      <alignment horizontal="center" vertical="center"/>
    </xf>
    <xf numFmtId="20" fontId="154" fillId="33" borderId="101" xfId="0" applyNumberFormat="1" applyFont="1" applyFill="1" applyBorder="1" applyAlignment="1">
      <alignment horizontal="center"/>
    </xf>
    <xf numFmtId="0" fontId="136" fillId="0" borderId="20" xfId="1652" applyFont="1" applyBorder="1" applyAlignment="1">
      <alignment horizontal="center" vertical="center"/>
    </xf>
    <xf numFmtId="0" fontId="136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horizontal="left" vertical="center" wrapText="1"/>
    </xf>
    <xf numFmtId="0" fontId="154" fillId="33" borderId="26" xfId="0" applyFont="1" applyFill="1" applyBorder="1" applyAlignment="1">
      <alignment horizontal="center"/>
    </xf>
    <xf numFmtId="0" fontId="154" fillId="33" borderId="36" xfId="0" applyFont="1" applyFill="1" applyBorder="1" applyAlignment="1">
      <alignment horizontal="center"/>
    </xf>
    <xf numFmtId="0" fontId="154" fillId="33" borderId="28" xfId="0" applyFont="1" applyFill="1" applyBorder="1" applyAlignment="1">
      <alignment horizontal="center"/>
    </xf>
    <xf numFmtId="0" fontId="158" fillId="33" borderId="18" xfId="0" applyFont="1" applyFill="1" applyBorder="1" applyAlignment="1">
      <alignment horizontal="left"/>
    </xf>
    <xf numFmtId="0" fontId="154" fillId="33" borderId="37" xfId="0" applyFont="1" applyFill="1" applyBorder="1" applyAlignment="1">
      <alignment horizontal="center"/>
    </xf>
    <xf numFmtId="0" fontId="157" fillId="33" borderId="0" xfId="0" applyFont="1" applyFill="1" applyAlignment="1">
      <alignment horizontal="center"/>
    </xf>
    <xf numFmtId="0" fontId="159" fillId="33" borderId="28" xfId="0" applyFont="1" applyFill="1" applyBorder="1" applyAlignment="1">
      <alignment horizontal="center"/>
    </xf>
    <xf numFmtId="0" fontId="159" fillId="33" borderId="0" xfId="0" applyFont="1" applyFill="1" applyAlignment="1">
      <alignment horizontal="center"/>
    </xf>
    <xf numFmtId="0" fontId="161" fillId="33" borderId="81" xfId="0" applyFont="1" applyFill="1" applyBorder="1" applyAlignment="1">
      <alignment horizontal="center" vertical="center"/>
    </xf>
    <xf numFmtId="0" fontId="161" fillId="33" borderId="82" xfId="0" applyFont="1" applyFill="1" applyBorder="1" applyAlignment="1">
      <alignment horizontal="center" vertical="center"/>
    </xf>
    <xf numFmtId="0" fontId="163" fillId="33" borderId="85" xfId="0" applyFont="1" applyFill="1" applyBorder="1" applyAlignment="1">
      <alignment horizontal="center" vertical="center"/>
    </xf>
    <xf numFmtId="0" fontId="161" fillId="33" borderId="86" xfId="0" applyFont="1" applyFill="1" applyBorder="1" applyAlignment="1">
      <alignment horizontal="center" vertical="center"/>
    </xf>
    <xf numFmtId="0" fontId="164" fillId="33" borderId="0" xfId="0" applyFont="1" applyFill="1" applyAlignment="1">
      <alignment horizontal="center"/>
    </xf>
    <xf numFmtId="0" fontId="163" fillId="33" borderId="91" xfId="0" applyFont="1" applyFill="1" applyBorder="1" applyAlignment="1">
      <alignment horizontal="center" vertical="center"/>
    </xf>
    <xf numFmtId="0" fontId="165" fillId="33" borderId="94" xfId="0" applyFont="1" applyFill="1" applyBorder="1" applyAlignment="1">
      <alignment horizontal="center" vertical="top" wrapText="1"/>
    </xf>
    <xf numFmtId="0" fontId="165" fillId="33" borderId="95" xfId="0" applyFont="1" applyFill="1" applyBorder="1" applyAlignment="1">
      <alignment horizontal="center" vertical="top" wrapText="1"/>
    </xf>
    <xf numFmtId="0" fontId="154" fillId="33" borderId="40" xfId="0" applyFont="1" applyFill="1" applyBorder="1" applyAlignment="1">
      <alignment horizontal="center"/>
    </xf>
    <xf numFmtId="0" fontId="154" fillId="33" borderId="41" xfId="0" applyFont="1" applyFill="1" applyBorder="1" applyAlignment="1">
      <alignment vertical="top" wrapText="1"/>
    </xf>
    <xf numFmtId="0" fontId="154" fillId="33" borderId="42" xfId="0" applyFont="1" applyFill="1" applyBorder="1" applyAlignment="1">
      <alignment vertical="top" wrapText="1"/>
    </xf>
    <xf numFmtId="0" fontId="154" fillId="33" borderId="77" xfId="0" applyFont="1" applyFill="1" applyBorder="1" applyAlignment="1">
      <alignment vertical="top" wrapText="1"/>
    </xf>
    <xf numFmtId="0" fontId="165" fillId="33" borderId="28" xfId="0" applyFont="1" applyFill="1" applyBorder="1" applyAlignment="1">
      <alignment horizontal="center"/>
    </xf>
    <xf numFmtId="0" fontId="165" fillId="33" borderId="0" xfId="0" applyFont="1" applyFill="1" applyAlignment="1">
      <alignment horizontal="center"/>
    </xf>
    <xf numFmtId="0" fontId="154" fillId="33" borderId="40" xfId="0" applyFont="1" applyFill="1" applyBorder="1" applyAlignment="1">
      <alignment horizontal="center" vertical="center" wrapText="1"/>
    </xf>
    <xf numFmtId="0" fontId="165" fillId="33" borderId="34" xfId="0" applyFont="1" applyFill="1" applyBorder="1" applyAlignment="1">
      <alignment horizontal="center"/>
    </xf>
    <xf numFmtId="0" fontId="165" fillId="33" borderId="19" xfId="0" applyFont="1" applyFill="1" applyBorder="1" applyAlignment="1">
      <alignment horizontal="center"/>
    </xf>
    <xf numFmtId="0" fontId="154" fillId="33" borderId="19" xfId="0" applyFont="1" applyFill="1" applyBorder="1" applyAlignment="1">
      <alignment horizontal="center"/>
    </xf>
    <xf numFmtId="0" fontId="154" fillId="33" borderId="96" xfId="0" applyFont="1" applyFill="1" applyBorder="1" applyAlignment="1">
      <alignment horizontal="center"/>
    </xf>
    <xf numFmtId="0" fontId="154" fillId="33" borderId="99" xfId="0" applyFont="1" applyFill="1" applyBorder="1" applyAlignment="1">
      <alignment horizontal="center" vertical="top" wrapText="1"/>
    </xf>
    <xf numFmtId="0" fontId="154" fillId="33" borderId="101" xfId="0" applyFont="1" applyFill="1" applyBorder="1" applyAlignment="1">
      <alignment vertical="top" wrapText="1"/>
    </xf>
    <xf numFmtId="0" fontId="154" fillId="33" borderId="100" xfId="0" applyFont="1" applyFill="1" applyBorder="1" applyAlignment="1">
      <alignment vertical="top" wrapText="1"/>
    </xf>
    <xf numFmtId="49" fontId="154" fillId="33" borderId="99" xfId="0" applyNumberFormat="1" applyFont="1" applyFill="1" applyBorder="1" applyAlignment="1">
      <alignment horizontal="center" vertical="top" wrapText="1"/>
    </xf>
    <xf numFmtId="49" fontId="154" fillId="33" borderId="102" xfId="0" applyNumberFormat="1" applyFont="1" applyFill="1" applyBorder="1" applyAlignment="1">
      <alignment horizontal="center" vertical="top" wrapText="1"/>
    </xf>
    <xf numFmtId="0" fontId="154" fillId="33" borderId="101" xfId="0" applyFont="1" applyFill="1" applyBorder="1" applyAlignment="1">
      <alignment horizontal="center" vertical="center"/>
    </xf>
    <xf numFmtId="0" fontId="154" fillId="33" borderId="100" xfId="0" applyFont="1" applyFill="1" applyBorder="1" applyAlignment="1">
      <alignment horizontal="center" vertical="center"/>
    </xf>
    <xf numFmtId="0" fontId="154" fillId="33" borderId="100" xfId="0" applyFont="1" applyFill="1" applyBorder="1" applyAlignment="1">
      <alignment horizontal="left" vertical="center"/>
    </xf>
    <xf numFmtId="0" fontId="154" fillId="33" borderId="105" xfId="0" applyFont="1" applyFill="1" applyBorder="1" applyAlignment="1">
      <alignment horizontal="center"/>
    </xf>
    <xf numFmtId="0" fontId="154" fillId="33" borderId="101" xfId="0" applyFont="1" applyFill="1" applyBorder="1" applyAlignment="1">
      <alignment horizontal="center"/>
    </xf>
    <xf numFmtId="0" fontId="154" fillId="33" borderId="100" xfId="0" applyFont="1" applyFill="1" applyBorder="1" applyAlignment="1">
      <alignment horizontal="center"/>
    </xf>
    <xf numFmtId="0" fontId="157" fillId="0" borderId="100" xfId="1450" applyFont="1" applyBorder="1" applyAlignment="1">
      <alignment horizontal="center"/>
    </xf>
    <xf numFmtId="0" fontId="154" fillId="33" borderId="102" xfId="0" applyFont="1" applyFill="1" applyBorder="1" applyAlignment="1">
      <alignment horizontal="center" vertical="top" wrapText="1"/>
    </xf>
    <xf numFmtId="0" fontId="38" fillId="0" borderId="0" xfId="1614" applyFont="1" applyAlignment="1">
      <alignment horizontal="center" vertical="center"/>
    </xf>
    <xf numFmtId="0" fontId="166" fillId="0" borderId="26" xfId="1451" applyFont="1" applyBorder="1"/>
    <xf numFmtId="0" fontId="166" fillId="0" borderId="36" xfId="1451" applyFont="1" applyBorder="1"/>
    <xf numFmtId="0" fontId="166" fillId="0" borderId="43" xfId="1451" applyFont="1" applyBorder="1"/>
    <xf numFmtId="0" fontId="166" fillId="0" borderId="28" xfId="1451" applyFont="1" applyBorder="1"/>
    <xf numFmtId="0" fontId="166" fillId="0" borderId="37" xfId="1451" applyFont="1" applyBorder="1"/>
    <xf numFmtId="0" fontId="158" fillId="0" borderId="37" xfId="1451" applyFont="1" applyBorder="1" applyAlignment="1">
      <alignment vertical="center"/>
    </xf>
    <xf numFmtId="0" fontId="166" fillId="0" borderId="34" xfId="1451" applyFont="1" applyBorder="1"/>
    <xf numFmtId="0" fontId="166" fillId="0" borderId="19" xfId="1451" applyFont="1" applyBorder="1"/>
    <xf numFmtId="0" fontId="158" fillId="0" borderId="19" xfId="1451" applyFont="1" applyBorder="1" applyAlignment="1">
      <alignment vertical="center"/>
    </xf>
    <xf numFmtId="0" fontId="158" fillId="0" borderId="19" xfId="1451" applyFont="1" applyBorder="1" applyAlignment="1">
      <alignment horizontal="center" vertical="center"/>
    </xf>
    <xf numFmtId="0" fontId="158" fillId="0" borderId="31" xfId="1451" applyFont="1" applyBorder="1" applyAlignment="1">
      <alignment vertical="center"/>
    </xf>
    <xf numFmtId="0" fontId="43" fillId="0" borderId="21" xfId="0" applyFont="1" applyBorder="1" applyAlignment="1">
      <alignment horizontal="left" vertical="center" wrapText="1"/>
    </xf>
    <xf numFmtId="0" fontId="166" fillId="33" borderId="0" xfId="1451" applyFont="1" applyFill="1"/>
    <xf numFmtId="0" fontId="166" fillId="33" borderId="26" xfId="1451" applyFont="1" applyFill="1" applyBorder="1"/>
    <xf numFmtId="0" fontId="166" fillId="33" borderId="36" xfId="1451" applyFont="1" applyFill="1" applyBorder="1"/>
    <xf numFmtId="0" fontId="166" fillId="33" borderId="43" xfId="1451" applyFont="1" applyFill="1" applyBorder="1"/>
    <xf numFmtId="0" fontId="166" fillId="33" borderId="28" xfId="1451" applyFont="1" applyFill="1" applyBorder="1"/>
    <xf numFmtId="0" fontId="166" fillId="33" borderId="37" xfId="1451" applyFont="1" applyFill="1" applyBorder="1"/>
    <xf numFmtId="0" fontId="168" fillId="33" borderId="0" xfId="1451" applyFont="1" applyFill="1" applyAlignment="1">
      <alignment vertical="center"/>
    </xf>
    <xf numFmtId="0" fontId="167" fillId="33" borderId="0" xfId="1451" applyFont="1" applyFill="1" applyAlignment="1">
      <alignment vertical="center"/>
    </xf>
    <xf numFmtId="0" fontId="171" fillId="33" borderId="0" xfId="1451" applyFont="1" applyFill="1" applyAlignment="1">
      <alignment horizontal="center" vertical="center"/>
    </xf>
    <xf numFmtId="0" fontId="172" fillId="33" borderId="0" xfId="1451" applyFont="1" applyFill="1"/>
    <xf numFmtId="0" fontId="173" fillId="33" borderId="0" xfId="1451" applyFont="1" applyFill="1"/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73" fillId="33" borderId="0" xfId="1451" applyFont="1" applyFill="1" applyAlignment="1">
      <alignment horizont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74" fillId="33" borderId="0" xfId="1451" applyFont="1" applyFill="1" applyAlignment="1">
      <alignment vertical="center"/>
    </xf>
    <xf numFmtId="0" fontId="174" fillId="33" borderId="37" xfId="1451" applyFont="1" applyFill="1" applyBorder="1" applyAlignment="1">
      <alignment vertical="center"/>
    </xf>
    <xf numFmtId="0" fontId="166" fillId="33" borderId="34" xfId="1451" applyFont="1" applyFill="1" applyBorder="1"/>
    <xf numFmtId="0" fontId="166" fillId="33" borderId="19" xfId="1451" applyFont="1" applyFill="1" applyBorder="1"/>
    <xf numFmtId="0" fontId="158" fillId="33" borderId="19" xfId="1451" applyFont="1" applyFill="1" applyBorder="1" applyAlignment="1">
      <alignment vertical="center"/>
    </xf>
    <xf numFmtId="0" fontId="158" fillId="33" borderId="19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66" fillId="33" borderId="31" xfId="1451" applyFont="1" applyFill="1" applyBorder="1"/>
    <xf numFmtId="0" fontId="154" fillId="33" borderId="0" xfId="0" applyFont="1" applyFill="1" applyAlignment="1">
      <alignment horizontal="center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136" fillId="0" borderId="20" xfId="1653" applyFont="1" applyBorder="1" applyAlignment="1">
      <alignment horizontal="center" vertical="center"/>
    </xf>
    <xf numFmtId="0" fontId="132" fillId="0" borderId="20" xfId="1653" applyFont="1" applyBorder="1" applyAlignment="1">
      <alignment horizontal="center" vertical="center"/>
    </xf>
    <xf numFmtId="0" fontId="166" fillId="0" borderId="0" xfId="1451" applyFont="1"/>
    <xf numFmtId="0" fontId="168" fillId="0" borderId="0" xfId="1451" applyFont="1" applyAlignment="1">
      <alignment vertical="center"/>
    </xf>
    <xf numFmtId="0" fontId="169" fillId="0" borderId="0" xfId="1451" applyFont="1"/>
    <xf numFmtId="0" fontId="167" fillId="0" borderId="0" xfId="1451" applyFont="1" applyAlignment="1">
      <alignment vertical="center"/>
    </xf>
    <xf numFmtId="0" fontId="171" fillId="0" borderId="0" xfId="1451" applyFont="1" applyAlignment="1">
      <alignment horizontal="center" vertical="center"/>
    </xf>
    <xf numFmtId="0" fontId="172" fillId="0" borderId="0" xfId="1451" applyFont="1"/>
    <xf numFmtId="0" fontId="173" fillId="0" borderId="0" xfId="1451" applyFont="1"/>
    <xf numFmtId="0" fontId="158" fillId="0" borderId="0" xfId="1451" applyFont="1" applyAlignment="1">
      <alignment vertical="center"/>
    </xf>
    <xf numFmtId="0" fontId="158" fillId="0" borderId="0" xfId="1451" applyFont="1" applyAlignment="1">
      <alignment horizontal="center" vertical="center"/>
    </xf>
    <xf numFmtId="0" fontId="166" fillId="0" borderId="0" xfId="1451" applyFont="1" applyAlignment="1">
      <alignment horizontal="center" vertical="center"/>
    </xf>
    <xf numFmtId="0" fontId="166" fillId="0" borderId="0" xfId="1451" applyFont="1" applyAlignment="1">
      <alignment horizontal="center"/>
    </xf>
    <xf numFmtId="0" fontId="167" fillId="35" borderId="0" xfId="1451" applyFont="1" applyFill="1" applyAlignment="1">
      <alignment vertical="center"/>
    </xf>
    <xf numFmtId="0" fontId="173" fillId="0" borderId="19" xfId="1451" applyFont="1" applyBorder="1" applyAlignment="1">
      <alignment horizontal="center"/>
    </xf>
    <xf numFmtId="0" fontId="173" fillId="0" borderId="19" xfId="1451" applyFont="1" applyBorder="1"/>
    <xf numFmtId="0" fontId="156" fillId="0" borderId="0" xfId="2669" applyFont="1" applyAlignment="1">
      <alignment vertical="center"/>
    </xf>
    <xf numFmtId="0" fontId="157" fillId="0" borderId="0" xfId="1450" applyFont="1" applyAlignment="1">
      <alignment horizontal="center"/>
    </xf>
    <xf numFmtId="0" fontId="130" fillId="0" borderId="21" xfId="1615" applyFont="1" applyBorder="1" applyAlignment="1">
      <alignment horizontal="left" vertical="center" wrapText="1"/>
    </xf>
    <xf numFmtId="0" fontId="112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32" fillId="33" borderId="21" xfId="1652" applyFont="1" applyFill="1" applyBorder="1" applyAlignment="1">
      <alignment vertical="center" wrapText="1"/>
    </xf>
    <xf numFmtId="0" fontId="132" fillId="33" borderId="20" xfId="1652" applyFont="1" applyFill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137" fillId="33" borderId="21" xfId="1615" applyFont="1" applyFill="1" applyBorder="1" applyAlignment="1">
      <alignment horizontal="center" vertical="center"/>
    </xf>
    <xf numFmtId="0" fontId="9" fillId="33" borderId="21" xfId="1614" applyFont="1" applyFill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54" fillId="33" borderId="0" xfId="0" applyFont="1" applyFill="1" applyAlignment="1">
      <alignment vertical="center"/>
    </xf>
    <xf numFmtId="0" fontId="154" fillId="33" borderId="37" xfId="0" applyFont="1" applyFill="1" applyBorder="1" applyAlignment="1">
      <alignment vertical="center"/>
    </xf>
    <xf numFmtId="0" fontId="154" fillId="33" borderId="42" xfId="0" applyFont="1" applyFill="1" applyBorder="1" applyAlignment="1">
      <alignment vertical="center"/>
    </xf>
    <xf numFmtId="0" fontId="154" fillId="33" borderId="77" xfId="0" applyFont="1" applyFill="1" applyBorder="1" applyAlignment="1">
      <alignment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54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0" xfId="1615" applyNumberFormat="1" applyFont="1" applyFill="1" applyBorder="1" applyAlignment="1">
      <alignment horizontal="center" vertical="center"/>
    </xf>
    <xf numFmtId="3" fontId="42" fillId="31" borderId="41" xfId="1615" applyNumberFormat="1" applyFont="1" applyFill="1" applyBorder="1" applyAlignment="1">
      <alignment horizontal="center" vertical="center"/>
    </xf>
    <xf numFmtId="3" fontId="42" fillId="31" borderId="55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3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9" fillId="0" borderId="46" xfId="1614" applyFont="1" applyBorder="1" applyAlignment="1">
      <alignment horizontal="center" vertical="center"/>
    </xf>
    <xf numFmtId="0" fontId="49" fillId="0" borderId="44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48" xfId="1614" applyFont="1" applyBorder="1" applyAlignment="1">
      <alignment horizontal="center" vertical="center"/>
    </xf>
    <xf numFmtId="0" fontId="49" fillId="0" borderId="47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49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72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73" xfId="2673" applyBorder="1" applyAlignment="1">
      <alignment horizontal="center" vertical="center" wrapText="1"/>
    </xf>
    <xf numFmtId="9" fontId="150" fillId="0" borderId="0" xfId="2675" applyFont="1" applyFill="1" applyBorder="1" applyAlignment="1">
      <alignment horizontal="center" vertical="center" wrapText="1"/>
    </xf>
    <xf numFmtId="0" fontId="147" fillId="37" borderId="0" xfId="2673" applyFont="1" applyFill="1" applyAlignment="1">
      <alignment horizontal="left" vertical="center" wrapText="1"/>
    </xf>
    <xf numFmtId="43" fontId="128" fillId="35" borderId="7" xfId="2673" applyNumberFormat="1" applyFont="1" applyFill="1" applyBorder="1" applyAlignment="1">
      <alignment horizontal="center" vertical="center" wrapText="1"/>
    </xf>
    <xf numFmtId="0" fontId="128" fillId="35" borderId="50" xfId="2673" applyFont="1" applyFill="1" applyBorder="1" applyAlignment="1">
      <alignment horizontal="center" vertical="center" wrapText="1"/>
    </xf>
    <xf numFmtId="2" fontId="117" fillId="35" borderId="51" xfId="2673" applyNumberFormat="1" applyFont="1" applyFill="1" applyBorder="1" applyAlignment="1">
      <alignment horizontal="center" vertical="center" wrapText="1"/>
    </xf>
    <xf numFmtId="2" fontId="117" fillId="35" borderId="71" xfId="2673" applyNumberFormat="1" applyFont="1" applyFill="1" applyBorder="1" applyAlignment="1">
      <alignment horizontal="center" vertical="center" wrapText="1"/>
    </xf>
    <xf numFmtId="0" fontId="143" fillId="41" borderId="67" xfId="2673" applyFont="1" applyFill="1" applyBorder="1" applyAlignment="1">
      <alignment horizontal="center" vertical="center" wrapText="1"/>
    </xf>
    <xf numFmtId="0" fontId="143" fillId="41" borderId="68" xfId="2673" applyFont="1" applyFill="1" applyBorder="1" applyAlignment="1">
      <alignment horizontal="center" vertical="center" wrapText="1"/>
    </xf>
    <xf numFmtId="0" fontId="143" fillId="41" borderId="69" xfId="2673" applyFont="1" applyFill="1" applyBorder="1" applyAlignment="1">
      <alignment horizontal="center" vertical="center" wrapText="1"/>
    </xf>
    <xf numFmtId="0" fontId="117" fillId="35" borderId="7" xfId="2673" applyFont="1" applyFill="1" applyBorder="1" applyAlignment="1">
      <alignment horizontal="center" vertical="center" wrapText="1"/>
    </xf>
    <xf numFmtId="0" fontId="117" fillId="35" borderId="50" xfId="2673" applyFont="1" applyFill="1" applyBorder="1" applyAlignment="1">
      <alignment horizontal="center" vertical="center" wrapText="1"/>
    </xf>
    <xf numFmtId="1" fontId="128" fillId="35" borderId="7" xfId="2673" applyNumberFormat="1" applyFont="1" applyFill="1" applyBorder="1" applyAlignment="1">
      <alignment horizontal="center" vertical="center" wrapText="1"/>
    </xf>
    <xf numFmtId="1" fontId="128" fillId="35" borderId="50" xfId="2673" applyNumberFormat="1" applyFont="1" applyFill="1" applyBorder="1" applyAlignment="1">
      <alignment horizontal="center" vertical="center" wrapText="1"/>
    </xf>
    <xf numFmtId="43" fontId="128" fillId="0" borderId="48" xfId="2673" applyNumberFormat="1" applyFont="1" applyBorder="1" applyAlignment="1">
      <alignment horizontal="center" vertical="center" wrapText="1"/>
    </xf>
    <xf numFmtId="0" fontId="128" fillId="0" borderId="49" xfId="2673" applyFont="1" applyBorder="1" applyAlignment="1">
      <alignment horizontal="center" vertical="center" wrapText="1"/>
    </xf>
    <xf numFmtId="9" fontId="117" fillId="0" borderId="52" xfId="2675" applyFont="1" applyFill="1" applyBorder="1" applyAlignment="1">
      <alignment horizontal="center" vertical="center" wrapText="1"/>
    </xf>
    <xf numFmtId="9" fontId="117" fillId="0" borderId="53" xfId="2675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17" fillId="0" borderId="3" xfId="2673" applyNumberFormat="1" applyFont="1" applyBorder="1" applyAlignment="1">
      <alignment horizontal="center" vertical="center" wrapText="1"/>
    </xf>
    <xf numFmtId="2" fontId="117" fillId="0" borderId="39" xfId="2673" applyNumberFormat="1" applyFont="1" applyBorder="1" applyAlignment="1">
      <alignment horizontal="center" vertical="center" wrapText="1"/>
    </xf>
    <xf numFmtId="9" fontId="117" fillId="35" borderId="52" xfId="2675" applyFont="1" applyFill="1" applyBorder="1" applyAlignment="1">
      <alignment horizontal="center" vertical="center" wrapText="1"/>
    </xf>
    <xf numFmtId="9" fontId="117" fillId="35" borderId="53" xfId="2675" applyFont="1" applyFill="1" applyBorder="1" applyAlignment="1">
      <alignment horizontal="center" vertical="center" wrapText="1"/>
    </xf>
    <xf numFmtId="2" fontId="117" fillId="35" borderId="3" xfId="2673" applyNumberFormat="1" applyFont="1" applyFill="1" applyBorder="1" applyAlignment="1">
      <alignment horizontal="center" vertical="center" wrapText="1"/>
    </xf>
    <xf numFmtId="2" fontId="117" fillId="35" borderId="39" xfId="2673" applyNumberFormat="1" applyFont="1" applyFill="1" applyBorder="1" applyAlignment="1">
      <alignment horizontal="center" vertical="center" wrapText="1"/>
    </xf>
    <xf numFmtId="0" fontId="146" fillId="0" borderId="45" xfId="2673" applyFont="1" applyBorder="1" applyAlignment="1">
      <alignment horizontal="center" vertical="center" wrapText="1"/>
    </xf>
    <xf numFmtId="0" fontId="146" fillId="0" borderId="50" xfId="2673" applyFont="1" applyBorder="1" applyAlignment="1">
      <alignment horizontal="center" vertical="center" wrapText="1"/>
    </xf>
    <xf numFmtId="0" fontId="146" fillId="44" borderId="3" xfId="2673" applyFont="1" applyFill="1" applyBorder="1" applyAlignment="1">
      <alignment horizontal="center" vertical="center" wrapText="1"/>
    </xf>
    <xf numFmtId="0" fontId="146" fillId="44" borderId="39" xfId="2673" applyFont="1" applyFill="1" applyBorder="1" applyAlignment="1">
      <alignment horizontal="center" vertical="center" wrapText="1"/>
    </xf>
    <xf numFmtId="1" fontId="117" fillId="0" borderId="3" xfId="2673" applyNumberFormat="1" applyFont="1" applyBorder="1" applyAlignment="1">
      <alignment horizontal="center" vertical="center" wrapText="1"/>
    </xf>
    <xf numFmtId="1" fontId="117" fillId="0" borderId="39" xfId="2673" applyNumberFormat="1" applyFont="1" applyBorder="1" applyAlignment="1">
      <alignment horizontal="center" vertical="center" wrapText="1"/>
    </xf>
    <xf numFmtId="2" fontId="117" fillId="45" borderId="3" xfId="2673" applyNumberFormat="1" applyFont="1" applyFill="1" applyBorder="1" applyAlignment="1">
      <alignment horizontal="center" vertical="center" wrapText="1"/>
    </xf>
    <xf numFmtId="2" fontId="117" fillId="45" borderId="39" xfId="2673" applyNumberFormat="1" applyFont="1" applyFill="1" applyBorder="1" applyAlignment="1">
      <alignment horizontal="center" vertical="center" wrapText="1"/>
    </xf>
    <xf numFmtId="0" fontId="143" fillId="42" borderId="67" xfId="2673" applyFont="1" applyFill="1" applyBorder="1" applyAlignment="1">
      <alignment horizontal="center" vertical="center" wrapText="1"/>
    </xf>
    <xf numFmtId="0" fontId="143" fillId="42" borderId="68" xfId="2673" applyFont="1" applyFill="1" applyBorder="1" applyAlignment="1">
      <alignment horizontal="center" vertical="center" wrapText="1"/>
    </xf>
    <xf numFmtId="0" fontId="143" fillId="42" borderId="69" xfId="2673" applyFont="1" applyFill="1" applyBorder="1" applyAlignment="1">
      <alignment horizontal="center" vertical="center" wrapText="1"/>
    </xf>
    <xf numFmtId="43" fontId="128" fillId="43" borderId="7" xfId="2673" applyNumberFormat="1" applyFont="1" applyFill="1" applyBorder="1" applyAlignment="1">
      <alignment horizontal="center" vertical="center" wrapText="1"/>
    </xf>
    <xf numFmtId="0" fontId="128" fillId="43" borderId="50" xfId="2673" applyFont="1" applyFill="1" applyBorder="1" applyAlignment="1">
      <alignment horizontal="center" vertical="center" wrapText="1"/>
    </xf>
    <xf numFmtId="1" fontId="117" fillId="43" borderId="7" xfId="2673" applyNumberFormat="1" applyFont="1" applyFill="1" applyBorder="1" applyAlignment="1">
      <alignment horizontal="center" vertical="center" wrapText="1"/>
    </xf>
    <xf numFmtId="1" fontId="117" fillId="43" borderId="50" xfId="2673" applyNumberFormat="1" applyFont="1" applyFill="1" applyBorder="1" applyAlignment="1">
      <alignment horizontal="center" vertical="center" wrapText="1"/>
    </xf>
    <xf numFmtId="0" fontId="117" fillId="43" borderId="7" xfId="2673" applyFont="1" applyFill="1" applyBorder="1" applyAlignment="1">
      <alignment horizontal="center" vertical="center" wrapText="1"/>
    </xf>
    <xf numFmtId="0" fontId="117" fillId="43" borderId="50" xfId="2673" applyFont="1" applyFill="1" applyBorder="1" applyAlignment="1">
      <alignment horizontal="center" vertical="center" wrapText="1"/>
    </xf>
    <xf numFmtId="1" fontId="128" fillId="44" borderId="45" xfId="2673" applyNumberFormat="1" applyFont="1" applyFill="1" applyBorder="1" applyAlignment="1">
      <alignment horizontal="center" vertical="center" wrapText="1"/>
    </xf>
    <xf numFmtId="1" fontId="128" fillId="44" borderId="50" xfId="2673" applyNumberFormat="1" applyFont="1" applyFill="1" applyBorder="1" applyAlignment="1">
      <alignment horizontal="center" vertical="center" wrapText="1"/>
    </xf>
    <xf numFmtId="2" fontId="117" fillId="43" borderId="51" xfId="2673" applyNumberFormat="1" applyFont="1" applyFill="1" applyBorder="1" applyAlignment="1">
      <alignment horizontal="center" vertical="center" wrapText="1"/>
    </xf>
    <xf numFmtId="2" fontId="117" fillId="43" borderId="71" xfId="2673" applyNumberFormat="1" applyFont="1" applyFill="1" applyBorder="1" applyAlignment="1">
      <alignment horizontal="center" vertical="center" wrapText="1"/>
    </xf>
    <xf numFmtId="43" fontId="128" fillId="44" borderId="75" xfId="2673" applyNumberFormat="1" applyFont="1" applyFill="1" applyBorder="1" applyAlignment="1">
      <alignment horizontal="center" vertical="center" wrapText="1"/>
    </xf>
    <xf numFmtId="43" fontId="128" fillId="44" borderId="69" xfId="2673" applyNumberFormat="1" applyFont="1" applyFill="1" applyBorder="1" applyAlignment="1">
      <alignment horizontal="center" vertical="center" wrapText="1"/>
    </xf>
    <xf numFmtId="0" fontId="8" fillId="34" borderId="56" xfId="2670" applyFill="1" applyBorder="1" applyAlignment="1">
      <alignment horizontal="center" vertical="center"/>
    </xf>
    <xf numFmtId="0" fontId="120" fillId="0" borderId="57" xfId="2670" applyFont="1" applyBorder="1" applyAlignment="1">
      <alignment horizontal="left" vertical="center"/>
    </xf>
    <xf numFmtId="0" fontId="51" fillId="0" borderId="42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34" fillId="30" borderId="3" xfId="1614" applyFont="1" applyFill="1" applyBorder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37" fontId="132" fillId="0" borderId="36" xfId="1614" applyNumberFormat="1" applyFont="1" applyBorder="1" applyAlignment="1">
      <alignment horizontal="center"/>
    </xf>
    <xf numFmtId="0" fontId="136" fillId="35" borderId="46" xfId="1614" applyFont="1" applyFill="1" applyBorder="1" applyAlignment="1">
      <alignment horizontal="center" vertical="center"/>
    </xf>
    <xf numFmtId="0" fontId="136" fillId="35" borderId="44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/>
    </xf>
    <xf numFmtId="0" fontId="136" fillId="35" borderId="21" xfId="1614" applyFont="1" applyFill="1" applyBorder="1" applyAlignment="1">
      <alignment horizontal="center" vertical="center"/>
    </xf>
    <xf numFmtId="0" fontId="136" fillId="35" borderId="33" xfId="1614" applyFont="1" applyFill="1" applyBorder="1" applyAlignment="1">
      <alignment horizontal="center" vertical="center"/>
    </xf>
    <xf numFmtId="0" fontId="136" fillId="35" borderId="48" xfId="1614" applyFont="1" applyFill="1" applyBorder="1" applyAlignment="1">
      <alignment horizontal="center" vertical="center"/>
    </xf>
    <xf numFmtId="0" fontId="136" fillId="35" borderId="3" xfId="1614" applyFont="1" applyFill="1" applyBorder="1" applyAlignment="1">
      <alignment horizontal="center" vertical="center"/>
    </xf>
    <xf numFmtId="0" fontId="136" fillId="35" borderId="47" xfId="1614" applyFont="1" applyFill="1" applyBorder="1" applyAlignment="1">
      <alignment horizontal="center" vertical="center" wrapText="1"/>
    </xf>
    <xf numFmtId="0" fontId="136" fillId="35" borderId="21" xfId="1614" applyFont="1" applyFill="1" applyBorder="1" applyAlignment="1">
      <alignment horizontal="center" vertical="center" wrapText="1"/>
    </xf>
    <xf numFmtId="0" fontId="136" fillId="35" borderId="33" xfId="1614" applyFont="1" applyFill="1" applyBorder="1" applyAlignment="1">
      <alignment horizontal="center" vertical="center" wrapText="1"/>
    </xf>
    <xf numFmtId="0" fontId="136" fillId="35" borderId="35" xfId="1652" applyFont="1" applyFill="1" applyBorder="1" applyAlignment="1">
      <alignment horizontal="center" vertical="center" wrapText="1"/>
    </xf>
    <xf numFmtId="0" fontId="136" fillId="35" borderId="33" xfId="1652" applyFont="1" applyFill="1" applyBorder="1" applyAlignment="1">
      <alignment horizontal="center" vertical="center" wrapText="1"/>
    </xf>
    <xf numFmtId="0" fontId="136" fillId="35" borderId="49" xfId="1614" applyFont="1" applyFill="1" applyBorder="1" applyAlignment="1">
      <alignment horizontal="center" vertical="center"/>
    </xf>
    <xf numFmtId="0" fontId="136" fillId="35" borderId="39" xfId="1614" applyFont="1" applyFill="1" applyBorder="1" applyAlignment="1">
      <alignment horizontal="center" vertical="center"/>
    </xf>
    <xf numFmtId="0" fontId="131" fillId="0" borderId="0" xfId="1644" applyFont="1" applyAlignment="1">
      <alignment horizontal="center" vertical="center"/>
    </xf>
    <xf numFmtId="37" fontId="138" fillId="0" borderId="19" xfId="1614" applyNumberFormat="1" applyFont="1" applyBorder="1" applyAlignment="1">
      <alignment horizontal="center"/>
    </xf>
    <xf numFmtId="37" fontId="132" fillId="0" borderId="0" xfId="1614" applyNumberFormat="1" applyFont="1" applyAlignment="1">
      <alignment horizontal="center"/>
    </xf>
    <xf numFmtId="0" fontId="152" fillId="0" borderId="26" xfId="1614" applyFont="1" applyBorder="1" applyAlignment="1">
      <alignment horizontal="left" vertical="center" wrapText="1"/>
    </xf>
    <xf numFmtId="0" fontId="152" fillId="0" borderId="36" xfId="1614" applyFont="1" applyBorder="1" applyAlignment="1">
      <alignment horizontal="left" vertical="center" wrapText="1"/>
    </xf>
    <xf numFmtId="0" fontId="152" fillId="0" borderId="43" xfId="1614" applyFont="1" applyBorder="1" applyAlignment="1">
      <alignment horizontal="left" vertical="center" wrapText="1"/>
    </xf>
    <xf numFmtId="0" fontId="152" fillId="0" borderId="28" xfId="1614" applyFont="1" applyBorder="1" applyAlignment="1">
      <alignment horizontal="left" vertical="center" wrapText="1"/>
    </xf>
    <xf numFmtId="0" fontId="152" fillId="0" borderId="0" xfId="1614" applyFont="1" applyAlignment="1">
      <alignment horizontal="left" vertical="center" wrapText="1"/>
    </xf>
    <xf numFmtId="0" fontId="152" fillId="0" borderId="37" xfId="1614" applyFont="1" applyBorder="1" applyAlignment="1">
      <alignment horizontal="left" vertical="center" wrapText="1"/>
    </xf>
    <xf numFmtId="0" fontId="137" fillId="0" borderId="0" xfId="1652" applyFont="1" applyAlignment="1">
      <alignment horizontal="center" vertical="center"/>
    </xf>
    <xf numFmtId="0" fontId="132" fillId="0" borderId="0" xfId="1652" applyFont="1" applyAlignment="1">
      <alignment horizontal="center" vertical="center"/>
    </xf>
    <xf numFmtId="0" fontId="154" fillId="33" borderId="51" xfId="0" applyFont="1" applyFill="1" applyBorder="1" applyAlignment="1">
      <alignment horizontal="center"/>
    </xf>
    <xf numFmtId="0" fontId="154" fillId="33" borderId="97" xfId="0" applyFont="1" applyFill="1" applyBorder="1" applyAlignment="1">
      <alignment horizontal="center"/>
    </xf>
    <xf numFmtId="0" fontId="154" fillId="33" borderId="52" xfId="0" applyFont="1" applyFill="1" applyBorder="1" applyAlignment="1">
      <alignment horizontal="center"/>
    </xf>
    <xf numFmtId="0" fontId="154" fillId="33" borderId="53" xfId="0" applyFont="1" applyFill="1" applyBorder="1" applyAlignment="1">
      <alignment horizontal="center"/>
    </xf>
    <xf numFmtId="0" fontId="154" fillId="33" borderId="102" xfId="0" applyFont="1" applyFill="1" applyBorder="1" applyAlignment="1">
      <alignment horizontal="center"/>
    </xf>
    <xf numFmtId="0" fontId="154" fillId="33" borderId="99" xfId="0" applyFont="1" applyFill="1" applyBorder="1" applyAlignment="1">
      <alignment horizontal="center"/>
    </xf>
    <xf numFmtId="0" fontId="154" fillId="33" borderId="100" xfId="0" applyFont="1" applyFill="1" applyBorder="1" applyAlignment="1">
      <alignment horizontal="center"/>
    </xf>
    <xf numFmtId="0" fontId="154" fillId="33" borderId="101" xfId="0" applyFont="1" applyFill="1" applyBorder="1" applyAlignment="1">
      <alignment horizontal="center"/>
    </xf>
    <xf numFmtId="15" fontId="154" fillId="33" borderId="100" xfId="0" applyNumberFormat="1" applyFont="1" applyFill="1" applyBorder="1" applyAlignment="1">
      <alignment horizontal="center"/>
    </xf>
    <xf numFmtId="0" fontId="154" fillId="33" borderId="78" xfId="0" applyFont="1" applyFill="1" applyBorder="1" applyAlignment="1">
      <alignment horizontal="center" vertical="center"/>
    </xf>
    <xf numFmtId="0" fontId="154" fillId="33" borderId="104" xfId="0" applyFont="1" applyFill="1" applyBorder="1" applyAlignment="1">
      <alignment horizontal="center" vertical="center"/>
    </xf>
    <xf numFmtId="0" fontId="158" fillId="33" borderId="105" xfId="0" applyFont="1" applyFill="1" applyBorder="1" applyAlignment="1">
      <alignment horizontal="left" vertical="top" wrapText="1"/>
    </xf>
    <xf numFmtId="0" fontId="158" fillId="33" borderId="78" xfId="0" applyFont="1" applyFill="1" applyBorder="1" applyAlignment="1">
      <alignment horizontal="left" vertical="top" wrapText="1"/>
    </xf>
    <xf numFmtId="0" fontId="158" fillId="33" borderId="104" xfId="0" applyFont="1" applyFill="1" applyBorder="1" applyAlignment="1">
      <alignment horizontal="left" vertical="top" wrapText="1"/>
    </xf>
    <xf numFmtId="0" fontId="154" fillId="33" borderId="102" xfId="0" applyFont="1" applyFill="1" applyBorder="1" applyAlignment="1">
      <alignment horizontal="center" vertical="top" wrapText="1"/>
    </xf>
    <xf numFmtId="0" fontId="154" fillId="33" borderId="99" xfId="0" applyFont="1" applyFill="1" applyBorder="1" applyAlignment="1">
      <alignment horizontal="center" vertical="top" wrapText="1"/>
    </xf>
    <xf numFmtId="49" fontId="154" fillId="33" borderId="98" xfId="0" applyNumberFormat="1" applyFont="1" applyFill="1" applyBorder="1" applyAlignment="1">
      <alignment horizontal="center" vertical="center"/>
    </xf>
    <xf numFmtId="49" fontId="154" fillId="33" borderId="99" xfId="0" applyNumberFormat="1" applyFont="1" applyFill="1" applyBorder="1" applyAlignment="1">
      <alignment horizontal="center" vertical="center"/>
    </xf>
    <xf numFmtId="49" fontId="154" fillId="33" borderId="102" xfId="0" applyNumberFormat="1" applyFont="1" applyFill="1" applyBorder="1" applyAlignment="1">
      <alignment horizontal="center" vertical="center"/>
    </xf>
    <xf numFmtId="49" fontId="154" fillId="33" borderId="102" xfId="0" applyNumberFormat="1" applyFont="1" applyFill="1" applyBorder="1" applyAlignment="1">
      <alignment horizontal="center" vertical="top" wrapText="1"/>
    </xf>
    <xf numFmtId="49" fontId="154" fillId="33" borderId="99" xfId="0" applyNumberFormat="1" applyFont="1" applyFill="1" applyBorder="1" applyAlignment="1">
      <alignment horizontal="center" vertical="top" wrapText="1"/>
    </xf>
    <xf numFmtId="0" fontId="161" fillId="33" borderId="79" xfId="0" applyFont="1" applyFill="1" applyBorder="1" applyAlignment="1">
      <alignment horizontal="left" vertical="center"/>
    </xf>
    <xf numFmtId="0" fontId="161" fillId="33" borderId="84" xfId="0" applyFont="1" applyFill="1" applyBorder="1" applyAlignment="1">
      <alignment horizontal="left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0" xfId="0" applyFont="1" applyFill="1" applyBorder="1" applyAlignment="1">
      <alignment horizontal="left" vertical="center"/>
    </xf>
    <xf numFmtId="49" fontId="154" fillId="33" borderId="98" xfId="0" applyNumberFormat="1" applyFont="1" applyFill="1" applyBorder="1" applyAlignment="1">
      <alignment horizontal="left" vertical="center"/>
    </xf>
    <xf numFmtId="49" fontId="154" fillId="33" borderId="99" xfId="0" applyNumberFormat="1" applyFont="1" applyFill="1" applyBorder="1" applyAlignment="1">
      <alignment horizontal="left" vertical="center"/>
    </xf>
    <xf numFmtId="0" fontId="161" fillId="33" borderId="83" xfId="0" applyFont="1" applyFill="1" applyBorder="1" applyAlignment="1">
      <alignment horizontal="left" vertical="center"/>
    </xf>
    <xf numFmtId="0" fontId="161" fillId="33" borderId="81" xfId="0" applyFont="1" applyFill="1" applyBorder="1" applyAlignment="1">
      <alignment horizontal="left" vertical="center"/>
    </xf>
    <xf numFmtId="0" fontId="162" fillId="33" borderId="79" xfId="0" applyFont="1" applyFill="1" applyBorder="1" applyAlignment="1">
      <alignment horizontal="left" vertical="center"/>
    </xf>
    <xf numFmtId="0" fontId="162" fillId="33" borderId="84" xfId="0" applyFont="1" applyFill="1" applyBorder="1" applyAlignment="1">
      <alignment horizontal="left" vertical="center"/>
    </xf>
    <xf numFmtId="0" fontId="154" fillId="33" borderId="78" xfId="0" applyFont="1" applyFill="1" applyBorder="1" applyAlignment="1">
      <alignment horizontal="center"/>
    </xf>
    <xf numFmtId="0" fontId="154" fillId="33" borderId="104" xfId="0" applyFont="1" applyFill="1" applyBorder="1" applyAlignment="1">
      <alignment horizontal="center"/>
    </xf>
    <xf numFmtId="0" fontId="158" fillId="33" borderId="18" xfId="0" applyFont="1" applyFill="1" applyBorder="1" applyAlignment="1">
      <alignment horizontal="left"/>
    </xf>
    <xf numFmtId="0" fontId="158" fillId="33" borderId="0" xfId="0" applyFont="1" applyFill="1" applyAlignment="1">
      <alignment horizontal="left"/>
    </xf>
    <xf numFmtId="0" fontId="158" fillId="33" borderId="37" xfId="0" applyFont="1" applyFill="1" applyBorder="1" applyAlignment="1">
      <alignment horizontal="left"/>
    </xf>
    <xf numFmtId="0" fontId="160" fillId="33" borderId="98" xfId="0" applyFont="1" applyFill="1" applyBorder="1" applyAlignment="1">
      <alignment horizontal="center" vertical="center"/>
    </xf>
    <xf numFmtId="0" fontId="160" fillId="33" borderId="102" xfId="0" applyFont="1" applyFill="1" applyBorder="1" applyAlignment="1">
      <alignment horizontal="center" vertical="center"/>
    </xf>
    <xf numFmtId="0" fontId="160" fillId="33" borderId="99" xfId="0" applyFont="1" applyFill="1" applyBorder="1" applyAlignment="1">
      <alignment horizontal="center" vertical="center"/>
    </xf>
    <xf numFmtId="0" fontId="158" fillId="33" borderId="98" xfId="0" applyFont="1" applyFill="1" applyBorder="1" applyAlignment="1">
      <alignment horizontal="center" vertical="center"/>
    </xf>
    <xf numFmtId="0" fontId="158" fillId="33" borderId="102" xfId="0" applyFont="1" applyFill="1" applyBorder="1" applyAlignment="1">
      <alignment horizontal="center" vertical="center"/>
    </xf>
    <xf numFmtId="0" fontId="158" fillId="33" borderId="103" xfId="0" applyFont="1" applyFill="1" applyBorder="1" applyAlignment="1">
      <alignment horizontal="center" vertical="center"/>
    </xf>
    <xf numFmtId="0" fontId="156" fillId="0" borderId="100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/>
    </xf>
    <xf numFmtId="0" fontId="156" fillId="0" borderId="99" xfId="2669" applyFont="1" applyBorder="1" applyAlignment="1">
      <alignment horizontal="center" vertical="center"/>
    </xf>
    <xf numFmtId="0" fontId="156" fillId="0" borderId="98" xfId="2669" applyFont="1" applyBorder="1" applyAlignment="1">
      <alignment horizontal="center" vertical="center" wrapText="1"/>
    </xf>
    <xf numFmtId="0" fontId="156" fillId="0" borderId="99" xfId="2669" applyFont="1" applyBorder="1" applyAlignment="1">
      <alignment horizontal="center" vertical="center" wrapText="1"/>
    </xf>
    <xf numFmtId="0" fontId="155" fillId="35" borderId="76" xfId="0" applyFont="1" applyFill="1" applyBorder="1" applyAlignment="1">
      <alignment horizontal="center" vertical="center"/>
    </xf>
    <xf numFmtId="0" fontId="155" fillId="35" borderId="36" xfId="0" applyFont="1" applyFill="1" applyBorder="1" applyAlignment="1">
      <alignment horizontal="center" vertical="center"/>
    </xf>
    <xf numFmtId="0" fontId="155" fillId="35" borderId="43" xfId="0" applyFont="1" applyFill="1" applyBorder="1" applyAlignment="1">
      <alignment horizontal="center" vertical="center"/>
    </xf>
    <xf numFmtId="0" fontId="155" fillId="35" borderId="41" xfId="0" applyFont="1" applyFill="1" applyBorder="1" applyAlignment="1">
      <alignment horizontal="center" vertical="center"/>
    </xf>
    <xf numFmtId="0" fontId="155" fillId="35" borderId="42" xfId="0" applyFont="1" applyFill="1" applyBorder="1" applyAlignment="1">
      <alignment horizontal="center" vertical="center"/>
    </xf>
    <xf numFmtId="0" fontId="155" fillId="35" borderId="77" xfId="0" applyFont="1" applyFill="1" applyBorder="1" applyAlignment="1">
      <alignment horizontal="center" vertical="center"/>
    </xf>
    <xf numFmtId="0" fontId="167" fillId="35" borderId="0" xfId="1451" applyFont="1" applyFill="1" applyAlignment="1">
      <alignment horizontal="center" vertical="center"/>
    </xf>
    <xf numFmtId="0" fontId="170" fillId="0" borderId="0" xfId="1451" applyFont="1" applyAlignment="1">
      <alignment horizontal="left"/>
    </xf>
    <xf numFmtId="0" fontId="167" fillId="35" borderId="26" xfId="1451" applyFont="1" applyFill="1" applyBorder="1" applyAlignment="1">
      <alignment horizontal="center" vertical="center"/>
    </xf>
    <xf numFmtId="0" fontId="167" fillId="35" borderId="36" xfId="1451" applyFont="1" applyFill="1" applyBorder="1" applyAlignment="1">
      <alignment horizontal="center" vertical="center"/>
    </xf>
    <xf numFmtId="0" fontId="167" fillId="35" borderId="43" xfId="1451" applyFont="1" applyFill="1" applyBorder="1" applyAlignment="1">
      <alignment horizontal="center" vertical="center"/>
    </xf>
    <xf numFmtId="0" fontId="167" fillId="35" borderId="28" xfId="1451" applyFont="1" applyFill="1" applyBorder="1" applyAlignment="1">
      <alignment horizontal="center" vertical="center"/>
    </xf>
    <xf numFmtId="0" fontId="167" fillId="35" borderId="37" xfId="1451" applyFont="1" applyFill="1" applyBorder="1" applyAlignment="1">
      <alignment horizontal="center" vertical="center"/>
    </xf>
    <xf numFmtId="0" fontId="167" fillId="35" borderId="34" xfId="1451" applyFont="1" applyFill="1" applyBorder="1" applyAlignment="1">
      <alignment horizontal="center" vertical="center"/>
    </xf>
    <xf numFmtId="0" fontId="167" fillId="35" borderId="19" xfId="1451" applyFont="1" applyFill="1" applyBorder="1" applyAlignment="1">
      <alignment horizontal="center" vertical="center"/>
    </xf>
    <xf numFmtId="0" fontId="167" fillId="35" borderId="31" xfId="1451" applyFont="1" applyFill="1" applyBorder="1" applyAlignment="1">
      <alignment horizontal="center" vertical="center"/>
    </xf>
    <xf numFmtId="0" fontId="161" fillId="33" borderId="80" xfId="0" applyFont="1" applyFill="1" applyBorder="1" applyAlignment="1">
      <alignment horizontal="left" vertical="center"/>
    </xf>
    <xf numFmtId="0" fontId="161" fillId="33" borderId="87" xfId="0" applyFont="1" applyFill="1" applyBorder="1" applyAlignment="1">
      <alignment horizontal="left" vertical="center"/>
    </xf>
    <xf numFmtId="0" fontId="161" fillId="33" borderId="88" xfId="0" applyFont="1" applyFill="1" applyBorder="1" applyAlignment="1">
      <alignment horizontal="left" vertical="center"/>
    </xf>
    <xf numFmtId="0" fontId="163" fillId="33" borderId="89" xfId="0" applyFont="1" applyFill="1" applyBorder="1" applyAlignment="1">
      <alignment horizontal="left" vertical="center"/>
    </xf>
    <xf numFmtId="0" fontId="163" fillId="33" borderId="90" xfId="0" applyFont="1" applyFill="1" applyBorder="1" applyAlignment="1">
      <alignment horizontal="left" vertical="center"/>
    </xf>
    <xf numFmtId="0" fontId="165" fillId="33" borderId="92" xfId="0" applyFont="1" applyFill="1" applyBorder="1" applyAlignment="1">
      <alignment horizontal="left" vertical="center" wrapText="1"/>
    </xf>
    <xf numFmtId="0" fontId="165" fillId="33" borderId="93" xfId="0" applyFont="1" applyFill="1" applyBorder="1" applyAlignment="1">
      <alignment horizontal="left" vertical="center" wrapText="1"/>
    </xf>
    <xf numFmtId="0" fontId="9" fillId="0" borderId="21" xfId="1614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0" fontId="9" fillId="0" borderId="21" xfId="1614" applyFont="1" applyBorder="1" applyAlignment="1">
      <alignment horizontal="center" vertical="center" wrapText="1"/>
    </xf>
    <xf numFmtId="0" fontId="132" fillId="0" borderId="21" xfId="1614" applyFont="1" applyBorder="1" applyAlignment="1">
      <alignment horizontal="center" vertical="center"/>
    </xf>
    <xf numFmtId="0" fontId="43" fillId="0" borderId="21" xfId="1450" applyFont="1" applyBorder="1" applyAlignment="1">
      <alignment horizontal="left" vertical="center" wrapText="1"/>
    </xf>
    <xf numFmtId="0" fontId="1" fillId="0" borderId="0" xfId="2673" applyFont="1" applyAlignment="1">
      <alignment vertical="center" wrapText="1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2 2 2 3" xfId="3721" xr:uid="{20FF24C5-494A-4DBE-94A4-A25ECBAF18B8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7" xfId="3694" xr:uid="{00CAF8C4-F091-4ACF-A664-F7637D9615F9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0" xfId="3717" xr:uid="{B90DDFBF-9510-432E-B0DF-0362EC9BEBE1}"/>
    <cellStyle name="Comma 61" xfId="3692" xr:uid="{499D2860-C421-42A2-8A19-148708AAEFFF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4" xfId="3716" xr:uid="{345DC6EF-AEEA-487C-BFD4-FE87E25862AE}"/>
    <cellStyle name="Comma 65" xfId="3693" xr:uid="{B365CA5A-794C-4E90-B5FA-A6F25AA55161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68" xfId="3715" xr:uid="{99AE82A2-9CDF-427E-968E-EF6D93EAF998}"/>
    <cellStyle name="Comma 69" xfId="3695" xr:uid="{929BC684-EFC6-4ACF-AB41-E95A49DAED7D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0" xfId="3718" xr:uid="{722E6DDD-5507-401A-94C1-9A5567298810}"/>
    <cellStyle name="Comma 71" xfId="3696" xr:uid="{EF1A73F1-02D9-4C67-9944-18BAD2902041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2 3" xfId="3698" xr:uid="{3EB6A169-5016-4A63-9058-D9C7E2BBC12C}"/>
    <cellStyle name="Normal 126 3" xfId="3433" xr:uid="{FF1C1214-6A69-4780-B1FC-3F2033DFC0F7}"/>
    <cellStyle name="Normal 126 4" xfId="3697" xr:uid="{C78FBDB0-1627-4362-BD24-96539D5B50E2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2 3" xfId="3700" xr:uid="{E422D458-A3BD-45FE-8F31-99F3A5D04B8C}"/>
    <cellStyle name="Normal 134 3" xfId="3435" xr:uid="{BBB3AF98-FE7E-4A5D-980C-A11977824812}"/>
    <cellStyle name="Normal 134 4" xfId="3699" xr:uid="{61646583-A453-486A-AC57-02B376AB2A30}"/>
    <cellStyle name="Normal 135" xfId="1536" xr:uid="{00000000-0005-0000-0000-000001060000}"/>
    <cellStyle name="Normal 135 2" xfId="3437" xr:uid="{C7FACAE4-5C39-417B-B886-0B40EC3821DF}"/>
    <cellStyle name="Normal 135 3" xfId="3701" xr:uid="{E0D7BB7B-0B8F-4EC9-BCD5-476489FC63E2}"/>
    <cellStyle name="Normal 136" xfId="1537" xr:uid="{00000000-0005-0000-0000-000002060000}"/>
    <cellStyle name="Normal 136 2" xfId="3438" xr:uid="{6831DEFF-55FE-45E3-8256-7B8C9CC91EFF}"/>
    <cellStyle name="Normal 136 3" xfId="3702" xr:uid="{F1CBD96A-1010-4B1D-B9B0-0247B6B1720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2 3" xfId="3720" xr:uid="{7FF41EA3-334A-4C08-AAB3-A76CAE899332}"/>
    <cellStyle name="Normal 137 2 3" xfId="3440" xr:uid="{DBFED99F-F201-4435-8350-F0E0B590DF22}"/>
    <cellStyle name="Normal 137 2 4" xfId="3704" xr:uid="{3BC1C0C5-0721-4606-9D4F-4EC94FC3168F}"/>
    <cellStyle name="Normal 137 3" xfId="2670" xr:uid="{DE2FAB10-EC26-4C42-9A25-5D9F87A07F8A}"/>
    <cellStyle name="Normal 137 3 2" xfId="3677" xr:uid="{C0ABB60D-AC2A-4055-B3F1-73A6CDB5B8F6}"/>
    <cellStyle name="Normal 137 3 3" xfId="3719" xr:uid="{74196348-F776-49FA-B22F-2C4A6C508258}"/>
    <cellStyle name="Normal 137 4" xfId="3439" xr:uid="{86D69212-888B-438F-A513-0E0FB5F5D9C4}"/>
    <cellStyle name="Normal 137 5" xfId="3703" xr:uid="{C1EBFAD5-59A4-46B7-8868-5967DD96CD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2 3" xfId="3707" xr:uid="{908EE8AE-05BC-421A-8F9E-6824FEAD3398}"/>
    <cellStyle name="Normal 2 5 2 3" xfId="3469" xr:uid="{AF499AF9-D28A-4666-877A-12C9AD201220}"/>
    <cellStyle name="Normal 2 5 2 4" xfId="3706" xr:uid="{F2E71573-55F6-41D1-AF08-DCB41BAC34FD}"/>
    <cellStyle name="Normal 2 5 3" xfId="1754" xr:uid="{00000000-0005-0000-0000-0000DB060000}"/>
    <cellStyle name="Normal 2 5 3 2" xfId="3471" xr:uid="{A15848AE-8037-4BCC-AA03-23276E14ED00}"/>
    <cellStyle name="Normal 2 5 3 3" xfId="3708" xr:uid="{9D7400C9-BA7F-47C4-8587-4AAD41B14224}"/>
    <cellStyle name="Normal 2 5 4" xfId="3468" xr:uid="{029ADF14-BBFF-4F5F-8B90-16227F6E7DA4}"/>
    <cellStyle name="Normal 2 5 5" xfId="3705" xr:uid="{349B9E55-7B48-4C02-B900-D4A6584E2C8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4 3" xfId="3710" xr:uid="{E3F076F7-657C-43C2-81CD-380E7EBA2B1E}"/>
    <cellStyle name="Normal 4 5" xfId="3482" xr:uid="{993BBF43-BA77-40E7-9477-5E2DCDF0B1EF}"/>
    <cellStyle name="Normal 4 6" xfId="3709" xr:uid="{BEAB1355-6400-49DE-8039-C42D8FDCE21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3 3" xfId="3712" xr:uid="{97E8DBCC-24CA-44AD-937E-62B83A8CB686}"/>
    <cellStyle name="Normal 8 4" xfId="3486" xr:uid="{58900736-645E-4E51-B2D2-7629F0A0E846}"/>
    <cellStyle name="Normal 8 5" xfId="3711" xr:uid="{63AE5C84-0395-40FE-BFE8-361FF921F95D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11" xfId="3713" xr:uid="{663EFAC1-0F60-4581-825A-E74CEF4CCC1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7 3" xfId="3714" xr:uid="{7C03AFF2-FE2C-4BF0-85C3-1517FFF1FFE0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19" xfId="3722" xr:uid="{AB8D9902-6E12-48AA-949A-D49B0CFF3B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20" xfId="3723" xr:uid="{1C9B1E2C-489A-46DE-B13B-7F3EF306E909}"/>
    <cellStyle name="Percent 21" xfId="3724" xr:uid="{8F7485B6-90EB-4CCF-A63F-907FFE8FBDF4}"/>
    <cellStyle name="Percent 22" xfId="3725" xr:uid="{CD40667E-83CA-4F56-80FC-96B814DB2A85}"/>
    <cellStyle name="Percent 23" xfId="3726" xr:uid="{9129D0AE-EA15-4378-8FBC-8682FB9DC331}"/>
    <cellStyle name="Percent 24" xfId="3727" xr:uid="{4B668EC6-C58B-4617-8B99-98D4D4F71B41}"/>
    <cellStyle name="Percent 25" xfId="3728" xr:uid="{C0181132-A5EA-41F8-9DF7-C92F2C80A589}"/>
    <cellStyle name="Percent 26" xfId="3729" xr:uid="{E1D85B7C-5BEF-43F2-91B6-C7A1FBF0EB65}"/>
    <cellStyle name="Percent 27" xfId="3730" xr:uid="{966DA157-5664-4984-AA77-229E1DA4E2C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0.33124999999999999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0.71083365142626709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5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6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43519F8C-CC28-4963-9904-CCA6341803A7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D9A36D7-E87E-4ED1-A076-88CA5FB9BE3F}"/>
            </a:ext>
          </a:extLst>
        </xdr:cNvPr>
        <xdr:cNvGrpSpPr/>
      </xdr:nvGrpSpPr>
      <xdr:grpSpPr>
        <a:xfrm>
          <a:off x="9620366" y="821390"/>
          <a:ext cx="1365900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432C66D-49BD-4E37-819F-93029B6A2D2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913F0338-7B62-46A5-B597-CD6A5165FB7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1FC4530-2516-46A2-AE68-C9CD4216E3D7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F2FD76AE-D6D8-4692-9825-02972DFE748E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BF731F8-68BD-4F68-8EF0-831277F305E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92458EB8-CA25-497A-AB44-99A414C773D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B6772F4-563D-4F46-AE70-6BC277921A6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6BCB872-FA69-421D-84E0-889B77444154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5FB60F5-3790-432E-8567-35DCAC929C0B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DE9FCB42-8E09-4AFC-8531-0C650B4DCAB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2C10AEE-FDEE-4714-B949-9960CB341AC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9F850A0-623D-48DD-ACDF-2B7D47CA247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EB0D5A0-AB38-4C1D-943E-D3F790CE880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48F0654-5810-4377-A7AC-0B054AB547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1BAF89C1-9435-42DD-A7E9-7FECE9B3DA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D66ADD-E518-4A7A-BE77-2016A6AC95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C7642F98-700E-4747-9A46-B89ED9D76DC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B95BC650-356E-4675-B864-9EAF8569D56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1D75E9A-7600-414F-8491-AD7E591512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0410BF-9CD7-460A-91F2-E8B574C388D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908828-ADB8-457E-8EF0-37CDA8BFE32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7E11B25-D58B-4BB4-897D-B799841C33E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9CE2413B-1B6E-4A23-9742-ADE1C8DDC24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BEF2FD-8EBF-4B83-8017-E61BD903DDB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3471C07A-637E-4BC5-B871-6EA11C6926A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EF0A2FC-A63A-4037-BFED-A0A0B23D167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5A5C9FE-CF3F-47D8-8CBB-F5FC02E3095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16880B9-64C4-47AE-8BAB-9A557FA0164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F443B7B-1090-4A1E-8425-C49CD0701E4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1AD6D37-92FB-4816-BCEC-AF9E2F988DF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D417E2-31AE-4D6B-981B-F5955B32032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5F479FF-1E50-416C-8E02-040D543F08A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6A4DB460-312E-467B-9B00-3D58A8F9AF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D597D1BA-086B-4A6A-B800-845D739680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66A41086-0074-44C6-B4BC-A1791815F40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D6DE9A4F-EA3B-478B-804D-2A53FF63E6D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E6C9C7D3-0C4F-4433-9DDF-E0E19FBA166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FD5A4F1F-4A92-4DE2-A2AA-37B9CF96ED3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6FA72D60-54B5-4424-B1B6-5039F84A23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921D549-1F48-46D9-8AF6-524D33598CF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A22EB306-1AD2-4DA2-BE6B-27FC041CCCD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C101F0A-D576-4A2C-898A-11FF408C597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48780031-B338-49CB-B9EA-987338B81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A66036E0-4E25-4637-96A2-CB54BDFEC0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3E75546-2D04-48CE-B9F4-96B8C4AF18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4C27F859-6443-439D-B9E9-AFEB0F89685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D8D66B0-54B7-49EB-979B-DF31A7177E5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C9F31C5-8106-4E7E-8183-BF4686EEF30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B92A2DF-2C2A-4F97-B8AD-65E27EDBD88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BD92FE96-BFB8-438E-B35C-1E99C80AE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6791E99B-5F89-4763-BCE3-6B0CD0A9CF6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3CD960A-0525-4986-9461-8F3EADB4EA7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849290DB-B4DD-4D68-8B05-2D6C9EC652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4FCEC1C0-91BB-4A10-AB65-6AEF71095E6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879534CE-1362-4951-9C14-354BF83F283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54730549-FF62-481B-88E2-F7E5200E072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668C9B97-2334-452A-A6E1-13ED53FE06D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5698DBFA-7096-49C9-8347-41EAF3C358D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39A6A10E-C5EC-4D88-8A77-8A565887DB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7329872-B69D-4C42-969F-C78E684CA02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28784DF-B6AD-4FCA-A374-7A7BDC32A61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77BE36D-F42B-4CB1-B455-86BF073ED9A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5970E41-F80A-4892-8533-8DE175FC2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19</xdr:row>
      <xdr:rowOff>0</xdr:rowOff>
    </xdr:from>
    <xdr:to>
      <xdr:col>19</xdr:col>
      <xdr:colOff>342900</xdr:colOff>
      <xdr:row>20</xdr:row>
      <xdr:rowOff>104775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F5FC0A7-CDD1-4366-AD43-834831DF6524}"/>
            </a:ext>
          </a:extLst>
        </xdr:cNvPr>
        <xdr:cNvSpPr/>
      </xdr:nvSpPr>
      <xdr:spPr>
        <a:xfrm>
          <a:off x="1171575" y="2924175"/>
          <a:ext cx="5953125" cy="2571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285750</xdr:colOff>
      <xdr:row>25</xdr:row>
      <xdr:rowOff>56092</xdr:rowOff>
    </xdr:from>
    <xdr:to>
      <xdr:col>16</xdr:col>
      <xdr:colOff>361949</xdr:colOff>
      <xdr:row>29</xdr:row>
      <xdr:rowOff>135466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37F841C-0EC4-43BF-8B16-B17CF2E94983}"/>
            </a:ext>
          </a:extLst>
        </xdr:cNvPr>
        <xdr:cNvSpPr txBox="1"/>
      </xdr:nvSpPr>
      <xdr:spPr>
        <a:xfrm>
          <a:off x="4781550" y="3894667"/>
          <a:ext cx="1219199" cy="688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51857</xdr:colOff>
      <xdr:row>30</xdr:row>
      <xdr:rowOff>16410</xdr:rowOff>
    </xdr:from>
    <xdr:to>
      <xdr:col>40</xdr:col>
      <xdr:colOff>150811</xdr:colOff>
      <xdr:row>31</xdr:row>
      <xdr:rowOff>41275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23AE44B4-12ED-4C61-A521-49B639A5B302}"/>
            </a:ext>
          </a:extLst>
        </xdr:cNvPr>
        <xdr:cNvSpPr txBox="1"/>
      </xdr:nvSpPr>
      <xdr:spPr>
        <a:xfrm flipH="1">
          <a:off x="14920382" y="4607460"/>
          <a:ext cx="98954" cy="1772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36</xdr:col>
      <xdr:colOff>62441</xdr:colOff>
      <xdr:row>39</xdr:row>
      <xdr:rowOff>1058</xdr:rowOff>
    </xdr:from>
    <xdr:to>
      <xdr:col>41</xdr:col>
      <xdr:colOff>348192</xdr:colOff>
      <xdr:row>39</xdr:row>
      <xdr:rowOff>17992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9100932-43A3-4B10-9ACC-2ECE742A35EC}"/>
            </a:ext>
          </a:extLst>
        </xdr:cNvPr>
        <xdr:cNvCxnSpPr/>
      </xdr:nvCxnSpPr>
      <xdr:spPr>
        <a:xfrm flipH="1" flipV="1">
          <a:off x="13406966" y="5982758"/>
          <a:ext cx="2190751" cy="16934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222252</xdr:colOff>
      <xdr:row>37</xdr:row>
      <xdr:rowOff>8464</xdr:rowOff>
    </xdr:from>
    <xdr:to>
      <xdr:col>42</xdr:col>
      <xdr:colOff>365127</xdr:colOff>
      <xdr:row>38</xdr:row>
      <xdr:rowOff>56089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58EC057-3202-476E-936A-BA835994300F}"/>
            </a:ext>
          </a:extLst>
        </xdr:cNvPr>
        <xdr:cNvSpPr txBox="1"/>
      </xdr:nvSpPr>
      <xdr:spPr>
        <a:xfrm>
          <a:off x="15471777" y="5675839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</a:p>
      </xdr:txBody>
    </xdr:sp>
    <xdr:clientData/>
  </xdr:twoCellAnchor>
  <xdr:twoCellAnchor>
    <xdr:from>
      <xdr:col>40</xdr:col>
      <xdr:colOff>84666</xdr:colOff>
      <xdr:row>38</xdr:row>
      <xdr:rowOff>43391</xdr:rowOff>
    </xdr:from>
    <xdr:to>
      <xdr:col>40</xdr:col>
      <xdr:colOff>214362</xdr:colOff>
      <xdr:row>39</xdr:row>
      <xdr:rowOff>12878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73BA649F-8384-47CC-9D13-5FF8CB6CA51B}"/>
            </a:ext>
          </a:extLst>
        </xdr:cNvPr>
        <xdr:cNvGrpSpPr>
          <a:grpSpLocks/>
        </xdr:cNvGrpSpPr>
      </xdr:nvGrpSpPr>
      <xdr:grpSpPr bwMode="auto">
        <a:xfrm>
          <a:off x="14953191" y="5872691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9D67621D-4096-465E-8046-53158982854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9DF01CF-E5C7-497F-8D2D-7BB5F55014C1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8905411-3550-4FFD-8FB4-1E58CC5824E5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0A4A7A8-7D43-4C11-AF43-930294781736}"/>
            </a:ext>
          </a:extLst>
        </xdr:cNvPr>
        <xdr:cNvGrpSpPr>
          <a:grpSpLocks/>
        </xdr:cNvGrpSpPr>
      </xdr:nvGrpSpPr>
      <xdr:grpSpPr bwMode="auto">
        <a:xfrm>
          <a:off x="12308248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8897C17C-DF00-49FD-9CCC-558C8E9709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4AF1382-55C4-495C-A685-28B8AA6AC0C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2ED66A3-F777-4F94-88FE-9FB250C73C9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A5E98DE5-F080-457B-8BE8-50D9886CCFCA}"/>
            </a:ext>
          </a:extLst>
        </xdr:cNvPr>
        <xdr:cNvGrpSpPr>
          <a:grpSpLocks/>
        </xdr:cNvGrpSpPr>
      </xdr:nvGrpSpPr>
      <xdr:grpSpPr bwMode="auto">
        <a:xfrm>
          <a:off x="12832123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03A2EF8-7D09-40BD-8464-AC32B4E5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CF052196-D3A6-405C-8C9A-F91584DA58F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87B8AA-AEA9-4EA2-B517-03E71439F564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D0C5B27-23A4-4B5A-B76F-1B591036D8D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67A16077-6A79-40B9-8F44-E826792020F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1D6BBE3-1553-4AFD-90AA-E28AD22E8712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5B75811E-BCBA-4C3A-8AF9-AF17613B4391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6625C4C-72A2-45D5-BBA6-70F9054DCA3F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31C0B1D-BFFC-45F3-B9C4-AE3B299998F2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85E7010-6C51-481D-A718-8000B73CD886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FC210465-1E55-48E8-88BB-8DCB6CCE9061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6F90F12E-01A7-4E18-8910-5A5A58A6E9AC}"/>
            </a:ext>
          </a:extLst>
        </xdr:cNvPr>
        <xdr:cNvGrpSpPr>
          <a:grpSpLocks/>
        </xdr:cNvGrpSpPr>
      </xdr:nvGrpSpPr>
      <xdr:grpSpPr bwMode="auto">
        <a:xfrm>
          <a:off x="12603523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B4B3765-ADCA-4BAF-9769-3E1A137E313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31E152BB-E7D9-4DA4-81A9-D67A1562F49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ECC3538-022F-41C4-85EC-834E8DFD07E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D0E06F-0C8D-46AC-B347-E2C90F0E374B}"/>
            </a:ext>
          </a:extLst>
        </xdr:cNvPr>
        <xdr:cNvGrpSpPr>
          <a:grpSpLocks/>
        </xdr:cNvGrpSpPr>
      </xdr:nvGrpSpPr>
      <xdr:grpSpPr bwMode="auto">
        <a:xfrm>
          <a:off x="12593998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72303C8-B3A8-4060-99BB-90C7C9E499F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F38FB9C-C55D-4B7A-B633-23CCC7BFDE5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C59C5ED-3160-443F-B45C-5E6D5BFDF42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AD2D0237-3DDD-40E6-BD63-BFEB893EA124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F9CB7E6E-4332-4432-9C75-CDE1A79A9B95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3823A8-0516-4FE7-9693-89F45C4B416E}"/>
            </a:ext>
          </a:extLst>
        </xdr:cNvPr>
        <xdr:cNvGrpSpPr>
          <a:grpSpLocks/>
        </xdr:cNvGrpSpPr>
      </xdr:nvGrpSpPr>
      <xdr:grpSpPr bwMode="auto">
        <a:xfrm>
          <a:off x="12603523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5B28B4E-7CEC-4845-844D-D3AAC90CCC5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2DAF01A-C014-4A49-86A9-E1859D62772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A75601CB-1419-425A-98A4-601DC6EA145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636A238B-AA42-4797-9F33-88068E0F00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2CC8785-6D03-4D4A-ABED-AC3315DB9AF9}"/>
            </a:ext>
          </a:extLst>
        </xdr:cNvPr>
        <xdr:cNvGrpSpPr>
          <a:grpSpLocks/>
        </xdr:cNvGrpSpPr>
      </xdr:nvGrpSpPr>
      <xdr:grpSpPr bwMode="auto">
        <a:xfrm>
          <a:off x="12603523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153BC3C-A11F-4F2A-9C6E-F73383ADCF07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5137BD3-A3C7-4CB3-9F52-7C85D558A688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93A4F-B4D2-4951-BC58-B85C2D3C5E5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B801FED-2444-47F2-93DD-F6571D8E5F0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D20D15B-116B-4E96-BC07-26F629C9DCC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EBC04B4-286A-4BD2-8D86-459417B81BC8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285EDA42-F20B-4704-8156-B9AFDAF1761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1DDCE73-C5A9-4BFB-9611-992BEDA7A091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197F811B-0B0E-4308-9E8A-13398447C0A3}"/>
            </a:ext>
          </a:extLst>
        </xdr:cNvPr>
        <xdr:cNvGrpSpPr>
          <a:grpSpLocks/>
        </xdr:cNvGrpSpPr>
      </xdr:nvGrpSpPr>
      <xdr:grpSpPr bwMode="auto">
        <a:xfrm>
          <a:off x="12384448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B352D7B-6BBC-4E5F-AA36-24D230BE9F9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45E61377-23FF-4823-87AC-22AD99DBD365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8C96A86-4885-48A0-8D6C-187BFC186EF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0A7CDBA-49B1-4916-905D-B2528484192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754F7495-ABAC-4653-B168-5E9B74000EE1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6A3177-7B91-4412-8C36-1EAF459501FB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C33A641-BEDA-4A8F-B5FF-9C478413160C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249646D-BE8C-4FB1-8821-A8D10EAB9AC4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93830D0A-391C-4F05-947C-F4A6DCA36899}"/>
            </a:ext>
          </a:extLst>
        </xdr:cNvPr>
        <xdr:cNvGrpSpPr>
          <a:grpSpLocks/>
        </xdr:cNvGrpSpPr>
      </xdr:nvGrpSpPr>
      <xdr:grpSpPr bwMode="auto">
        <a:xfrm>
          <a:off x="12336823" y="4541745"/>
          <a:ext cx="266700" cy="147357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86842FE2-6391-423B-816A-83F4A79DE93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5433C4CF-92D9-4AF2-8496-D53280EF042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D80F1D52-3CB2-4903-9BAB-59918FAA8E8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BE27DC8C-813C-43F4-AEFB-00828015C2D9}"/>
            </a:ext>
          </a:extLst>
        </xdr:cNvPr>
        <xdr:cNvGrpSpPr>
          <a:grpSpLocks/>
        </xdr:cNvGrpSpPr>
      </xdr:nvGrpSpPr>
      <xdr:grpSpPr bwMode="auto">
        <a:xfrm>
          <a:off x="12879748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DB2CDF-0548-4B04-8DB0-08B563C0F98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AE0BFAD2-DD31-41A4-B569-29FF3DC99E9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ACC607C-929F-4651-B135-0822BBE4BBBA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852723C-B3BA-42D2-BE9B-BF5E9B054DED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370607F-4744-40E2-893C-18497676C265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6BB34D1A-3C42-4F68-8148-689DC3268CE2}"/>
            </a:ext>
          </a:extLst>
        </xdr:cNvPr>
        <xdr:cNvGrpSpPr>
          <a:grpSpLocks/>
        </xdr:cNvGrpSpPr>
      </xdr:nvGrpSpPr>
      <xdr:grpSpPr bwMode="auto">
        <a:xfrm>
          <a:off x="12365398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8E47998-7B45-48DE-AFD6-22C5269E694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CF1F1A-33DF-4F36-A2B8-5C43891A87E6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FD66837C-1CCD-4DF3-8D66-2FC8A04513B9}"/>
            </a:ext>
          </a:extLst>
        </xdr:cNvPr>
        <xdr:cNvGrpSpPr>
          <a:grpSpLocks/>
        </xdr:cNvGrpSpPr>
      </xdr:nvGrpSpPr>
      <xdr:grpSpPr bwMode="auto">
        <a:xfrm>
          <a:off x="12927373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96D46497-F9F3-40E8-B0A6-C9A20F9DC18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83B246-FB37-4384-9932-F65F6475B463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577F6EB-0D67-4E58-A56C-018D88DC99CB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56BB3D4-F335-4118-B0C7-1479B8BF9E6A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9</xdr:col>
      <xdr:colOff>38100</xdr:colOff>
      <xdr:row>9</xdr:row>
      <xdr:rowOff>20110</xdr:rowOff>
    </xdr:from>
    <xdr:to>
      <xdr:col>11</xdr:col>
      <xdr:colOff>203199</xdr:colOff>
      <xdr:row>14</xdr:row>
      <xdr:rowOff>1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D3DF0C7-0A61-478F-8866-2480AA9FFB9E}"/>
            </a:ext>
          </a:extLst>
        </xdr:cNvPr>
        <xdr:cNvSpPr txBox="1"/>
      </xdr:nvSpPr>
      <xdr:spPr>
        <a:xfrm>
          <a:off x="3009900" y="1410760"/>
          <a:ext cx="927099" cy="75141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chemeClr val="tx1"/>
              </a:solidFill>
            </a:rPr>
            <a:t>1 G312-A 50KVA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3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12 CCO 70-70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40</xdr:col>
      <xdr:colOff>351368</xdr:colOff>
      <xdr:row>37</xdr:row>
      <xdr:rowOff>46568</xdr:rowOff>
    </xdr:from>
    <xdr:to>
      <xdr:col>41</xdr:col>
      <xdr:colOff>237068</xdr:colOff>
      <xdr:row>38</xdr:row>
      <xdr:rowOff>22475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59075573-FDFC-4169-B9C8-F27A35F69385}"/>
            </a:ext>
          </a:extLst>
        </xdr:cNvPr>
        <xdr:cNvGrpSpPr>
          <a:grpSpLocks/>
        </xdr:cNvGrpSpPr>
      </xdr:nvGrpSpPr>
      <xdr:grpSpPr bwMode="auto">
        <a:xfrm>
          <a:off x="15219893" y="5713943"/>
          <a:ext cx="266700" cy="137832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5B3C4DC2-3D66-4CDF-9E07-8B7B7D8A6F23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28FF1AAD-68A3-4625-91F5-AB73634D445D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9EB80A5A-8F51-4B7B-9B60-A59ADC76FCE5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38</xdr:col>
      <xdr:colOff>81435</xdr:colOff>
      <xdr:row>36</xdr:row>
      <xdr:rowOff>141698</xdr:rowOff>
    </xdr:from>
    <xdr:to>
      <xdr:col>40</xdr:col>
      <xdr:colOff>103660</xdr:colOff>
      <xdr:row>38</xdr:row>
      <xdr:rowOff>148048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5E5B48DE-1BCC-4995-B242-3D0053B34302}"/>
            </a:ext>
          </a:extLst>
        </xdr:cNvPr>
        <xdr:cNvCxnSpPr>
          <a:stCxn id="73" idx="3"/>
          <a:endCxn id="160" idx="3"/>
        </xdr:cNvCxnSpPr>
      </xdr:nvCxnSpPr>
      <xdr:spPr>
        <a:xfrm flipH="1" flipV="1">
          <a:off x="14187960" y="5647148"/>
          <a:ext cx="784225" cy="3302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284691</xdr:colOff>
      <xdr:row>29</xdr:row>
      <xdr:rowOff>52915</xdr:rowOff>
    </xdr:from>
    <xdr:to>
      <xdr:col>44</xdr:col>
      <xdr:colOff>171877</xdr:colOff>
      <xdr:row>31</xdr:row>
      <xdr:rowOff>130833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0B25ADF-BC43-4600-9485-831A3B5D730B}"/>
            </a:ext>
          </a:extLst>
        </xdr:cNvPr>
        <xdr:cNvSpPr txBox="1"/>
      </xdr:nvSpPr>
      <xdr:spPr>
        <a:xfrm>
          <a:off x="15153216" y="4501090"/>
          <a:ext cx="1411186" cy="3731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53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60M</a:t>
          </a:r>
        </a:p>
      </xdr:txBody>
    </xdr:sp>
    <xdr:clientData/>
  </xdr:twoCellAnchor>
  <xdr:twoCellAnchor>
    <xdr:from>
      <xdr:col>40</xdr:col>
      <xdr:colOff>136525</xdr:colOff>
      <xdr:row>39</xdr:row>
      <xdr:rowOff>22225</xdr:rowOff>
    </xdr:from>
    <xdr:to>
      <xdr:col>41</xdr:col>
      <xdr:colOff>3175</xdr:colOff>
      <xdr:row>40</xdr:row>
      <xdr:rowOff>22225</xdr:rowOff>
    </xdr:to>
    <xdr:grpSp>
      <xdr:nvGrpSpPr>
        <xdr:cNvPr id="154" name="Group 118">
          <a:extLst>
            <a:ext uri="{FF2B5EF4-FFF2-40B4-BE49-F238E27FC236}">
              <a16:creationId xmlns:a16="http://schemas.microsoft.com/office/drawing/2014/main" id="{6D66C8B3-DA5F-49BF-83CC-D23791208434}"/>
            </a:ext>
          </a:extLst>
        </xdr:cNvPr>
        <xdr:cNvGrpSpPr>
          <a:grpSpLocks/>
        </xdr:cNvGrpSpPr>
      </xdr:nvGrpSpPr>
      <xdr:grpSpPr bwMode="auto">
        <a:xfrm>
          <a:off x="15005050" y="6003925"/>
          <a:ext cx="247650" cy="152400"/>
          <a:chOff x="12446976" y="4345782"/>
          <a:chExt cx="251864" cy="151026"/>
        </a:xfrm>
      </xdr:grpSpPr>
      <xdr:sp macro="" textlink="">
        <xdr:nvSpPr>
          <xdr:cNvPr id="155" name="Isosceles Triangle 154">
            <a:extLst>
              <a:ext uri="{FF2B5EF4-FFF2-40B4-BE49-F238E27FC236}">
                <a16:creationId xmlns:a16="http://schemas.microsoft.com/office/drawing/2014/main" id="{E73897A0-73E1-4334-BFB9-3FC2A8EFF9DA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6" name="Isosceles Triangle 155">
            <a:extLst>
              <a:ext uri="{FF2B5EF4-FFF2-40B4-BE49-F238E27FC236}">
                <a16:creationId xmlns:a16="http://schemas.microsoft.com/office/drawing/2014/main" id="{7DF24F27-6E5C-4366-B0EF-0364A4F44E2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78454DCA-95D3-4A57-A813-C7718220F29F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40</xdr:col>
      <xdr:colOff>115358</xdr:colOff>
      <xdr:row>40</xdr:row>
      <xdr:rowOff>43392</xdr:rowOff>
    </xdr:from>
    <xdr:to>
      <xdr:col>41</xdr:col>
      <xdr:colOff>258233</xdr:colOff>
      <xdr:row>41</xdr:row>
      <xdr:rowOff>100542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7E88981-C00E-4677-B539-48C911AA450A}"/>
            </a:ext>
          </a:extLst>
        </xdr:cNvPr>
        <xdr:cNvSpPr txBox="1"/>
      </xdr:nvSpPr>
      <xdr:spPr>
        <a:xfrm>
          <a:off x="14983883" y="6177492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  <xdr:twoCellAnchor>
    <xdr:from>
      <xdr:col>38</xdr:col>
      <xdr:colOff>62441</xdr:colOff>
      <xdr:row>36</xdr:row>
      <xdr:rowOff>41275</xdr:rowOff>
    </xdr:from>
    <xdr:to>
      <xdr:col>38</xdr:col>
      <xdr:colOff>192137</xdr:colOff>
      <xdr:row>37</xdr:row>
      <xdr:rowOff>1236</xdr:rowOff>
    </xdr:to>
    <xdr:grpSp>
      <xdr:nvGrpSpPr>
        <xdr:cNvPr id="159" name="Group 682">
          <a:extLst>
            <a:ext uri="{FF2B5EF4-FFF2-40B4-BE49-F238E27FC236}">
              <a16:creationId xmlns:a16="http://schemas.microsoft.com/office/drawing/2014/main" id="{C40EAC13-4A58-40F9-A8FD-FB1077ED1253}"/>
            </a:ext>
          </a:extLst>
        </xdr:cNvPr>
        <xdr:cNvGrpSpPr>
          <a:grpSpLocks/>
        </xdr:cNvGrpSpPr>
      </xdr:nvGrpSpPr>
      <xdr:grpSpPr bwMode="auto">
        <a:xfrm>
          <a:off x="14168966" y="5546725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60" name="Oval 159">
            <a:extLst>
              <a:ext uri="{FF2B5EF4-FFF2-40B4-BE49-F238E27FC236}">
                <a16:creationId xmlns:a16="http://schemas.microsoft.com/office/drawing/2014/main" id="{BEBAD68D-D108-425D-B344-C7AAE70941D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E4B511C3-7721-4BD2-A36F-EFEDE7DE711E}"/>
              </a:ext>
            </a:extLst>
          </xdr:cNvPr>
          <xdr:cNvCxnSpPr>
            <a:stCxn id="160" idx="1"/>
            <a:endCxn id="16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1F90B01A-7615-4CA1-B337-BACEB2D99972}"/>
              </a:ext>
            </a:extLst>
          </xdr:cNvPr>
          <xdr:cNvCxnSpPr>
            <a:stCxn id="160" idx="3"/>
            <a:endCxn id="16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295275</xdr:colOff>
      <xdr:row>37</xdr:row>
      <xdr:rowOff>74086</xdr:rowOff>
    </xdr:from>
    <xdr:to>
      <xdr:col>39</xdr:col>
      <xdr:colOff>104775</xdr:colOff>
      <xdr:row>38</xdr:row>
      <xdr:rowOff>21418</xdr:rowOff>
    </xdr:to>
    <xdr:grpSp>
      <xdr:nvGrpSpPr>
        <xdr:cNvPr id="163" name="Group 33">
          <a:extLst>
            <a:ext uri="{FF2B5EF4-FFF2-40B4-BE49-F238E27FC236}">
              <a16:creationId xmlns:a16="http://schemas.microsoft.com/office/drawing/2014/main" id="{AC67B19C-2F57-48F4-AC2A-5D8C52411831}"/>
            </a:ext>
          </a:extLst>
        </xdr:cNvPr>
        <xdr:cNvGrpSpPr>
          <a:grpSpLocks/>
        </xdr:cNvGrpSpPr>
      </xdr:nvGrpSpPr>
      <xdr:grpSpPr bwMode="auto">
        <a:xfrm rot="1011365">
          <a:off x="14401800" y="5741461"/>
          <a:ext cx="190500" cy="109257"/>
          <a:chOff x="12267336" y="2379518"/>
          <a:chExt cx="192062" cy="99752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A135CAC2-F481-4366-BA84-C2E21C188C0B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90A2F6C-8D1B-4AF2-A180-94DE2F2E1C5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92FB8A71-E8A9-41FB-B3A7-106618BDCE5D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E5F8457E-9095-4602-9477-FBE9274AF6B4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284693</xdr:colOff>
      <xdr:row>30</xdr:row>
      <xdr:rowOff>20110</xdr:rowOff>
    </xdr:from>
    <xdr:to>
      <xdr:col>39</xdr:col>
      <xdr:colOff>379943</xdr:colOff>
      <xdr:row>31</xdr:row>
      <xdr:rowOff>30693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DC77FF8D-49FC-4F4F-BE95-4D77DCBBD36C}"/>
            </a:ext>
          </a:extLst>
        </xdr:cNvPr>
        <xdr:cNvSpPr txBox="1"/>
      </xdr:nvSpPr>
      <xdr:spPr>
        <a:xfrm>
          <a:off x="14772218" y="4611160"/>
          <a:ext cx="95250" cy="1629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</a:t>
          </a:r>
        </a:p>
      </xdr:txBody>
    </xdr:sp>
    <xdr:clientData/>
  </xdr:twoCellAnchor>
  <xdr:twoCellAnchor>
    <xdr:from>
      <xdr:col>38</xdr:col>
      <xdr:colOff>369763</xdr:colOff>
      <xdr:row>32</xdr:row>
      <xdr:rowOff>114952</xdr:rowOff>
    </xdr:from>
    <xdr:to>
      <xdr:col>39</xdr:col>
      <xdr:colOff>93787</xdr:colOff>
      <xdr:row>34</xdr:row>
      <xdr:rowOff>4886</xdr:rowOff>
    </xdr:to>
    <xdr:grpSp>
      <xdr:nvGrpSpPr>
        <xdr:cNvPr id="170" name="Group 33">
          <a:extLst>
            <a:ext uri="{FF2B5EF4-FFF2-40B4-BE49-F238E27FC236}">
              <a16:creationId xmlns:a16="http://schemas.microsoft.com/office/drawing/2014/main" id="{69B40F72-E8EB-42A1-B854-3DA946D97D33}"/>
            </a:ext>
          </a:extLst>
        </xdr:cNvPr>
        <xdr:cNvGrpSpPr>
          <a:grpSpLocks/>
        </xdr:cNvGrpSpPr>
      </xdr:nvGrpSpPr>
      <xdr:grpSpPr bwMode="auto">
        <a:xfrm rot="17275771">
          <a:off x="14431433" y="5055657"/>
          <a:ext cx="194734" cy="105024"/>
          <a:chOff x="12267336" y="2379518"/>
          <a:chExt cx="192062" cy="99752"/>
        </a:xfrm>
      </xdr:grpSpPr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6DD5B69C-EEC0-425F-BE6A-11C335B657F4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64EA3993-3640-4062-9294-0DAEAAF54301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CB45C802-F717-4CC8-906C-1037827974CE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7C1D53A4-9B89-4CA1-8B52-EDB714441D4B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178859</xdr:colOff>
      <xdr:row>36</xdr:row>
      <xdr:rowOff>62443</xdr:rowOff>
    </xdr:from>
    <xdr:to>
      <xdr:col>40</xdr:col>
      <xdr:colOff>149514</xdr:colOff>
      <xdr:row>38</xdr:row>
      <xdr:rowOff>43391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674C735B-FE31-434B-901E-3E6DB0610999}"/>
            </a:ext>
          </a:extLst>
        </xdr:cNvPr>
        <xdr:cNvCxnSpPr>
          <a:endCxn id="73" idx="0"/>
        </xdr:cNvCxnSpPr>
      </xdr:nvCxnSpPr>
      <xdr:spPr>
        <a:xfrm>
          <a:off x="14285384" y="5567893"/>
          <a:ext cx="732655" cy="3047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22318</xdr:colOff>
      <xdr:row>18</xdr:row>
      <xdr:rowOff>68628</xdr:rowOff>
    </xdr:from>
    <xdr:to>
      <xdr:col>15</xdr:col>
      <xdr:colOff>200025</xdr:colOff>
      <xdr:row>23</xdr:row>
      <xdr:rowOff>7004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F5D283F3-3C23-4BD5-A46F-9EE0020026E0}"/>
            </a:ext>
          </a:extLst>
        </xdr:cNvPr>
        <xdr:cNvCxnSpPr>
          <a:stCxn id="234" idx="2"/>
          <a:endCxn id="226" idx="3"/>
        </xdr:cNvCxnSpPr>
      </xdr:nvCxnSpPr>
      <xdr:spPr>
        <a:xfrm flipH="1" flipV="1">
          <a:off x="4518118" y="2840403"/>
          <a:ext cx="939707" cy="70037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154516</xdr:colOff>
      <xdr:row>32</xdr:row>
      <xdr:rowOff>129117</xdr:rowOff>
    </xdr:from>
    <xdr:to>
      <xdr:col>39</xdr:col>
      <xdr:colOff>245533</xdr:colOff>
      <xdr:row>34</xdr:row>
      <xdr:rowOff>23284</xdr:rowOff>
    </xdr:to>
    <xdr:grpSp>
      <xdr:nvGrpSpPr>
        <xdr:cNvPr id="177" name="Group 28">
          <a:extLst>
            <a:ext uri="{FF2B5EF4-FFF2-40B4-BE49-F238E27FC236}">
              <a16:creationId xmlns:a16="http://schemas.microsoft.com/office/drawing/2014/main" id="{CE33288C-8F5D-4C05-BDAB-D3B286A3CEAB}"/>
            </a:ext>
          </a:extLst>
        </xdr:cNvPr>
        <xdr:cNvGrpSpPr>
          <a:grpSpLocks/>
        </xdr:cNvGrpSpPr>
      </xdr:nvGrpSpPr>
      <xdr:grpSpPr bwMode="auto">
        <a:xfrm rot="17968288">
          <a:off x="14588066" y="5078942"/>
          <a:ext cx="198967" cy="91017"/>
          <a:chOff x="12267508" y="2212225"/>
          <a:chExt cx="192931" cy="101137"/>
        </a:xfrm>
      </xdr:grpSpPr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4598F3D9-1908-450C-A590-EF117ECCE93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3D96E2F7-A0B0-448F-80CB-033B34576AC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6E2A861-6C7D-4B98-8C0E-068DDD4C655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311B5C4C-7490-46CE-8671-FFA54BDAF6C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125941</xdr:colOff>
      <xdr:row>37</xdr:row>
      <xdr:rowOff>21167</xdr:rowOff>
    </xdr:from>
    <xdr:to>
      <xdr:col>39</xdr:col>
      <xdr:colOff>316441</xdr:colOff>
      <xdr:row>37</xdr:row>
      <xdr:rowOff>112184</xdr:rowOff>
    </xdr:to>
    <xdr:grpSp>
      <xdr:nvGrpSpPr>
        <xdr:cNvPr id="182" name="Group 28">
          <a:extLst>
            <a:ext uri="{FF2B5EF4-FFF2-40B4-BE49-F238E27FC236}">
              <a16:creationId xmlns:a16="http://schemas.microsoft.com/office/drawing/2014/main" id="{223E11F0-61BA-4198-AC6C-07D54A5A9E6A}"/>
            </a:ext>
          </a:extLst>
        </xdr:cNvPr>
        <xdr:cNvGrpSpPr>
          <a:grpSpLocks/>
        </xdr:cNvGrpSpPr>
      </xdr:nvGrpSpPr>
      <xdr:grpSpPr bwMode="auto">
        <a:xfrm>
          <a:off x="14613466" y="5688542"/>
          <a:ext cx="190500" cy="91017"/>
          <a:chOff x="12267508" y="2212225"/>
          <a:chExt cx="192931" cy="101137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3E19DCA9-09DD-4820-93D7-38FBE3627032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C6CB5C41-4B28-4D90-8695-6C9DA50BB84A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1B40A141-9D5A-4C33-8461-5E47B1F8E02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91D75AE3-402F-4D67-8FC8-E7226717954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115359</xdr:colOff>
      <xdr:row>39</xdr:row>
      <xdr:rowOff>32809</xdr:rowOff>
    </xdr:from>
    <xdr:to>
      <xdr:col>40</xdr:col>
      <xdr:colOff>348192</xdr:colOff>
      <xdr:row>40</xdr:row>
      <xdr:rowOff>117475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B28B1674-5516-4F2D-B233-618F1D40C0FE}"/>
            </a:ext>
          </a:extLst>
        </xdr:cNvPr>
        <xdr:cNvCxnSpPr/>
      </xdr:nvCxnSpPr>
      <xdr:spPr>
        <a:xfrm flipV="1">
          <a:off x="14983884" y="6014509"/>
          <a:ext cx="232833" cy="237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136525</xdr:colOff>
      <xdr:row>39</xdr:row>
      <xdr:rowOff>64559</xdr:rowOff>
    </xdr:from>
    <xdr:to>
      <xdr:col>40</xdr:col>
      <xdr:colOff>379941</xdr:colOff>
      <xdr:row>40</xdr:row>
      <xdr:rowOff>117475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E09007D6-5CF6-4361-A51B-9D14F60448A4}"/>
            </a:ext>
          </a:extLst>
        </xdr:cNvPr>
        <xdr:cNvCxnSpPr/>
      </xdr:nvCxnSpPr>
      <xdr:spPr>
        <a:xfrm>
          <a:off x="15005050" y="6046259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327025</xdr:colOff>
      <xdr:row>37</xdr:row>
      <xdr:rowOff>127000</xdr:rowOff>
    </xdr:from>
    <xdr:to>
      <xdr:col>39</xdr:col>
      <xdr:colOff>295274</xdr:colOff>
      <xdr:row>38</xdr:row>
      <xdr:rowOff>75141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C3FF4D7F-775A-488D-9735-45E69844D6AD}"/>
            </a:ext>
          </a:extLst>
        </xdr:cNvPr>
        <xdr:cNvCxnSpPr/>
      </xdr:nvCxnSpPr>
      <xdr:spPr>
        <a:xfrm flipV="1">
          <a:off x="14433550" y="5794375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83608</xdr:colOff>
      <xdr:row>37</xdr:row>
      <xdr:rowOff>95250</xdr:rowOff>
    </xdr:from>
    <xdr:to>
      <xdr:col>39</xdr:col>
      <xdr:colOff>327024</xdr:colOff>
      <xdr:row>38</xdr:row>
      <xdr:rowOff>142875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759521D9-8220-4208-88B8-B4E987780128}"/>
            </a:ext>
          </a:extLst>
        </xdr:cNvPr>
        <xdr:cNvCxnSpPr/>
      </xdr:nvCxnSpPr>
      <xdr:spPr>
        <a:xfrm>
          <a:off x="14571133" y="5762625"/>
          <a:ext cx="243416" cy="209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157692</xdr:colOff>
      <xdr:row>33</xdr:row>
      <xdr:rowOff>62442</xdr:rowOff>
    </xdr:from>
    <xdr:to>
      <xdr:col>39</xdr:col>
      <xdr:colOff>20108</xdr:colOff>
      <xdr:row>34</xdr:row>
      <xdr:rowOff>115358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A6D198E4-3A7F-420A-B1F3-C7912C2B7053}"/>
            </a:ext>
          </a:extLst>
        </xdr:cNvPr>
        <xdr:cNvCxnSpPr/>
      </xdr:nvCxnSpPr>
      <xdr:spPr>
        <a:xfrm>
          <a:off x="14264217" y="5110692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62442</xdr:colOff>
      <xdr:row>33</xdr:row>
      <xdr:rowOff>147108</xdr:rowOff>
    </xdr:from>
    <xdr:to>
      <xdr:col>39</xdr:col>
      <xdr:colOff>30691</xdr:colOff>
      <xdr:row>34</xdr:row>
      <xdr:rowOff>104774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6040C3B4-EE44-4B0F-8A03-290C426E470C}"/>
            </a:ext>
          </a:extLst>
        </xdr:cNvPr>
        <xdr:cNvCxnSpPr/>
      </xdr:nvCxnSpPr>
      <xdr:spPr>
        <a:xfrm flipV="1">
          <a:off x="14168967" y="5195358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51859</xdr:colOff>
      <xdr:row>30</xdr:row>
      <xdr:rowOff>62442</xdr:rowOff>
    </xdr:from>
    <xdr:to>
      <xdr:col>40</xdr:col>
      <xdr:colOff>20108</xdr:colOff>
      <xdr:row>31</xdr:row>
      <xdr:rowOff>20108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97134698-864E-46EA-9633-854E45D99A3E}"/>
            </a:ext>
          </a:extLst>
        </xdr:cNvPr>
        <xdr:cNvCxnSpPr/>
      </xdr:nvCxnSpPr>
      <xdr:spPr>
        <a:xfrm flipV="1">
          <a:off x="14539384" y="4653492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157692</xdr:colOff>
      <xdr:row>30</xdr:row>
      <xdr:rowOff>20109</xdr:rowOff>
    </xdr:from>
    <xdr:to>
      <xdr:col>40</xdr:col>
      <xdr:colOff>20108</xdr:colOff>
      <xdr:row>31</xdr:row>
      <xdr:rowOff>73025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7FD11DDB-5AC0-41E7-81B0-35384531628F}"/>
            </a:ext>
          </a:extLst>
        </xdr:cNvPr>
        <xdr:cNvCxnSpPr/>
      </xdr:nvCxnSpPr>
      <xdr:spPr>
        <a:xfrm>
          <a:off x="14645217" y="4611159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189441</xdr:colOff>
      <xdr:row>41</xdr:row>
      <xdr:rowOff>85725</xdr:rowOff>
    </xdr:from>
    <xdr:to>
      <xdr:col>44</xdr:col>
      <xdr:colOff>40613</xdr:colOff>
      <xdr:row>41</xdr:row>
      <xdr:rowOff>87313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888D9553-474E-4063-8F65-3722255FC71C}"/>
            </a:ext>
          </a:extLst>
        </xdr:cNvPr>
        <xdr:cNvCxnSpPr/>
      </xdr:nvCxnSpPr>
      <xdr:spPr>
        <a:xfrm>
          <a:off x="15438966" y="6372225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231775</xdr:colOff>
      <xdr:row>40</xdr:row>
      <xdr:rowOff>85726</xdr:rowOff>
    </xdr:from>
    <xdr:to>
      <xdr:col>44</xdr:col>
      <xdr:colOff>82947</xdr:colOff>
      <xdr:row>40</xdr:row>
      <xdr:rowOff>87314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F7FB5E45-6B80-4382-8E94-8B713B22890E}"/>
            </a:ext>
          </a:extLst>
        </xdr:cNvPr>
        <xdr:cNvCxnSpPr/>
      </xdr:nvCxnSpPr>
      <xdr:spPr>
        <a:xfrm>
          <a:off x="15481300" y="621982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51857</xdr:colOff>
      <xdr:row>35</xdr:row>
      <xdr:rowOff>125941</xdr:rowOff>
    </xdr:from>
    <xdr:to>
      <xdr:col>40</xdr:col>
      <xdr:colOff>194732</xdr:colOff>
      <xdr:row>37</xdr:row>
      <xdr:rowOff>25400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C5022A2A-C366-43FF-AF42-F838C3B997FD}"/>
            </a:ext>
          </a:extLst>
        </xdr:cNvPr>
        <xdr:cNvSpPr txBox="1"/>
      </xdr:nvSpPr>
      <xdr:spPr>
        <a:xfrm rot="1693368">
          <a:off x="14539382" y="5478991"/>
          <a:ext cx="523875" cy="213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50M</a:t>
          </a:r>
        </a:p>
      </xdr:txBody>
    </xdr:sp>
    <xdr:clientData/>
  </xdr:twoCellAnchor>
  <xdr:twoCellAnchor>
    <xdr:from>
      <xdr:col>36</xdr:col>
      <xdr:colOff>136526</xdr:colOff>
      <xdr:row>35</xdr:row>
      <xdr:rowOff>30691</xdr:rowOff>
    </xdr:from>
    <xdr:to>
      <xdr:col>37</xdr:col>
      <xdr:colOff>337608</xdr:colOff>
      <xdr:row>37</xdr:row>
      <xdr:rowOff>31750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4E9CDCB-9489-475E-9190-F21FD39753B2}"/>
            </a:ext>
          </a:extLst>
        </xdr:cNvPr>
        <xdr:cNvSpPr txBox="1"/>
      </xdr:nvSpPr>
      <xdr:spPr>
        <a:xfrm>
          <a:off x="13481051" y="5383741"/>
          <a:ext cx="582082" cy="3153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CJ6-T</a:t>
          </a:r>
        </a:p>
      </xdr:txBody>
    </xdr:sp>
    <xdr:clientData/>
  </xdr:twoCellAnchor>
  <xdr:twoCellAnchor>
    <xdr:from>
      <xdr:col>36</xdr:col>
      <xdr:colOff>104775</xdr:colOff>
      <xdr:row>36</xdr:row>
      <xdr:rowOff>95781</xdr:rowOff>
    </xdr:from>
    <xdr:to>
      <xdr:col>37</xdr:col>
      <xdr:colOff>347531</xdr:colOff>
      <xdr:row>36</xdr:row>
      <xdr:rowOff>125943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2DC5AFE4-789F-420F-8670-C7A027E8C701}"/>
            </a:ext>
          </a:extLst>
        </xdr:cNvPr>
        <xdr:cNvCxnSpPr/>
      </xdr:nvCxnSpPr>
      <xdr:spPr>
        <a:xfrm flipV="1">
          <a:off x="13449300" y="5601231"/>
          <a:ext cx="623756" cy="301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7</xdr:row>
      <xdr:rowOff>104775</xdr:rowOff>
    </xdr:from>
    <xdr:to>
      <xdr:col>11</xdr:col>
      <xdr:colOff>320196</xdr:colOff>
      <xdr:row>8</xdr:row>
      <xdr:rowOff>74262</xdr:rowOff>
    </xdr:to>
    <xdr:grpSp>
      <xdr:nvGrpSpPr>
        <xdr:cNvPr id="208" name="Group 682">
          <a:extLst>
            <a:ext uri="{FF2B5EF4-FFF2-40B4-BE49-F238E27FC236}">
              <a16:creationId xmlns:a16="http://schemas.microsoft.com/office/drawing/2014/main" id="{20A2EBD3-2DAA-4CBD-A768-BDDE5C74FCAA}"/>
            </a:ext>
          </a:extLst>
        </xdr:cNvPr>
        <xdr:cNvGrpSpPr>
          <a:grpSpLocks/>
        </xdr:cNvGrpSpPr>
      </xdr:nvGrpSpPr>
      <xdr:grpSpPr bwMode="auto">
        <a:xfrm>
          <a:off x="3924300" y="1190625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09" name="Oval 208">
            <a:extLst>
              <a:ext uri="{FF2B5EF4-FFF2-40B4-BE49-F238E27FC236}">
                <a16:creationId xmlns:a16="http://schemas.microsoft.com/office/drawing/2014/main" id="{81CF3BD9-B909-870E-DDCF-C781423F42D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67D6D9B6-FFC3-8517-67FC-A229893F2832}"/>
              </a:ext>
            </a:extLst>
          </xdr:cNvPr>
          <xdr:cNvCxnSpPr>
            <a:stCxn id="209" idx="1"/>
            <a:endCxn id="20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CD977157-D4C7-6DFC-725C-99AD1842B1AE}"/>
              </a:ext>
            </a:extLst>
          </xdr:cNvPr>
          <xdr:cNvCxnSpPr>
            <a:stCxn id="209" idx="3"/>
            <a:endCxn id="20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47625</xdr:colOff>
      <xdr:row>15</xdr:row>
      <xdr:rowOff>57150</xdr:rowOff>
    </xdr:from>
    <xdr:to>
      <xdr:col>17</xdr:col>
      <xdr:colOff>177321</xdr:colOff>
      <xdr:row>16</xdr:row>
      <xdr:rowOff>26637</xdr:rowOff>
    </xdr:to>
    <xdr:grpSp>
      <xdr:nvGrpSpPr>
        <xdr:cNvPr id="212" name="Group 682">
          <a:extLst>
            <a:ext uri="{FF2B5EF4-FFF2-40B4-BE49-F238E27FC236}">
              <a16:creationId xmlns:a16="http://schemas.microsoft.com/office/drawing/2014/main" id="{7588E37E-B610-446D-A72F-9E8860906114}"/>
            </a:ext>
          </a:extLst>
        </xdr:cNvPr>
        <xdr:cNvGrpSpPr>
          <a:grpSpLocks/>
        </xdr:cNvGrpSpPr>
      </xdr:nvGrpSpPr>
      <xdr:grpSpPr bwMode="auto">
        <a:xfrm>
          <a:off x="6067425" y="2371725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3" name="Oval 212">
            <a:extLst>
              <a:ext uri="{FF2B5EF4-FFF2-40B4-BE49-F238E27FC236}">
                <a16:creationId xmlns:a16="http://schemas.microsoft.com/office/drawing/2014/main" id="{42DDA017-789E-FF31-70F1-4F01B6D6507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95651B22-CBE8-8A6E-6790-CBF7D796151B}"/>
              </a:ext>
            </a:extLst>
          </xdr:cNvPr>
          <xdr:cNvCxnSpPr>
            <a:stCxn id="213" idx="1"/>
            <a:endCxn id="2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EA888CBD-90CE-6F76-21EF-873951B937CB}"/>
              </a:ext>
            </a:extLst>
          </xdr:cNvPr>
          <xdr:cNvCxnSpPr>
            <a:stCxn id="213" idx="3"/>
            <a:endCxn id="2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209550</xdr:colOff>
      <xdr:row>15</xdr:row>
      <xdr:rowOff>76200</xdr:rowOff>
    </xdr:from>
    <xdr:to>
      <xdr:col>11</xdr:col>
      <xdr:colOff>339246</xdr:colOff>
      <xdr:row>16</xdr:row>
      <xdr:rowOff>45687</xdr:rowOff>
    </xdr:to>
    <xdr:grpSp>
      <xdr:nvGrpSpPr>
        <xdr:cNvPr id="216" name="Group 682">
          <a:extLst>
            <a:ext uri="{FF2B5EF4-FFF2-40B4-BE49-F238E27FC236}">
              <a16:creationId xmlns:a16="http://schemas.microsoft.com/office/drawing/2014/main" id="{9E8C75AF-461C-4F6D-BBD0-76B45DC0B0EA}"/>
            </a:ext>
          </a:extLst>
        </xdr:cNvPr>
        <xdr:cNvGrpSpPr>
          <a:grpSpLocks/>
        </xdr:cNvGrpSpPr>
      </xdr:nvGrpSpPr>
      <xdr:grpSpPr bwMode="auto">
        <a:xfrm>
          <a:off x="3943350" y="2390775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7" name="Oval 216">
            <a:extLst>
              <a:ext uri="{FF2B5EF4-FFF2-40B4-BE49-F238E27FC236}">
                <a16:creationId xmlns:a16="http://schemas.microsoft.com/office/drawing/2014/main" id="{68A78671-8EBA-29BE-F001-EC614B0B023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F4705746-6B68-4CBC-6DF3-77926E7E711C}"/>
              </a:ext>
            </a:extLst>
          </xdr:cNvPr>
          <xdr:cNvCxnSpPr>
            <a:stCxn id="217" idx="1"/>
            <a:endCxn id="21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BBFEE684-205C-677B-820B-9381D2D500AD}"/>
              </a:ext>
            </a:extLst>
          </xdr:cNvPr>
          <xdr:cNvCxnSpPr>
            <a:stCxn id="217" idx="3"/>
            <a:endCxn id="21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342900</xdr:colOff>
      <xdr:row>15</xdr:row>
      <xdr:rowOff>76200</xdr:rowOff>
    </xdr:from>
    <xdr:to>
      <xdr:col>9</xdr:col>
      <xdr:colOff>91596</xdr:colOff>
      <xdr:row>16</xdr:row>
      <xdr:rowOff>45687</xdr:rowOff>
    </xdr:to>
    <xdr:grpSp>
      <xdr:nvGrpSpPr>
        <xdr:cNvPr id="220" name="Group 682">
          <a:extLst>
            <a:ext uri="{FF2B5EF4-FFF2-40B4-BE49-F238E27FC236}">
              <a16:creationId xmlns:a16="http://schemas.microsoft.com/office/drawing/2014/main" id="{BF2E5B58-CD85-40EE-ADBA-9413F10E31EE}"/>
            </a:ext>
          </a:extLst>
        </xdr:cNvPr>
        <xdr:cNvGrpSpPr>
          <a:grpSpLocks/>
        </xdr:cNvGrpSpPr>
      </xdr:nvGrpSpPr>
      <xdr:grpSpPr bwMode="auto">
        <a:xfrm>
          <a:off x="2933700" y="2390775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21" name="Oval 220">
            <a:extLst>
              <a:ext uri="{FF2B5EF4-FFF2-40B4-BE49-F238E27FC236}">
                <a16:creationId xmlns:a16="http://schemas.microsoft.com/office/drawing/2014/main" id="{ECB08B6B-6521-F2E9-6FCE-FE14BA68CED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699F0FBC-2681-55BA-9055-C47436749CC1}"/>
              </a:ext>
            </a:extLst>
          </xdr:cNvPr>
          <xdr:cNvCxnSpPr>
            <a:stCxn id="221" idx="1"/>
            <a:endCxn id="22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84737794-1129-C0BF-26B1-DD3C24C58EEA}"/>
              </a:ext>
            </a:extLst>
          </xdr:cNvPr>
          <xdr:cNvCxnSpPr>
            <a:stCxn id="221" idx="3"/>
            <a:endCxn id="22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57149</xdr:colOff>
      <xdr:row>7</xdr:row>
      <xdr:rowOff>19053</xdr:rowOff>
    </xdr:from>
    <xdr:to>
      <xdr:col>12</xdr:col>
      <xdr:colOff>314324</xdr:colOff>
      <xdr:row>19</xdr:row>
      <xdr:rowOff>47624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D98FC971-5AFC-4895-9A94-DB8188FB9A9F}"/>
            </a:ext>
          </a:extLst>
        </xdr:cNvPr>
        <xdr:cNvSpPr/>
      </xdr:nvSpPr>
      <xdr:spPr>
        <a:xfrm rot="5400000">
          <a:off x="3367089" y="1909763"/>
          <a:ext cx="1866896" cy="2571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0</xdr:colOff>
      <xdr:row>17</xdr:row>
      <xdr:rowOff>95250</xdr:rowOff>
    </xdr:from>
    <xdr:to>
      <xdr:col>13</xdr:col>
      <xdr:colOff>152400</xdr:colOff>
      <xdr:row>18</xdr:row>
      <xdr:rowOff>90208</xdr:rowOff>
    </xdr:to>
    <xdr:grpSp>
      <xdr:nvGrpSpPr>
        <xdr:cNvPr id="225" name="Group 2">
          <a:extLst>
            <a:ext uri="{FF2B5EF4-FFF2-40B4-BE49-F238E27FC236}">
              <a16:creationId xmlns:a16="http://schemas.microsoft.com/office/drawing/2014/main" id="{3B49FBD6-412D-4F19-9786-30443C605039}"/>
            </a:ext>
          </a:extLst>
        </xdr:cNvPr>
        <xdr:cNvGrpSpPr>
          <a:grpSpLocks/>
        </xdr:cNvGrpSpPr>
      </xdr:nvGrpSpPr>
      <xdr:grpSpPr bwMode="auto">
        <a:xfrm>
          <a:off x="4495800" y="2714625"/>
          <a:ext cx="152400" cy="147358"/>
          <a:chOff x="3725636" y="1945820"/>
          <a:chExt cx="153760" cy="144237"/>
        </a:xfrm>
      </xdr:grpSpPr>
      <xdr:sp macro="" textlink="">
        <xdr:nvSpPr>
          <xdr:cNvPr id="226" name="Oval 225">
            <a:extLst>
              <a:ext uri="{FF2B5EF4-FFF2-40B4-BE49-F238E27FC236}">
                <a16:creationId xmlns:a16="http://schemas.microsoft.com/office/drawing/2014/main" id="{034759F7-BD27-FC7B-CB61-C4DC275CFC5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581F68A0-F4A6-9A0D-313D-6F7722DB6DC8}"/>
              </a:ext>
            </a:extLst>
          </xdr:cNvPr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E31E8807-2A2A-C6D8-7D8D-FE9110892911}"/>
              </a:ext>
            </a:extLst>
          </xdr:cNvPr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142875</xdr:colOff>
      <xdr:row>22</xdr:row>
      <xdr:rowOff>85725</xdr:rowOff>
    </xdr:from>
    <xdr:to>
      <xdr:col>16</xdr:col>
      <xdr:colOff>295275</xdr:colOff>
      <xdr:row>23</xdr:row>
      <xdr:rowOff>80683</xdr:rowOff>
    </xdr:to>
    <xdr:grpSp>
      <xdr:nvGrpSpPr>
        <xdr:cNvPr id="229" name="Group 2">
          <a:extLst>
            <a:ext uri="{FF2B5EF4-FFF2-40B4-BE49-F238E27FC236}">
              <a16:creationId xmlns:a16="http://schemas.microsoft.com/office/drawing/2014/main" id="{1213F115-ACE5-4C88-95DA-F4AE3F0D15F6}"/>
            </a:ext>
          </a:extLst>
        </xdr:cNvPr>
        <xdr:cNvGrpSpPr>
          <a:grpSpLocks/>
        </xdr:cNvGrpSpPr>
      </xdr:nvGrpSpPr>
      <xdr:grpSpPr bwMode="auto">
        <a:xfrm>
          <a:off x="5781675" y="3467100"/>
          <a:ext cx="152400" cy="147358"/>
          <a:chOff x="3725636" y="1945820"/>
          <a:chExt cx="153760" cy="144237"/>
        </a:xfrm>
      </xdr:grpSpPr>
      <xdr:sp macro="" textlink="">
        <xdr:nvSpPr>
          <xdr:cNvPr id="230" name="Oval 229">
            <a:extLst>
              <a:ext uri="{FF2B5EF4-FFF2-40B4-BE49-F238E27FC236}">
                <a16:creationId xmlns:a16="http://schemas.microsoft.com/office/drawing/2014/main" id="{67805D90-BFA5-21D2-880B-5ABAC271788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0CE8A434-4BBD-D495-C951-03C673C2A707}"/>
              </a:ext>
            </a:extLst>
          </xdr:cNvPr>
          <xdr:cNvCxnSpPr>
            <a:stCxn id="230" idx="1"/>
            <a:endCxn id="23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3BB51EFF-1389-4E93-CB32-15829C01E229}"/>
              </a:ext>
            </a:extLst>
          </xdr:cNvPr>
          <xdr:cNvCxnSpPr>
            <a:stCxn id="230" idx="3"/>
            <a:endCxn id="23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200025</xdr:colOff>
      <xdr:row>22</xdr:row>
      <xdr:rowOff>85725</xdr:rowOff>
    </xdr:from>
    <xdr:to>
      <xdr:col>15</xdr:col>
      <xdr:colOff>352425</xdr:colOff>
      <xdr:row>23</xdr:row>
      <xdr:rowOff>80683</xdr:rowOff>
    </xdr:to>
    <xdr:grpSp>
      <xdr:nvGrpSpPr>
        <xdr:cNvPr id="233" name="Group 2">
          <a:extLst>
            <a:ext uri="{FF2B5EF4-FFF2-40B4-BE49-F238E27FC236}">
              <a16:creationId xmlns:a16="http://schemas.microsoft.com/office/drawing/2014/main" id="{05C24184-9C92-4CAC-B8C6-67534C1D3951}"/>
            </a:ext>
          </a:extLst>
        </xdr:cNvPr>
        <xdr:cNvGrpSpPr>
          <a:grpSpLocks/>
        </xdr:cNvGrpSpPr>
      </xdr:nvGrpSpPr>
      <xdr:grpSpPr bwMode="auto">
        <a:xfrm>
          <a:off x="5457825" y="3467100"/>
          <a:ext cx="152400" cy="147358"/>
          <a:chOff x="3725636" y="1945820"/>
          <a:chExt cx="153760" cy="144237"/>
        </a:xfrm>
      </xdr:grpSpPr>
      <xdr:sp macro="" textlink="">
        <xdr:nvSpPr>
          <xdr:cNvPr id="234" name="Oval 233">
            <a:extLst>
              <a:ext uri="{FF2B5EF4-FFF2-40B4-BE49-F238E27FC236}">
                <a16:creationId xmlns:a16="http://schemas.microsoft.com/office/drawing/2014/main" id="{BDF00D67-7BE3-A8EF-0594-1B372EB5FEB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5207688B-F671-13EB-B199-739822773D82}"/>
              </a:ext>
            </a:extLst>
          </xdr:cNvPr>
          <xdr:cNvCxnSpPr>
            <a:stCxn id="234" idx="1"/>
            <a:endCxn id="2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69B1B354-6DA5-3045-B6C5-2E0BF2E0B2A7}"/>
              </a:ext>
            </a:extLst>
          </xdr:cNvPr>
          <xdr:cNvCxnSpPr>
            <a:stCxn id="234" idx="3"/>
            <a:endCxn id="2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274398</xdr:colOff>
      <xdr:row>16</xdr:row>
      <xdr:rowOff>45687</xdr:rowOff>
    </xdr:from>
    <xdr:to>
      <xdr:col>13</xdr:col>
      <xdr:colOff>76200</xdr:colOff>
      <xdr:row>18</xdr:row>
      <xdr:rowOff>90208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4A7A8E1E-0B2E-42D5-AB21-E6EFF6927FE0}"/>
            </a:ext>
          </a:extLst>
        </xdr:cNvPr>
        <xdr:cNvCxnSpPr>
          <a:stCxn id="217" idx="4"/>
          <a:endCxn id="226" idx="4"/>
        </xdr:cNvCxnSpPr>
      </xdr:nvCxnSpPr>
      <xdr:spPr>
        <a:xfrm>
          <a:off x="4008198" y="2512662"/>
          <a:ext cx="563802" cy="34932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130082</xdr:colOff>
      <xdr:row>17</xdr:row>
      <xdr:rowOff>116830</xdr:rowOff>
    </xdr:from>
    <xdr:to>
      <xdr:col>15</xdr:col>
      <xdr:colOff>330107</xdr:colOff>
      <xdr:row>22</xdr:row>
      <xdr:rowOff>107305</xdr:rowOff>
    </xdr:to>
    <xdr:cxnSp macro="">
      <xdr:nvCxnSpPr>
        <xdr:cNvPr id="242" name="Straight Connector 241">
          <a:extLst>
            <a:ext uri="{FF2B5EF4-FFF2-40B4-BE49-F238E27FC236}">
              <a16:creationId xmlns:a16="http://schemas.microsoft.com/office/drawing/2014/main" id="{7C4DF0D8-828A-41B3-BE88-AF7B37F870E9}"/>
            </a:ext>
          </a:extLst>
        </xdr:cNvPr>
        <xdr:cNvCxnSpPr>
          <a:stCxn id="226" idx="7"/>
          <a:endCxn id="234" idx="7"/>
        </xdr:cNvCxnSpPr>
      </xdr:nvCxnSpPr>
      <xdr:spPr>
        <a:xfrm>
          <a:off x="4625882" y="2736205"/>
          <a:ext cx="962025" cy="7524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26748</xdr:colOff>
      <xdr:row>15</xdr:row>
      <xdr:rowOff>76200</xdr:rowOff>
    </xdr:from>
    <xdr:to>
      <xdr:col>13</xdr:col>
      <xdr:colOff>130082</xdr:colOff>
      <xdr:row>17</xdr:row>
      <xdr:rowOff>116830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15D6DBAE-A3C7-4DFB-BCCE-7C99A3AADAE7}"/>
            </a:ext>
          </a:extLst>
        </xdr:cNvPr>
        <xdr:cNvCxnSpPr>
          <a:stCxn id="221" idx="0"/>
          <a:endCxn id="226" idx="7"/>
        </xdr:cNvCxnSpPr>
      </xdr:nvCxnSpPr>
      <xdr:spPr>
        <a:xfrm>
          <a:off x="2998548" y="2390775"/>
          <a:ext cx="1627334" cy="345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26748</xdr:colOff>
      <xdr:row>15</xdr:row>
      <xdr:rowOff>57150</xdr:rowOff>
    </xdr:from>
    <xdr:to>
      <xdr:col>17</xdr:col>
      <xdr:colOff>112473</xdr:colOff>
      <xdr:row>15</xdr:row>
      <xdr:rowOff>76200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99DFA5E1-017B-4B00-82AE-6225EC167913}"/>
            </a:ext>
          </a:extLst>
        </xdr:cNvPr>
        <xdr:cNvCxnSpPr>
          <a:stCxn id="221" idx="0"/>
          <a:endCxn id="213" idx="0"/>
        </xdr:cNvCxnSpPr>
      </xdr:nvCxnSpPr>
      <xdr:spPr>
        <a:xfrm flipV="1">
          <a:off x="2998548" y="2371725"/>
          <a:ext cx="3133725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112473</xdr:colOff>
      <xdr:row>15</xdr:row>
      <xdr:rowOff>57150</xdr:rowOff>
    </xdr:from>
    <xdr:to>
      <xdr:col>18</xdr:col>
      <xdr:colOff>180975</xdr:colOff>
      <xdr:row>15</xdr:row>
      <xdr:rowOff>66675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238EDCFC-F1EF-407A-A1BF-381C83B4B1E4}"/>
            </a:ext>
          </a:extLst>
        </xdr:cNvPr>
        <xdr:cNvCxnSpPr>
          <a:endCxn id="213" idx="0"/>
        </xdr:cNvCxnSpPr>
      </xdr:nvCxnSpPr>
      <xdr:spPr>
        <a:xfrm flipH="1" flipV="1">
          <a:off x="6132273" y="2371725"/>
          <a:ext cx="449502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15</xdr:row>
      <xdr:rowOff>76200</xdr:rowOff>
    </xdr:from>
    <xdr:to>
      <xdr:col>9</xdr:col>
      <xdr:colOff>26748</xdr:colOff>
      <xdr:row>15</xdr:row>
      <xdr:rowOff>95250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E5D84C40-AC7B-4539-86E2-F1FB94C8E10C}"/>
            </a:ext>
          </a:extLst>
        </xdr:cNvPr>
        <xdr:cNvCxnSpPr>
          <a:stCxn id="221" idx="0"/>
        </xdr:cNvCxnSpPr>
      </xdr:nvCxnSpPr>
      <xdr:spPr>
        <a:xfrm flipH="1">
          <a:off x="2524125" y="2390775"/>
          <a:ext cx="474423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323850</xdr:colOff>
      <xdr:row>15</xdr:row>
      <xdr:rowOff>66675</xdr:rowOff>
    </xdr:from>
    <xdr:to>
      <xdr:col>11</xdr:col>
      <xdr:colOff>190500</xdr:colOff>
      <xdr:row>16</xdr:row>
      <xdr:rowOff>57150</xdr:rowOff>
    </xdr:to>
    <xdr:grpSp>
      <xdr:nvGrpSpPr>
        <xdr:cNvPr id="259" name="Group 118">
          <a:extLst>
            <a:ext uri="{FF2B5EF4-FFF2-40B4-BE49-F238E27FC236}">
              <a16:creationId xmlns:a16="http://schemas.microsoft.com/office/drawing/2014/main" id="{8F5DDC31-4D9E-4769-A245-EBFB1C9649E8}"/>
            </a:ext>
          </a:extLst>
        </xdr:cNvPr>
        <xdr:cNvGrpSpPr>
          <a:grpSpLocks/>
        </xdr:cNvGrpSpPr>
      </xdr:nvGrpSpPr>
      <xdr:grpSpPr bwMode="auto">
        <a:xfrm>
          <a:off x="3676650" y="2381250"/>
          <a:ext cx="247650" cy="142875"/>
          <a:chOff x="12446976" y="4345782"/>
          <a:chExt cx="251864" cy="151026"/>
        </a:xfrm>
      </xdr:grpSpPr>
      <xdr:sp macro="" textlink="">
        <xdr:nvSpPr>
          <xdr:cNvPr id="260" name="Isosceles Triangle 259">
            <a:extLst>
              <a:ext uri="{FF2B5EF4-FFF2-40B4-BE49-F238E27FC236}">
                <a16:creationId xmlns:a16="http://schemas.microsoft.com/office/drawing/2014/main" id="{2AE24B53-7878-E476-EC84-8E7B8AA03357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202FCD6-E394-46C5-D597-AD3E50B3EEE1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61E34C61-0698-046B-EE7A-41B27F3325B8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11</xdr:col>
      <xdr:colOff>274398</xdr:colOff>
      <xdr:row>8</xdr:row>
      <xdr:rowOff>13319</xdr:rowOff>
    </xdr:from>
    <xdr:to>
      <xdr:col>11</xdr:col>
      <xdr:colOff>320196</xdr:colOff>
      <xdr:row>15</xdr:row>
      <xdr:rowOff>76200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4DF072E7-368C-4BF6-8215-C834CF0487FF}"/>
            </a:ext>
          </a:extLst>
        </xdr:cNvPr>
        <xdr:cNvCxnSpPr>
          <a:stCxn id="209" idx="6"/>
          <a:endCxn id="217" idx="0"/>
        </xdr:cNvCxnSpPr>
      </xdr:nvCxnSpPr>
      <xdr:spPr>
        <a:xfrm flipH="1">
          <a:off x="4008198" y="1251569"/>
          <a:ext cx="45798" cy="113920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323850</xdr:colOff>
      <xdr:row>21</xdr:row>
      <xdr:rowOff>9525</xdr:rowOff>
    </xdr:from>
    <xdr:to>
      <xdr:col>16</xdr:col>
      <xdr:colOff>209550</xdr:colOff>
      <xdr:row>22</xdr:row>
      <xdr:rowOff>4482</xdr:rowOff>
    </xdr:to>
    <xdr:grpSp>
      <xdr:nvGrpSpPr>
        <xdr:cNvPr id="266" name="Group 114">
          <a:extLst>
            <a:ext uri="{FF2B5EF4-FFF2-40B4-BE49-F238E27FC236}">
              <a16:creationId xmlns:a16="http://schemas.microsoft.com/office/drawing/2014/main" id="{141B5B92-E2DA-49DF-9051-4951BE908533}"/>
            </a:ext>
          </a:extLst>
        </xdr:cNvPr>
        <xdr:cNvGrpSpPr>
          <a:grpSpLocks/>
        </xdr:cNvGrpSpPr>
      </xdr:nvGrpSpPr>
      <xdr:grpSpPr bwMode="auto">
        <a:xfrm>
          <a:off x="5581650" y="3238500"/>
          <a:ext cx="266700" cy="147357"/>
          <a:chOff x="12001500" y="4327373"/>
          <a:chExt cx="262305" cy="151942"/>
        </a:xfrm>
      </xdr:grpSpPr>
      <xdr:sp macro="" textlink="">
        <xdr:nvSpPr>
          <xdr:cNvPr id="267" name="Isosceles Triangle 266">
            <a:extLst>
              <a:ext uri="{FF2B5EF4-FFF2-40B4-BE49-F238E27FC236}">
                <a16:creationId xmlns:a16="http://schemas.microsoft.com/office/drawing/2014/main" id="{834DF9F5-C107-15AF-F5D2-15125CB16EF8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8" name="Isosceles Triangle 267">
            <a:extLst>
              <a:ext uri="{FF2B5EF4-FFF2-40B4-BE49-F238E27FC236}">
                <a16:creationId xmlns:a16="http://schemas.microsoft.com/office/drawing/2014/main" id="{0C9FA70B-4634-976B-C019-13D4F6B8C9DE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9" name="Isosceles Triangle 268">
            <a:extLst>
              <a:ext uri="{FF2B5EF4-FFF2-40B4-BE49-F238E27FC236}">
                <a16:creationId xmlns:a16="http://schemas.microsoft.com/office/drawing/2014/main" id="{9879B576-93E8-73CD-EEA0-F34634E4B9FE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16</xdr:col>
      <xdr:colOff>142875</xdr:colOff>
      <xdr:row>25</xdr:row>
      <xdr:rowOff>104775</xdr:rowOff>
    </xdr:from>
    <xdr:to>
      <xdr:col>16</xdr:col>
      <xdr:colOff>333374</xdr:colOff>
      <xdr:row>26</xdr:row>
      <xdr:rowOff>68791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C8834E2-389D-4974-ADE4-40271CE24B13}"/>
            </a:ext>
          </a:extLst>
        </xdr:cNvPr>
        <xdr:cNvSpPr txBox="1"/>
      </xdr:nvSpPr>
      <xdr:spPr>
        <a:xfrm>
          <a:off x="5781675" y="3943350"/>
          <a:ext cx="190499" cy="1164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314325</xdr:colOff>
      <xdr:row>21</xdr:row>
      <xdr:rowOff>123825</xdr:rowOff>
    </xdr:from>
    <xdr:to>
      <xdr:col>15</xdr:col>
      <xdr:colOff>123825</xdr:colOff>
      <xdr:row>22</xdr:row>
      <xdr:rowOff>66675</xdr:rowOff>
    </xdr:to>
    <xdr:grpSp>
      <xdr:nvGrpSpPr>
        <xdr:cNvPr id="271" name="Group 28">
          <a:extLst>
            <a:ext uri="{FF2B5EF4-FFF2-40B4-BE49-F238E27FC236}">
              <a16:creationId xmlns:a16="http://schemas.microsoft.com/office/drawing/2014/main" id="{C6DE0AF5-AF8C-4570-B08F-C4B26FC050F9}"/>
            </a:ext>
          </a:extLst>
        </xdr:cNvPr>
        <xdr:cNvGrpSpPr>
          <a:grpSpLocks/>
        </xdr:cNvGrpSpPr>
      </xdr:nvGrpSpPr>
      <xdr:grpSpPr bwMode="auto">
        <a:xfrm>
          <a:off x="5191125" y="3352800"/>
          <a:ext cx="190500" cy="95250"/>
          <a:chOff x="12267508" y="2212225"/>
          <a:chExt cx="192931" cy="101137"/>
        </a:xfrm>
      </xdr:grpSpPr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1680164A-B517-CDDF-14A2-9830FD43CAE5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43CCC312-E155-F14F-9062-D072C7D2E86F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04E14165-B77F-8BBA-FEAB-9F569F363D6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4602F759-A47C-1081-8B92-C6008C5BA24E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142875</xdr:colOff>
      <xdr:row>17</xdr:row>
      <xdr:rowOff>76200</xdr:rowOff>
    </xdr:from>
    <xdr:to>
      <xdr:col>12</xdr:col>
      <xdr:colOff>333375</xdr:colOff>
      <xdr:row>18</xdr:row>
      <xdr:rowOff>19050</xdr:rowOff>
    </xdr:to>
    <xdr:grpSp>
      <xdr:nvGrpSpPr>
        <xdr:cNvPr id="276" name="Group 28">
          <a:extLst>
            <a:ext uri="{FF2B5EF4-FFF2-40B4-BE49-F238E27FC236}">
              <a16:creationId xmlns:a16="http://schemas.microsoft.com/office/drawing/2014/main" id="{6FE6169D-DF7A-43D7-99B6-CDF52A81903E}"/>
            </a:ext>
          </a:extLst>
        </xdr:cNvPr>
        <xdr:cNvGrpSpPr>
          <a:grpSpLocks/>
        </xdr:cNvGrpSpPr>
      </xdr:nvGrpSpPr>
      <xdr:grpSpPr bwMode="auto">
        <a:xfrm>
          <a:off x="4257675" y="2695575"/>
          <a:ext cx="190500" cy="95250"/>
          <a:chOff x="12267508" y="2212225"/>
          <a:chExt cx="192931" cy="101137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40AB61C2-8BEA-7835-23A3-2E095824F82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0260840E-BB4B-D684-D83A-38ACB69FD45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C27A3B4D-9B61-1C13-6C1A-21C5FBE2431C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06C0535C-90F8-0EF6-194B-6212F446605C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114300</xdr:colOff>
      <xdr:row>21</xdr:row>
      <xdr:rowOff>57150</xdr:rowOff>
    </xdr:from>
    <xdr:to>
      <xdr:col>21</xdr:col>
      <xdr:colOff>1486</xdr:colOff>
      <xdr:row>23</xdr:row>
      <xdr:rowOff>125543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57BE148-7304-411F-8E39-8EF7FA250C70}"/>
            </a:ext>
          </a:extLst>
        </xdr:cNvPr>
        <xdr:cNvSpPr txBox="1"/>
      </xdr:nvSpPr>
      <xdr:spPr>
        <a:xfrm>
          <a:off x="6134100" y="3286125"/>
          <a:ext cx="1411186" cy="3731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53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150M</a:t>
          </a:r>
        </a:p>
      </xdr:txBody>
    </xdr:sp>
    <xdr:clientData/>
  </xdr:twoCellAnchor>
  <xdr:twoCellAnchor>
    <xdr:from>
      <xdr:col>4</xdr:col>
      <xdr:colOff>257175</xdr:colOff>
      <xdr:row>8</xdr:row>
      <xdr:rowOff>0</xdr:rowOff>
    </xdr:from>
    <xdr:to>
      <xdr:col>7</xdr:col>
      <xdr:colOff>371475</xdr:colOff>
      <xdr:row>17</xdr:row>
      <xdr:rowOff>0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3A200071-7BE0-40EF-9617-D28F1E7D35CE}"/>
            </a:ext>
          </a:extLst>
        </xdr:cNvPr>
        <xdr:cNvSpPr txBox="1"/>
      </xdr:nvSpPr>
      <xdr:spPr>
        <a:xfrm>
          <a:off x="1323975" y="1238250"/>
          <a:ext cx="1257300" cy="13811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DC MGN01-67 MGN06-73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S12-350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DC-C1-IH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3 SJ5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CM5-5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CCO 240-70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CCO 150-70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133349</xdr:colOff>
      <xdr:row>6</xdr:row>
      <xdr:rowOff>57150</xdr:rowOff>
    </xdr:from>
    <xdr:to>
      <xdr:col>16</xdr:col>
      <xdr:colOff>342900</xdr:colOff>
      <xdr:row>13</xdr:row>
      <xdr:rowOff>133350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710D56E-DB2C-4E0B-8C8E-AA5AF751C2CF}"/>
            </a:ext>
          </a:extLst>
        </xdr:cNvPr>
        <xdr:cNvSpPr txBox="1"/>
      </xdr:nvSpPr>
      <xdr:spPr>
        <a:xfrm>
          <a:off x="4629149" y="990600"/>
          <a:ext cx="1352551" cy="1152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DC MGN01-67 MGN06-73A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C14-35OE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13</xdr:col>
      <xdr:colOff>66675</xdr:colOff>
      <xdr:row>16</xdr:row>
      <xdr:rowOff>9525</xdr:rowOff>
    </xdr:from>
    <xdr:to>
      <xdr:col>13</xdr:col>
      <xdr:colOff>76200</xdr:colOff>
      <xdr:row>17</xdr:row>
      <xdr:rowOff>95250</xdr:rowOff>
    </xdr:to>
    <xdr:cxnSp macro="">
      <xdr:nvCxnSpPr>
        <xdr:cNvPr id="284" name="Straight Arrow Connector 283">
          <a:extLst>
            <a:ext uri="{FF2B5EF4-FFF2-40B4-BE49-F238E27FC236}">
              <a16:creationId xmlns:a16="http://schemas.microsoft.com/office/drawing/2014/main" id="{A53B74C4-DF9E-4479-A779-A1EEA83443F8}"/>
            </a:ext>
          </a:extLst>
        </xdr:cNvPr>
        <xdr:cNvCxnSpPr>
          <a:stCxn id="226" idx="0"/>
        </xdr:cNvCxnSpPr>
      </xdr:nvCxnSpPr>
      <xdr:spPr>
        <a:xfrm flipH="1" flipV="1">
          <a:off x="4562475" y="2476500"/>
          <a:ext cx="9525" cy="2381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114299</xdr:colOff>
      <xdr:row>25</xdr:row>
      <xdr:rowOff>19050</xdr:rowOff>
    </xdr:from>
    <xdr:to>
      <xdr:col>21</xdr:col>
      <xdr:colOff>0</xdr:colOff>
      <xdr:row>36</xdr:row>
      <xdr:rowOff>95250</xdr:rowOff>
    </xdr:to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7783AD55-CDE2-42FC-99CB-B77FB515D614}"/>
            </a:ext>
          </a:extLst>
        </xdr:cNvPr>
        <xdr:cNvSpPr txBox="1"/>
      </xdr:nvSpPr>
      <xdr:spPr>
        <a:xfrm>
          <a:off x="6134099" y="3857625"/>
          <a:ext cx="1409701" cy="17430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DC MGN01-67 MGN06-73B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C14-35OE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CG 313A 160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CM8-A1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90 NYY 1X70 mm2</a:t>
          </a:r>
        </a:p>
      </xdr:txBody>
    </xdr:sp>
    <xdr:clientData/>
  </xdr:twoCellAnchor>
  <xdr:twoCellAnchor>
    <xdr:from>
      <xdr:col>16</xdr:col>
      <xdr:colOff>219075</xdr:colOff>
      <xdr:row>23</xdr:row>
      <xdr:rowOff>80683</xdr:rowOff>
    </xdr:from>
    <xdr:to>
      <xdr:col>17</xdr:col>
      <xdr:colOff>19050</xdr:colOff>
      <xdr:row>24</xdr:row>
      <xdr:rowOff>47625</xdr:rowOff>
    </xdr:to>
    <xdr:cxnSp macro="">
      <xdr:nvCxnSpPr>
        <xdr:cNvPr id="288" name="Straight Arrow Connector 287">
          <a:extLst>
            <a:ext uri="{FF2B5EF4-FFF2-40B4-BE49-F238E27FC236}">
              <a16:creationId xmlns:a16="http://schemas.microsoft.com/office/drawing/2014/main" id="{221CFF66-1FBD-4B32-8A2F-0130363F13E7}"/>
            </a:ext>
          </a:extLst>
        </xdr:cNvPr>
        <xdr:cNvCxnSpPr>
          <a:stCxn id="230" idx="4"/>
        </xdr:cNvCxnSpPr>
      </xdr:nvCxnSpPr>
      <xdr:spPr>
        <a:xfrm>
          <a:off x="5857875" y="3614458"/>
          <a:ext cx="180975" cy="1193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200025</xdr:colOff>
      <xdr:row>16</xdr:row>
      <xdr:rowOff>123824</xdr:rowOff>
    </xdr:from>
    <xdr:to>
      <xdr:col>17</xdr:col>
      <xdr:colOff>9525</xdr:colOff>
      <xdr:row>18</xdr:row>
      <xdr:rowOff>76199</xdr:rowOff>
    </xdr:to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BB3C566F-5783-40DB-AD07-989F1EB4C75F}"/>
            </a:ext>
          </a:extLst>
        </xdr:cNvPr>
        <xdr:cNvSpPr txBox="1"/>
      </xdr:nvSpPr>
      <xdr:spPr>
        <a:xfrm>
          <a:off x="4695825" y="2590799"/>
          <a:ext cx="13335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LVTC 3X70+NX50 mm2</a:t>
          </a:r>
        </a:p>
      </xdr:txBody>
    </xdr:sp>
    <xdr:clientData/>
  </xdr:twoCellAnchor>
  <xdr:twoCellAnchor>
    <xdr:from>
      <xdr:col>9</xdr:col>
      <xdr:colOff>57150</xdr:colOff>
      <xdr:row>16</xdr:row>
      <xdr:rowOff>133350</xdr:rowOff>
    </xdr:from>
    <xdr:to>
      <xdr:col>11</xdr:col>
      <xdr:colOff>247650</xdr:colOff>
      <xdr:row>18</xdr:row>
      <xdr:rowOff>47625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AFA5A98B-26BC-484E-80AC-DA813C65F1AB}"/>
            </a:ext>
          </a:extLst>
        </xdr:cNvPr>
        <xdr:cNvSpPr txBox="1"/>
      </xdr:nvSpPr>
      <xdr:spPr>
        <a:xfrm>
          <a:off x="3028950" y="2600325"/>
          <a:ext cx="95250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AAAC 70 mm2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21</xdr:col>
      <xdr:colOff>190500</xdr:colOff>
      <xdr:row>51</xdr:row>
      <xdr:rowOff>23812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5653B2-A9D5-23D0-B428-9C4FC6A1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3438" y="1476375"/>
          <a:ext cx="11834812" cy="7191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10</xdr:row>
      <xdr:rowOff>0</xdr:rowOff>
    </xdr:from>
    <xdr:to>
      <xdr:col>28</xdr:col>
      <xdr:colOff>0</xdr:colOff>
      <xdr:row>68</xdr:row>
      <xdr:rowOff>86591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095C85-DF53-43B7-AEF7-9509337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562100"/>
          <a:ext cx="14344650" cy="94020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tabSelected="1" view="pageBreakPreview" zoomScale="85" zoomScaleNormal="100" zoomScaleSheetLayoutView="85" workbookViewId="0">
      <selection activeCell="C15" sqref="C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8" t="s">
        <v>1104</v>
      </c>
      <c r="C4" s="518"/>
      <c r="D4" s="518"/>
      <c r="E4" s="518"/>
      <c r="F4" s="518"/>
      <c r="G4" s="518"/>
      <c r="H4" s="51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9" t="s">
        <v>0</v>
      </c>
      <c r="C7" s="519" t="s">
        <v>1</v>
      </c>
      <c r="D7" s="520" t="s">
        <v>32</v>
      </c>
      <c r="E7" s="520" t="s">
        <v>33</v>
      </c>
      <c r="F7" s="520" t="s">
        <v>1105</v>
      </c>
      <c r="G7" s="521" t="s">
        <v>31</v>
      </c>
      <c r="H7" s="517" t="s">
        <v>1012</v>
      </c>
      <c r="I7" s="517" t="s">
        <v>1107</v>
      </c>
      <c r="J7" s="517" t="s">
        <v>996</v>
      </c>
      <c r="K7" s="511" t="s">
        <v>994</v>
      </c>
      <c r="L7" s="512"/>
    </row>
    <row r="8" spans="1:12" ht="15" customHeight="1">
      <c r="B8" s="519"/>
      <c r="C8" s="519"/>
      <c r="D8" s="520"/>
      <c r="E8" s="520"/>
      <c r="F8" s="520"/>
      <c r="G8" s="521"/>
      <c r="H8" s="517"/>
      <c r="I8" s="517"/>
      <c r="J8" s="517"/>
      <c r="K8" s="513"/>
      <c r="L8" s="514"/>
    </row>
    <row r="9" spans="1:12" ht="15" customHeight="1">
      <c r="B9" s="519"/>
      <c r="C9" s="519"/>
      <c r="D9" s="520"/>
      <c r="E9" s="520"/>
      <c r="F9" s="520"/>
      <c r="G9" s="521"/>
      <c r="H9" s="517"/>
      <c r="I9" s="517"/>
      <c r="J9" s="517"/>
      <c r="K9" s="515"/>
      <c r="L9" s="51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LVCB 2 Jurusan 250 A LBS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9994500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FCO Polymer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848250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Lightning Arester (Polymer) 21 KV, 10 KA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725900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Pin Post ) 20 KV Porcelein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38">
        <f t="shared" ca="1" si="2"/>
        <v>7</v>
      </c>
      <c r="G18" s="41">
        <f ca="1">IF(ISERROR(OFFSET('HARGA SATUAN'!$I$6,MATCH(C18,'HARGA SATUAN'!$C$7:$C$1492,0),0)),"",OFFSET('HARGA SATUAN'!$I$6,MATCH(C18,'HARGA SATUAN'!$C$7:$C$1492,0),0))</f>
        <v>235900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Tarik ( Strainkap Porcelain ) 20 KV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Set</v>
      </c>
      <c r="F19" s="138">
        <f t="shared" ca="1" si="2"/>
        <v>18</v>
      </c>
      <c r="G19" s="41">
        <f ca="1">IF(ISERROR(OFFSET('HARGA SATUAN'!$I$6,MATCH(C19,'HARGA SATUAN'!$C$7:$C$1492,0),0)),"",OFFSET('HARGA SATUAN'!$I$6,MATCH(C19,'HARGA SATUAN'!$C$7:$C$1492,0),0))</f>
        <v>430000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609</v>
      </c>
      <c r="G20" s="41">
        <f ca="1">IF(ISERROR(OFFSET('HARGA SATUAN'!$I$6,MATCH(C20,'HARGA SATUAN'!$C$7:$C$1492,0),0)),"",OFFSET('HARGA SATUAN'!$I$6,MATCH(C20,'HARGA SATUAN'!$C$7:$C$1492,0),0))</f>
        <v>14200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153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Kabel NYY 1 x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92</v>
      </c>
      <c r="G22" s="41">
        <f ca="1">IF(ISERROR(OFFSET('HARGA SATUAN'!$I$6,MATCH(C22,'HARGA SATUAN'!$C$7:$C$1492,0),0)),"",OFFSET('HARGA SATUAN'!$I$6,MATCH(C22,'HARGA SATUAN'!$C$7:$C$1492,0),0))</f>
        <v>94700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Modem 3G/4G</v>
      </c>
      <c r="D23" s="101" t="str">
        <f ca="1">IF(ISERROR(OFFSET('HARGA SATUAN'!$D$6,MATCH(C23,'HARGA SATUAN'!$C$7:$C$1492,0),0)),"",OFFSET('HARGA SATUAN'!$D$6,MATCH(C23,'HARGA SATUAN'!$C$7:$C$1492,0),0))</f>
        <v>HDW</v>
      </c>
      <c r="E23" s="101" t="str">
        <f ca="1">IF(B23="+","Unit",IF(ISERROR(OFFSET('HARGA SATUAN'!$E$6,MATCH(C23,'HARGA SATUAN'!$C$7:$C$1492,0),0)),"",OFFSET('HARGA SATUAN'!$E$6,MATCH(C23,'HARGA SATUAN'!$C$7:$C$1492,0),0)))</f>
        <v>Unit</v>
      </c>
      <c r="F23" s="138">
        <f t="shared" ca="1" si="2"/>
        <v>1</v>
      </c>
      <c r="G23" s="41">
        <f ca="1">IF(ISERROR(OFFSET('HARGA SATUAN'!$I$6,MATCH(C23,'HARGA SATUAN'!$C$7:$C$1492,0),0)),"",OFFSET('HARGA SATUAN'!$I$6,MATCH(C23,'HARGA SATUAN'!$C$7:$C$1492,0),0))</f>
        <v>1113900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SUMIFS(RAB!$F$14:$F$194,RAB!$C$14:$C$194,C714)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SUMIFS(RAB!$F$14:$F$194,RAB!$C$14:$C$194,C715)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SUMIFS(RAB!$F$14:$F$194,RAB!$C$14:$C$194,C716)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SUMIFS(RAB!$F$14:$F$194,RAB!$C$14:$C$194,C717)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SUMIFS(RAB!$F$14:$F$194,RAB!$C$14:$C$194,C718)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SUMIFS(RAB!$F$14:$F$194,RAB!$C$14:$C$194,C719)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SUMIFS(RAB!$F$14:$F$194,RAB!$C$14:$C$194,C720)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SUMIFS(RAB!$F$14:$F$194,RAB!$C$14:$C$194,C721)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SUMIFS(RAB!$F$14:$F$194,RAB!$C$14:$C$194,C722)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SUMIFS(RAB!$F$14:$F$194,RAB!$C$14:$C$194,C723)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SUMIFS(RAB!$F$14:$F$194,RAB!$C$14:$C$194,C724)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SUMIFS(RAB!$F$14:$F$194,RAB!$C$14:$C$194,C725)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SUMIFS(RAB!$F$14:$F$194,RAB!$C$14:$C$194,C726)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SUMIFS(RAB!$F$14:$F$194,RAB!$C$14:$C$194,C727)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SUMIFS(RAB!$F$14:$F$194,RAB!$C$14:$C$194,C728)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SUMIFS(RAB!$F$14:$F$194,RAB!$C$14:$C$194,C729)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SUMIFS(RAB!$F$14:$F$194,RAB!$C$14:$C$194,C730)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SUMIFS(RAB!$F$14:$F$194,RAB!$C$14:$C$194,C731)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SUMIFS(RAB!$F$14:$F$194,RAB!$C$14:$C$194,C732)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SUMIFS(RAB!$F$14:$F$194,RAB!$C$14:$C$194,C733)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SUMIFS(RAB!$F$14:$F$194,RAB!$C$14:$C$194,C734)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SUMIFS(RAB!$F$14:$F$194,RAB!$C$14:$C$194,C735)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SUMIFS(RAB!$F$14:$F$194,RAB!$C$14:$C$194,C736)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SUMIFS(RAB!$F$14:$F$194,RAB!$C$14:$C$194,C737)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SUMIFS(RAB!$F$14:$F$194,RAB!$C$14:$C$194,C738)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SUMIFS(RAB!$F$14:$F$194,RAB!$C$14:$C$194,C739)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SUMIFS(RAB!$F$14:$F$194,RAB!$C$14:$C$194,C740)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SUMIFS(RAB!$F$14:$F$194,RAB!$C$14:$C$194,C741)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SUMIFS(RAB!$F$14:$F$194,RAB!$C$14:$C$194,C742)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SUMIFS(RAB!$F$14:$F$194,RAB!$C$14:$C$194,C743)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SUMIFS(RAB!$F$14:$F$194,RAB!$C$14:$C$194,C744)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SUMIFS(RAB!$F$14:$F$194,RAB!$C$14:$C$194,C745)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SUMIFS(RAB!$F$14:$F$194,RAB!$C$14:$C$194,C746)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SUMIFS(RAB!$F$14:$F$194,RAB!$C$14:$C$194,C747)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SUMIFS(RAB!$F$14:$F$194,RAB!$C$14:$C$194,C748)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SUMIFS(RAB!$F$14:$F$194,RAB!$C$14:$C$194,C749)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SUMIFS(RAB!$F$14:$F$194,RAB!$C$14:$C$194,C750)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SUMIFS(RAB!$F$14:$F$194,RAB!$C$14:$C$194,C751)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SUMIFS(RAB!$F$14:$F$194,RAB!$C$14:$C$194,C752)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SUMIFS(RAB!$F$14:$F$194,RAB!$C$14:$C$194,C753)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SUMIFS(RAB!$F$14:$F$194,RAB!$C$14:$C$194,C754)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SUMIFS(RAB!$F$14:$F$194,RAB!$C$14:$C$194,C755)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SUMIFS(RAB!$F$14:$F$194,RAB!$C$14:$C$194,C756)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SUMIFS(RAB!$F$14:$F$194,RAB!$C$14:$C$194,C757)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SUMIFS(RAB!$F$14:$F$194,RAB!$C$14:$C$194,C758)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SUMIFS(RAB!$F$14:$F$194,RAB!$C$14:$C$194,C759)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SUMIFS(RAB!$F$14:$F$194,RAB!$C$14:$C$194,C760)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SUMIFS(RAB!$F$14:$F$194,RAB!$C$14:$C$194,C761)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SUMIFS(RAB!$F$14:$F$194,RAB!$C$14:$C$194,C762)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SUMIFS(RAB!$F$14:$F$194,RAB!$C$14:$C$194,C763)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SUMIFS(RAB!$F$14:$F$194,RAB!$C$14:$C$194,C764)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SUMIFS(RAB!$F$14:$F$194,RAB!$C$14:$C$194,C765)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SUMIFS(RAB!$F$14:$F$194,RAB!$C$14:$C$194,C766)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SUMIFS(RAB!$F$14:$F$194,RAB!$C$14:$C$194,C767)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SUMIFS(RAB!$F$14:$F$194,RAB!$C$14:$C$194,C768)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SUMIFS(RAB!$F$14:$F$194,RAB!$C$14:$C$194,C769)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SUMIFS(RAB!$F$14:$F$194,RAB!$C$14:$C$194,C770)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SUMIFS(RAB!$F$14:$F$194,RAB!$C$14:$C$194,C771)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SUMIFS(RAB!$F$14:$F$194,RAB!$C$14:$C$194,C772)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SUMIFS(RAB!$F$14:$F$194,RAB!$C$14:$C$194,C773)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SUMIFS(RAB!$F$14:$F$194,RAB!$C$14:$C$194,C774)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SUMIFS(RAB!$F$14:$F$194,RAB!$C$14:$C$194,C775)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SUMIFS(RAB!$F$14:$F$194,RAB!$C$14:$C$194,C776)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SUMIFS(RAB!$F$14:$F$194,RAB!$C$14:$C$194,C777)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SUMIFS(RAB!$F$14:$F$194,RAB!$C$14:$C$194,C778)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SUMIFS(RAB!$F$14:$F$194,RAB!$C$14:$C$194,C779)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SUMIFS(RAB!$F$14:$F$194,RAB!$C$14:$C$194,C780)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SUMIFS(RAB!$F$14:$F$194,RAB!$C$14:$C$194,C781)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SUMIFS(RAB!$F$14:$F$194,RAB!$C$14:$C$194,C782)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SUMIFS(RAB!$F$14:$F$194,RAB!$C$14:$C$194,C783)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SUMIFS(RAB!$F$14:$F$194,RAB!$C$14:$C$194,C784)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SUMIFS(RAB!$F$14:$F$194,RAB!$C$14:$C$194,C785)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SUMIFS(RAB!$F$14:$F$194,RAB!$C$14:$C$194,C786)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SUMIFS(RAB!$F$14:$F$194,RAB!$C$14:$C$194,C787)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SUMIFS(RAB!$F$14:$F$194,RAB!$C$14:$C$194,C788)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SUMIFS(RAB!$F$14:$F$194,RAB!$C$14:$C$194,C789)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SUMIFS(RAB!$F$14:$F$194,RAB!$C$14:$C$194,C790)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SUMIFS(RAB!$F$14:$F$194,RAB!$C$14:$C$194,C791)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SUMIFS(RAB!$F$14:$F$194,RAB!$C$14:$C$194,C792)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SUMIFS(RAB!$F$14:$F$194,RAB!$C$14:$C$194,C793)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SUMIFS(RAB!$F$14:$F$194,RAB!$C$14:$C$194,C794)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SUMIFS(RAB!$F$14:$F$194,RAB!$C$14:$C$194,C795)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SUMIFS(RAB!$F$14:$F$194,RAB!$C$14:$C$194,C796)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SUMIFS(RAB!$F$14:$F$194,RAB!$C$14:$C$194,C797)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SUMIFS(RAB!$F$14:$F$194,RAB!$C$14:$C$194,C798)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SUMIFS(RAB!$F$14:$F$194,RAB!$C$14:$C$194,C799)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SUMIFS(RAB!$F$14:$F$194,RAB!$C$14:$C$194,C800)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SUMIFS(RAB!$F$14:$F$194,RAB!$C$14:$C$194,C801)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SUMIFS(RAB!$F$14:$F$194,RAB!$C$14:$C$194,C802)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SUMIFS(RAB!$F$14:$F$194,RAB!$C$14:$C$194,C803)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SUMIFS(RAB!$F$14:$F$194,RAB!$C$14:$C$194,C804)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SUMIFS(RAB!$F$14:$F$194,RAB!$C$14:$C$194,C805)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SUMIFS(RAB!$F$14:$F$194,RAB!$C$14:$C$194,C806)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SUMIFS(RAB!$F$14:$F$194,RAB!$C$14:$C$194,C807)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SUMIFS(RAB!$F$14:$F$194,RAB!$C$14:$C$194,C808)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SUMIFS(RAB!$F$14:$F$194,RAB!$C$14:$C$194,C809)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SUMIFS(RAB!$F$14:$F$194,RAB!$C$14:$C$194,C810)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SUMIFS(RAB!$F$14:$F$194,RAB!$C$14:$C$194,C811)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SUMIFS(RAB!$F$14:$F$194,RAB!$C$14:$C$194,C812)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SUMIFS(RAB!$F$14:$F$194,RAB!$C$14:$C$194,C813)</f>
        <v>1</v>
      </c>
      <c r="E813" s="26">
        <f t="shared" ca="1" si="34"/>
        <v>1</v>
      </c>
      <c r="F813" s="26">
        <f ca="1">IF(D813=0,0,SUM($E$713:E813))</f>
        <v>4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SUMIFS(RAB!$F$14:$F$194,RAB!$C$14:$C$194,C814)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SUMIFS(RAB!$F$14:$F$194,RAB!$C$14:$C$194,C815)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SUMIFS(RAB!$F$14:$F$194,RAB!$C$14:$C$194,C816)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SUMIFS(RAB!$F$14:$F$194,RAB!$C$14:$C$194,C817)</f>
        <v>3</v>
      </c>
      <c r="E817" s="26">
        <f t="shared" ca="1" si="34"/>
        <v>1</v>
      </c>
      <c r="F817" s="26">
        <f ca="1">IF(D817=0,0,SUM($E$713:E817))</f>
        <v>5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SUMIFS(RAB!$F$14:$F$194,RAB!$C$14:$C$194,C818)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SUMIFS(RAB!$F$14:$F$194,RAB!$C$14:$C$194,C819)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SUMIFS(RAB!$F$14:$F$194,RAB!$C$14:$C$194,C820)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SUMIFS(RAB!$F$14:$F$194,RAB!$C$14:$C$194,C821)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SUMIFS(RAB!$F$14:$F$194,RAB!$C$14:$C$194,C822)</f>
        <v>3</v>
      </c>
      <c r="E822" s="26">
        <f t="shared" ca="1" si="34"/>
        <v>1</v>
      </c>
      <c r="F822" s="26">
        <f ca="1">IF(D822=0,0,SUM($E$713:E822))</f>
        <v>6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SUMIFS(RAB!$F$14:$F$194,RAB!$C$14:$C$194,C823)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SUMIFS(RAB!$F$14:$F$194,RAB!$C$14:$C$194,C824)</f>
        <v>7</v>
      </c>
      <c r="E824" s="26">
        <f t="shared" ca="1" si="34"/>
        <v>1</v>
      </c>
      <c r="F824" s="26">
        <f ca="1">IF(D824=0,0,SUM($E$713:E824))</f>
        <v>7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SUMIFS(RAB!$F$14:$F$194,RAB!$C$14:$C$194,C825)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SUMIFS(RAB!$F$14:$F$194,RAB!$C$14:$C$194,C826)</f>
        <v>18</v>
      </c>
      <c r="E826" s="26">
        <f t="shared" ca="1" si="34"/>
        <v>1</v>
      </c>
      <c r="F826" s="26">
        <f ca="1">IF(D826=0,0,SUM($E$713:E826))</f>
        <v>8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SUMIFS(RAB!$F$14:$F$194,RAB!$C$14:$C$194,C827)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SUMIFS(RAB!$F$14:$F$194,RAB!$C$14:$C$194,C828)</f>
        <v>609</v>
      </c>
      <c r="E828" s="26">
        <f t="shared" ca="1" si="34"/>
        <v>1</v>
      </c>
      <c r="F828" s="26">
        <f ca="1">IF(D828=0,0,SUM($E$713:E828))</f>
        <v>9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SUMIFS(RAB!$F$14:$F$194,RAB!$C$14:$C$194,C829)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SUMIFS(RAB!$F$14:$F$194,RAB!$C$14:$C$194,C830)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SUMIFS(RAB!$F$14:$F$194,RAB!$C$14:$C$194,C831)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SUMIFS(RAB!$F$14:$F$194,RAB!$C$14:$C$194,C832)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SUMIFS(RAB!$F$14:$F$194,RAB!$C$14:$C$194,C833)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SUMIFS(RAB!$F$14:$F$194,RAB!$C$14:$C$194,C834)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SUMIFS(RAB!$F$14:$F$194,RAB!$C$14:$C$194,C835)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SUMIFS(RAB!$F$14:$F$194,RAB!$C$14:$C$194,C836)</f>
        <v>153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SUMIFS(RAB!$F$14:$F$194,RAB!$C$14:$C$194,C837)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SUMIFS(RAB!$F$14:$F$194,RAB!$C$14:$C$194,C838)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SUMIFS(RAB!$F$14:$F$194,RAB!$C$14:$C$194,C839)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SUMIFS(RAB!$F$14:$F$194,RAB!$C$14:$C$194,C840)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SUMIFS(RAB!$F$14:$F$194,RAB!$C$14:$C$194,C841)</f>
        <v>92</v>
      </c>
      <c r="E841" s="26">
        <f t="shared" ca="1" si="34"/>
        <v>1</v>
      </c>
      <c r="F841" s="26">
        <f ca="1">IF(D841=0,0,SUM($E$713:E841))</f>
        <v>11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SUMIFS(RAB!$F$14:$F$194,RAB!$C$14:$C$194,C842)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SUMIFS(RAB!$F$14:$F$194,RAB!$C$14:$C$194,C843)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SUMIFS(RAB!$F$14:$F$194,RAB!$C$14:$C$194,C844)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SUMIFS(RAB!$F$14:$F$194,RAB!$C$14:$C$194,C845)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SUMIFS(RAB!$F$14:$F$194,RAB!$C$14:$C$194,C846)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SUMIFS(RAB!$F$14:$F$194,RAB!$C$14:$C$194,C847)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SUMIFS(RAB!$F$14:$F$194,RAB!$C$14:$C$194,C848)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SUMIFS(RAB!$F$14:$F$194,RAB!$C$14:$C$194,C849)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SUMIFS(RAB!$F$14:$F$194,RAB!$C$14:$C$194,C850)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SUMIFS(RAB!$F$14:$F$194,RAB!$C$14:$C$194,C851)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SUMIFS(RAB!$F$14:$F$194,RAB!$C$14:$C$194,C852)</f>
        <v>1</v>
      </c>
      <c r="E852" s="26">
        <f t="shared" ca="1" si="35"/>
        <v>1</v>
      </c>
      <c r="F852" s="26">
        <f ca="1">IF(D852=0,0,SUM($E$713:E852))</f>
        <v>12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SUMIFS(RAB!$F$14:$F$194,RAB!$C$14:$C$194,C853)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SUMIFS(RAB!$F$14:$F$194,RAB!$C$14:$C$194,C854)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SUMIFS(RAB!$F$14:$F$194,RAB!$C$14:$C$194,C855)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SUMIFS(RAB!$F$14:$F$194,RAB!$C$14:$C$194,C856)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SUMIFS(RAB!$F$14:$F$194,RAB!$C$14:$C$194,C857)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SUMIFS(RAB!$F$14:$F$194,RAB!$C$14:$C$194,C858)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SUMIFS(RAB!$F$14:$F$194,RAB!$C$14:$C$194,C859)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SUMIFS(RAB!$F$14:$F$194,RAB!$C$14:$C$194,C860)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SUMIFS(RAB!$F$14:$F$194,RAB!$C$14:$C$194,C861)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SUMIFS(RAB!$F$14:$F$194,RAB!$C$14:$C$194,C862)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SUMIFS(RAB!$F$14:$F$194,RAB!$C$14:$C$194,C863)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SUMIFS(RAB!$F$14:$F$194,RAB!$C$14:$C$194,C864)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SUMIFS(RAB!$F$14:$F$194,RAB!$C$14:$C$194,C865)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SUMIFS(RAB!$F$14:$F$194,RAB!$C$14:$C$194,C866)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SUMIFS(RAB!$F$14:$F$194,RAB!$C$14:$C$194,C867)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SUMIFS(RAB!$F$14:$F$194,RAB!$C$14:$C$194,C868)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SUMIFS(RAB!$F$14:$F$194,RAB!$C$14:$C$194,C869)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SUMIFS(RAB!$F$14:$F$194,RAB!$C$14:$C$194,C870)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SUMIFS(RAB!$F$14:$F$194,RAB!$C$14:$C$194,C871)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SUMIFS(RAB!$F$14:$F$194,RAB!$C$14:$C$194,C872)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SUMIFS(RAB!$F$14:$F$194,RAB!$C$14:$C$194,C873)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SUMIFS(RAB!$F$14:$F$194,RAB!$C$14:$C$194,C874)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SUMIFS(RAB!$F$14:$F$194,RAB!$C$14:$C$194,C875)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SUMIFS(RAB!$F$14:$F$194,RAB!$C$14:$C$194,C876)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SUMIFS(RAB!$F$14:$F$194,RAB!$C$14:$C$194,C877)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SUMIFS(RAB!$F$14:$F$194,RAB!$C$14:$C$194,C878)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SUMIFS(RAB!$F$14:$F$194,RAB!$C$14:$C$194,C879)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SUMIFS(RAB!$F$14:$F$194,RAB!$C$14:$C$194,C880)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SUMIFS(RAB!$F$14:$F$194,RAB!$C$14:$C$194,C881)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SUMIFS(RAB!$F$14:$F$194,RAB!$C$14:$C$194,C882)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SUMIFS(RAB!$F$14:$F$194,RAB!$C$14:$C$194,C883)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SUMIFS(RAB!$F$14:$F$194,RAB!$C$14:$C$194,C884)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SUMIFS(RAB!$F$14:$F$194,RAB!$C$14:$C$194,C885)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SUMIFS(RAB!$F$14:$F$194,RAB!$C$14:$C$194,C886)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SUMIFS(RAB!$F$14:$F$194,RAB!$C$14:$C$194,C887)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SUMIFS(RAB!$F$14:$F$194,RAB!$C$14:$C$194,C888)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SUMIFS(RAB!$F$14:$F$194,RAB!$C$14:$C$194,C889)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SUMIFS(RAB!$F$14:$F$194,RAB!$C$14:$C$194,C890)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SUMIFS(RAB!$F$14:$F$194,RAB!$C$14:$C$194,C891)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SUMIFS(RAB!$F$14:$F$194,RAB!$C$14:$C$194,C892)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SUMIFS(RAB!$F$14:$F$194,RAB!$C$14:$C$194,C893)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SUMIFS(RAB!$F$14:$F$194,RAB!$C$14:$C$194,C894)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SUMIFS(RAB!$F$14:$F$194,RAB!$C$14:$C$194,C895)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SUMIFS(RAB!$F$14:$F$194,RAB!$C$14:$C$194,C896)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SUMIFS(RAB!$F$14:$F$194,RAB!$C$14:$C$194,C897)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SUMIFS(RAB!$F$14:$F$194,RAB!$C$14:$C$194,C898)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SUMIFS(RAB!$F$14:$F$194,RAB!$C$14:$C$194,C899)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SUMIFS(RAB!$F$14:$F$194,RAB!$C$14:$C$194,C900)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SUMIFS(RAB!$F$14:$F$194,RAB!$C$14:$C$194,C901)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SUMIFS(RAB!$F$14:$F$194,RAB!$C$14:$C$194,C902)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SUMIFS(RAB!$F$14:$F$194,RAB!$C$14:$C$194,C903)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SUMIFS(RAB!$F$14:$F$194,RAB!$C$14:$C$194,C904)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SUMIFS(RAB!$F$14:$F$194,RAB!$C$14:$C$194,C905)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SUMIFS(RAB!$F$14:$F$194,RAB!$C$14:$C$194,C906)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SUMIFS(RAB!$F$14:$F$194,RAB!$C$14:$C$194,C907)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SUMIFS(RAB!$F$14:$F$194,RAB!$C$14:$C$194,C908)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SUMIFS(RAB!$F$14:$F$194,RAB!$C$14:$C$194,C909)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SUMIFS(RAB!$F$14:$F$194,RAB!$C$14:$C$194,C910)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SUMIFS(RAB!$F$14:$F$194,RAB!$C$14:$C$194,C911)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SUMIFS(RAB!$F$14:$F$194,RAB!$C$14:$C$194,C912)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SUMIFS(RAB!$F$14:$F$194,RAB!$C$14:$C$194,C913)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SUMIFS(RAB!$F$14:$F$194,RAB!$C$14:$C$194,C914)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SUMIFS(RAB!$F$14:$F$194,RAB!$C$14:$C$194,C915)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SUMIFS(RAB!$F$14:$F$194,RAB!$C$14:$C$194,C916)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SUMIFS(RAB!$F$14:$F$194,RAB!$C$14:$C$194,C917)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SUMIFS(RAB!$F$14:$F$194,RAB!$C$14:$C$194,C918)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SUMIFS(RAB!$F$14:$F$194,RAB!$C$14:$C$194,C919)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SUMIFS(RAB!$F$14:$F$194,RAB!$C$14:$C$194,C920)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SUMIFS(RAB!$F$14:$F$194,RAB!$C$14:$C$194,C921)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SUMIFS(RAB!$F$14:$F$194,RAB!$C$14:$C$194,C922)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SUMIFS(RAB!$F$14:$F$194,RAB!$C$14:$C$194,C923)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SUMIFS(RAB!$F$14:$F$194,RAB!$C$14:$C$194,C924)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SUMIFS(RAB!$F$14:$F$194,RAB!$C$14:$C$194,C925)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SUMIFS(RAB!$F$14:$F$194,RAB!$C$14:$C$194,C926)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SUMIFS(RAB!$F$14:$F$194,RAB!$C$14:$C$194,C927)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SUMIFS(RAB!$F$14:$F$194,RAB!$C$14:$C$194,C928)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SUMIFS(RAB!$F$14:$F$194,RAB!$C$14:$C$194,C929)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SUMIFS(RAB!$F$14:$F$194,RAB!$C$14:$C$194,C930)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SUMIFS(RAB!$F$14:$F$194,RAB!$C$14:$C$194,C931)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SUMIFS(RAB!$F$14:$F$194,RAB!$C$14:$C$194,C932)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SUMIFS(RAB!$F$14:$F$194,RAB!$C$14:$C$194,C933)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SUMIFS(RAB!$F$14:$F$194,RAB!$C$14:$C$194,C934)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SUMIFS(RAB!$F$14:$F$194,RAB!$C$14:$C$194,C935)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SUMIFS(RAB!$F$14:$F$194,RAB!$C$14:$C$194,C936)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SUMIFS(RAB!$F$14:$F$194,RAB!$C$14:$C$194,C937)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SUMIFS(RAB!$F$14:$F$194,RAB!$C$14:$C$194,C938)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SUMIFS(RAB!$F$14:$F$194,RAB!$C$14:$C$194,C939)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SUMIFS(RAB!$F$14:$F$194,RAB!$C$14:$C$194,C940)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SUMIFS(RAB!$F$14:$F$194,RAB!$C$14:$C$194,C941)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SUMIFS(RAB!$F$14:$F$194,RAB!$C$14:$C$194,C942)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SUMIFS(RAB!$F$14:$F$194,RAB!$C$14:$C$194,C943)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SUMIFS(RAB!$F$14:$F$194,RAB!$C$14:$C$194,C944)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SUMIFS(RAB!$F$14:$F$194,RAB!$C$14:$C$194,C945)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SUMIFS(RAB!$F$14:$F$194,RAB!$C$14:$C$194,C946)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SUMIFS(RAB!$F$14:$F$194,RAB!$C$14:$C$194,C947)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SUMIFS(RAB!$F$14:$F$194,RAB!$C$14:$C$194,C948)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SUMIFS(RAB!$F$14:$F$194,RAB!$C$14:$C$194,C949)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SUMIFS(RAB!$F$14:$F$194,RAB!$C$14:$C$194,C950)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SUMIFS(RAB!$F$14:$F$194,RAB!$C$14:$C$194,C951)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SUMIFS(RAB!$F$14:$F$194,RAB!$C$14:$C$194,C952)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SUMIFS(RAB!$F$14:$F$194,RAB!$C$14:$C$194,C953)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SUMIFS(RAB!$F$14:$F$194,RAB!$C$14:$C$194,C954)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SUMIFS(RAB!$F$14:$F$194,RAB!$C$14:$C$194,C955)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SUMIFS(RAB!$F$14:$F$194,RAB!$C$14:$C$194,C956)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SUMIFS(RAB!$F$14:$F$194,RAB!$C$14:$C$194,C957)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SUMIFS(RAB!$F$14:$F$194,RAB!$C$14:$C$194,C958)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SUMIFS(RAB!$F$14:$F$194,RAB!$C$14:$C$194,C959)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SUMIFS(RAB!$F$14:$F$194,RAB!$C$14:$C$194,C960)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SUMIFS(RAB!$F$14:$F$194,RAB!$C$14:$C$194,C961)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SUMIFS(RAB!$F$14:$F$194,RAB!$C$14:$C$194,C962)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SUMIFS(RAB!$F$14:$F$194,RAB!$C$14:$C$194,C963)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SUMIFS(RAB!$F$14:$F$194,RAB!$C$14:$C$194,C964)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SUMIFS(RAB!$F$14:$F$194,RAB!$C$14:$C$194,C965)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SUMIFS(RAB!$F$14:$F$194,RAB!$C$14:$C$194,C966)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SUMIFS(RAB!$F$14:$F$194,RAB!$C$14:$C$194,C967)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SUMIFS(RAB!$F$14:$F$194,RAB!$C$14:$C$194,C968)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SUMIFS(RAB!$F$14:$F$194,RAB!$C$14:$C$194,C969)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SUMIFS(RAB!$F$14:$F$194,RAB!$C$14:$C$194,C970)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SUMIFS(RAB!$F$14:$F$194,RAB!$C$14:$C$194,C971)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SUMIFS(RAB!$F$14:$F$194,RAB!$C$14:$C$194,C972)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SUMIFS(RAB!$F$14:$F$194,RAB!$C$14:$C$194,C973)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SUMIFS(RAB!$F$14:$F$194,RAB!$C$14:$C$194,C974)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SUMIFS(RAB!$F$14:$F$194,RAB!$C$14:$C$194,C975)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SUMIFS(RAB!$F$14:$F$194,RAB!$C$14:$C$194,C976)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SUMIFS(RAB!$F$14:$F$194,RAB!$C$14:$C$194,C977)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SUMIFS(RAB!$F$14:$F$194,RAB!$C$14:$C$194,C978)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SUMIFS(RAB!$F$14:$F$194,RAB!$C$14:$C$194,C979)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SUMIFS(RAB!$F$14:$F$194,RAB!$C$14:$C$194,C980)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SUMIFS(RAB!$F$14:$F$194,RAB!$C$14:$C$194,C981)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SUMIFS(RAB!$F$14:$F$194,RAB!$C$14:$C$194,C982)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SUMIFS(RAB!$F$14:$F$194,RAB!$C$14:$C$194,C983)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SUMIFS(RAB!$F$14:$F$194,RAB!$C$14:$C$194,C984)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SUMIFS(RAB!$F$14:$F$194,RAB!$C$14:$C$194,C985)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SUMIFS(RAB!$F$14:$F$194,RAB!$C$14:$C$194,C986)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SUMIFS(RAB!$F$14:$F$194,RAB!$C$14:$C$194,C987)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SUMIFS(RAB!$F$14:$F$194,RAB!$C$14:$C$194,C988)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SUMIFS(RAB!$F$14:$F$194,RAB!$C$14:$C$194,C989)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SUMIFS(RAB!$F$14:$F$194,RAB!$C$14:$C$194,C990)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SUMIFS(RAB!$F$14:$F$194,RAB!$C$14:$C$194,C991)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SUMIFS(RAB!$F$14:$F$194,RAB!$C$14:$C$194,C992)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SUMIFS(RAB!$F$14:$F$194,RAB!$C$14:$C$194,C993)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SUMIFS(RAB!$F$14:$F$194,RAB!$C$14:$C$194,C994)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SUMIFS(RAB!$F$14:$F$194,RAB!$C$14:$C$194,C995)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SUMIFS(RAB!$F$14:$F$194,RAB!$C$14:$C$194,C996)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SUMIFS(RAB!$F$14:$F$194,RAB!$C$14:$C$194,C997)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SUMIFS(RAB!$F$14:$F$194,RAB!$C$14:$C$194,C998)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SUMIFS(RAB!$F$14:$F$194,RAB!$C$14:$C$194,C999)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SUMIFS(RAB!$F$14:$F$194,RAB!$C$14:$C$194,C1000)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SUMIFS(RAB!$F$14:$F$194,RAB!$C$14:$C$194,C1001)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SUMIFS(RAB!$F$14:$F$194,RAB!$C$14:$C$194,C1002)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SUMIFS(RAB!$F$14:$F$194,RAB!$C$14:$C$194,C1003)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SUMIFS(RAB!$F$14:$F$194,RAB!$C$14:$C$194,C1004)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SUMIFS(RAB!$F$14:$F$194,RAB!$C$14:$C$194,C1005)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SUMIFS(RAB!$F$14:$F$194,RAB!$C$14:$C$194,C1006)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SUMIFS(RAB!$F$14:$F$194,RAB!$C$14:$C$194,C1007)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SUMIFS(RAB!$F$14:$F$194,RAB!$C$14:$C$194,C1008)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SUMIFS(RAB!$F$14:$F$194,RAB!$C$14:$C$194,C1009)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SUMIFS(RAB!$F$14:$F$194,RAB!$C$14:$C$194,C1010)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SUMIFS(RAB!$F$14:$F$194,RAB!$C$14:$C$194,C1011)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SUMIFS(RAB!$F$14:$F$194,RAB!$C$14:$C$194,C1012)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SUMIFS(RAB!$F$14:$F$194,RAB!$C$14:$C$194,C1013)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SUMIFS(RAB!$F$14:$F$194,RAB!$C$14:$C$194,C1014)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SUMIFS(RAB!$F$14:$F$194,RAB!$C$14:$C$194,C1015)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SUMIFS(RAB!$F$14:$F$194,RAB!$C$14:$C$194,C1016)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SUMIFS(RAB!$F$14:$F$194,RAB!$C$14:$C$194,C1017)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SUMIFS(RAB!$F$14:$F$194,RAB!$C$14:$C$194,C1018)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SUMIFS(RAB!$F$14:$F$194,RAB!$C$14:$C$194,C1019)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SUMIFS(RAB!$F$14:$F$194,RAB!$C$14:$C$194,C1020)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SUMIFS(RAB!$F$14:$F$194,RAB!$C$14:$C$194,C1021)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SUMIFS(RAB!$F$14:$F$194,RAB!$C$14:$C$194,C1022)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SUMIFS(RAB!$F$14:$F$194,RAB!$C$14:$C$194,C1023)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SUMIFS(RAB!$F$14:$F$194,RAB!$C$14:$C$194,C1024)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SUMIFS(RAB!$F$14:$F$194,RAB!$C$14:$C$194,C1025)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SUMIFS(RAB!$F$14:$F$194,RAB!$C$14:$C$194,C1026)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SUMIFS(RAB!$F$14:$F$194,RAB!$C$14:$C$194,C1027)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SUMIFS(RAB!$F$14:$F$194,RAB!$C$14:$C$194,C1028)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SUMIFS(RAB!$F$14:$F$194,RAB!$C$14:$C$194,C1029)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SUMIFS(RAB!$F$14:$F$194,RAB!$C$14:$C$194,C1030)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SUMIFS(RAB!$F$14:$F$194,RAB!$C$14:$C$194,C1031)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SUMIFS(RAB!$F$14:$F$194,RAB!$C$14:$C$194,C1032)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SUMIFS(RAB!$F$14:$F$194,RAB!$C$14:$C$194,C1033)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SUMIFS(RAB!$F$14:$F$194,RAB!$C$14:$C$194,C1034)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SUMIFS(RAB!$F$14:$F$194,RAB!$C$14:$C$194,C1035)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SUMIFS(RAB!$F$14:$F$194,RAB!$C$14:$C$194,C1036)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SUMIFS(RAB!$F$14:$F$194,RAB!$C$14:$C$194,C1037)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SUMIFS(RAB!$F$14:$F$194,RAB!$C$14:$C$194,C1038)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SUMIFS(RAB!$F$14:$F$194,RAB!$C$14:$C$194,C1039)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SUMIFS(RAB!$F$14:$F$194,RAB!$C$14:$C$194,C1040)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SUMIFS(RAB!$F$14:$F$194,RAB!$C$14:$C$194,C1041)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SUMIFS(RAB!$F$14:$F$194,RAB!$C$14:$C$194,C1042)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SUMIFS(RAB!$F$14:$F$194,RAB!$C$14:$C$194,C1043)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SUMIFS(RAB!$F$14:$F$194,RAB!$C$14:$C$194,C1044)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SUMIFS(RAB!$F$14:$F$194,RAB!$C$14:$C$194,C1045)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SUMIFS(RAB!$F$14:$F$194,RAB!$C$14:$C$194,C1046)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SUMIFS(RAB!$F$14:$F$194,RAB!$C$14:$C$194,C1047)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SUMIFS(RAB!$F$14:$F$194,RAB!$C$14:$C$194,C1048)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SUMIFS(RAB!$F$14:$F$194,RAB!$C$14:$C$194,C1049)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SUMIFS(RAB!$F$14:$F$194,RAB!$C$14:$C$194,C1050)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SUMIFS(RAB!$F$14:$F$194,RAB!$C$14:$C$194,C1051)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SUMIFS(RAB!$F$14:$F$194,RAB!$C$14:$C$194,C1052)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SUMIFS(RAB!$F$14:$F$194,RAB!$C$14:$C$194,C1053)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SUMIFS(RAB!$F$14:$F$194,RAB!$C$14:$C$194,C1054)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SUMIFS(RAB!$F$14:$F$194,RAB!$C$14:$C$194,C1055)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SUMIFS(RAB!$F$14:$F$194,RAB!$C$14:$C$194,C1056)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SUMIFS(RAB!$F$14:$F$194,RAB!$C$14:$C$194,C1057)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SUMIFS(RAB!$F$14:$F$194,RAB!$C$14:$C$194,C1058)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SUMIFS(RAB!$F$14:$F$194,RAB!$C$14:$C$194,C1059)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SUMIFS(RAB!$F$14:$F$194,RAB!$C$14:$C$194,C1060)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SUMIFS(RAB!$F$14:$F$194,RAB!$C$14:$C$194,C1061)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SUMIFS(RAB!$F$14:$F$194,RAB!$C$14:$C$194,C1062)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SUMIFS(RAB!$F$14:$F$194,RAB!$C$14:$C$194,C1063)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SUMIFS(RAB!$F$14:$F$194,RAB!$C$14:$C$194,C1064)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SUMIFS(RAB!$F$14:$F$194,RAB!$C$14:$C$194,C1065)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SUMIFS(RAB!$F$14:$F$194,RAB!$C$14:$C$194,C1066)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SUMIFS(RAB!$F$14:$F$194,RAB!$C$14:$C$194,C1067)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SUMIFS(RAB!$F$14:$F$194,RAB!$C$14:$C$194,C1068)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SUMIFS(RAB!$F$14:$F$194,RAB!$C$14:$C$194,C1069)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SUMIFS(RAB!$F$14:$F$194,RAB!$C$14:$C$194,C1070)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SUMIFS(RAB!$F$14:$F$194,RAB!$C$14:$C$194,C1071)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SUMIFS(RAB!$F$14:$F$194,RAB!$C$14:$C$194,C1072)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SUMIFS(RAB!$F$14:$F$194,RAB!$C$14:$C$194,C1073)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SUMIFS(RAB!$F$14:$F$194,RAB!$C$14:$C$194,C1074)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SUMIFS(RAB!$F$14:$F$194,RAB!$C$14:$C$194,C1075)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SUMIFS(RAB!$F$14:$F$194,RAB!$C$14:$C$194,C1076)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SUMIFS(RAB!$F$14:$F$194,RAB!$C$14:$C$194,C1077)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SUMIFS(RAB!$F$14:$F$194,RAB!$C$14:$C$194,C1078)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SUMIFS(RAB!$F$14:$F$194,RAB!$C$14:$C$194,C1079)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SUMIFS(RAB!$F$14:$F$194,RAB!$C$14:$C$194,C1080)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SUMIFS(RAB!$F$14:$F$194,RAB!$C$14:$C$194,C1081)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SUMIFS(RAB!$F$14:$F$194,RAB!$C$14:$C$194,C1082)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SUMIFS(RAB!$F$14:$F$194,RAB!$C$14:$C$194,C1083)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SUMIFS(RAB!$F$14:$F$194,RAB!$C$14:$C$194,C1084)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SUMIFS(RAB!$F$14:$F$194,RAB!$C$14:$C$194,C1085)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SUMIFS(RAB!$F$14:$F$194,RAB!$C$14:$C$194,C1086)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SUMIFS(RAB!$F$14:$F$194,RAB!$C$14:$C$194,C1087)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SUMIFS(RAB!$F$14:$F$194,RAB!$C$14:$C$194,C1088)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SUMIFS(RAB!$F$14:$F$194,RAB!$C$14:$C$194,C1089)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SUMIFS(RAB!$F$14:$F$194,RAB!$C$14:$C$194,C1090)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SUMIFS(RAB!$F$14:$F$194,RAB!$C$14:$C$194,C1091)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SUMIFS(RAB!$F$14:$F$194,RAB!$C$14:$C$194,C1092)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SUMIFS(RAB!$F$14:$F$194,RAB!$C$14:$C$194,C1093)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SUMIFS(RAB!$F$14:$F$194,RAB!$C$14:$C$194,C1094)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SUMIFS(RAB!$F$14:$F$194,RAB!$C$14:$C$194,C1095)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SUMIFS(RAB!$F$14:$F$194,RAB!$C$14:$C$194,C1096)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SUMIFS(RAB!$F$14:$F$194,RAB!$C$14:$C$194,C1097)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SUMIFS(RAB!$F$14:$F$194,RAB!$C$14:$C$194,C1098)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SUMIFS(RAB!$F$14:$F$194,RAB!$C$14:$C$194,C1099)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SUMIFS(RAB!$F$14:$F$194,RAB!$C$14:$C$194,C1100)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SUMIFS(RAB!$F$14:$F$194,RAB!$C$14:$C$194,C1101)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SUMIFS(RAB!$F$14:$F$194,RAB!$C$14:$C$194,C1102)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SUMIFS(RAB!$F$14:$F$194,RAB!$C$14:$C$194,C1103)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SUMIFS(RAB!$F$14:$F$194,RAB!$C$14:$C$194,C1104)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SUMIFS(RAB!$F$14:$F$194,RAB!$C$14:$C$194,C1105)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SUMIFS(RAB!$F$14:$F$194,RAB!$C$14:$C$194,C1106)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SUMIFS(RAB!$F$14:$F$194,RAB!$C$14:$C$194,C1107)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SUMIFS(RAB!$F$14:$F$194,RAB!$C$14:$C$194,C1108)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SUMIFS(RAB!$F$14:$F$194,RAB!$C$14:$C$194,C1109)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SUMIFS(RAB!$F$14:$F$194,RAB!$C$14:$C$194,C1110)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SUMIFS(RAB!$F$14:$F$194,RAB!$C$14:$C$194,C1111)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SUMIFS(RAB!$F$14:$F$194,RAB!$C$14:$C$194,C1112)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SUMIFS(RAB!$F$14:$F$194,RAB!$C$14:$C$194,C1113)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SUMIFS(RAB!$F$14:$F$194,RAB!$C$14:$C$194,C1114)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SUMIFS(RAB!$F$14:$F$194,RAB!$C$14:$C$194,C1115)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SUMIFS(RAB!$F$14:$F$194,RAB!$C$14:$C$194,C1116)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SUMIFS(RAB!$F$14:$F$194,RAB!$C$14:$C$194,C1117)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SUMIFS(RAB!$F$14:$F$194,RAB!$C$14:$C$194,C1118)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SUMIFS(RAB!$F$14:$F$194,RAB!$C$14:$C$194,C1119)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SUMIFS(RAB!$F$14:$F$194,RAB!$C$14:$C$194,C1120)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SUMIFS(RAB!$F$14:$F$194,RAB!$C$14:$C$194,C1121)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SUMIFS(RAB!$F$14:$F$194,RAB!$C$14:$C$194,C1122)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SUMIFS(RAB!$F$14:$F$194,RAB!$C$14:$C$194,C1123)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SUMIFS(RAB!$F$14:$F$194,RAB!$C$14:$C$194,C1124)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SUMIFS(RAB!$F$14:$F$194,RAB!$C$14:$C$194,C1125)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SUMIFS(RAB!$F$14:$F$194,RAB!$C$14:$C$194,C1126)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SUMIFS(RAB!$F$14:$F$194,RAB!$C$14:$C$194,C1127)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SUMIFS(RAB!$F$14:$F$194,RAB!$C$14:$C$194,C1128)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SUMIFS(RAB!$F$14:$F$194,RAB!$C$14:$C$194,C1129)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SUMIFS(RAB!$F$14:$F$194,RAB!$C$14:$C$194,C1130)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SUMIFS(RAB!$F$14:$F$194,RAB!$C$14:$C$194,C1131)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SUMIFS(RAB!$F$14:$F$194,RAB!$C$14:$C$194,C1132)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SUMIFS(RAB!$F$14:$F$194,RAB!$C$14:$C$194,C1133)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SUMIFS(RAB!$F$14:$F$194,RAB!$C$14:$C$194,C1134)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SUMIFS(RAB!$F$14:$F$194,RAB!$C$14:$C$194,C1135)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SUMIFS(RAB!$F$14:$F$194,RAB!$C$14:$C$194,C1136)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SUMIFS(RAB!$F$14:$F$194,RAB!$C$14:$C$194,C1137)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SUMIFS(RAB!$F$14:$F$194,RAB!$C$14:$C$194,C1138)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SUMIFS(RAB!$F$14:$F$194,RAB!$C$14:$C$194,C1139)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SUMIFS(RAB!$F$14:$F$194,RAB!$C$14:$C$194,C1140)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SUMIFS(RAB!$F$14:$F$194,RAB!$C$14:$C$194,C1141)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SUMIFS(RAB!$F$14:$F$194,RAB!$C$14:$C$194,C1142)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SUMIFS(RAB!$F$14:$F$194,RAB!$C$14:$C$194,C1143)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SUMIFS(RAB!$F$14:$F$194,RAB!$C$14:$C$194,C1144)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SUMIFS(RAB!$F$14:$F$194,RAB!$C$14:$C$194,C1145)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SUMIFS(RAB!$F$14:$F$194,RAB!$C$14:$C$194,C1146)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SUMIFS(RAB!$F$14:$F$194,RAB!$C$14:$C$194,C1147)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SUMIFS(RAB!$F$14:$F$194,RAB!$C$14:$C$194,C1148)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SUMIFS(RAB!$F$14:$F$194,RAB!$C$14:$C$194,C1149)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SUMIFS(RAB!$F$14:$F$194,RAB!$C$14:$C$194,C1150)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SUMIFS(RAB!$F$14:$F$194,RAB!$C$14:$C$194,C1151)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SUMIFS(RAB!$F$14:$F$194,RAB!$C$14:$C$194,C1152)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SUMIFS(RAB!$F$14:$F$194,RAB!$C$14:$C$194,C1153)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SUMIFS(RAB!$F$14:$F$194,RAB!$C$14:$C$194,C1154)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SUMIFS(RAB!$F$14:$F$194,RAB!$C$14:$C$194,C1155)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SUMIFS(RAB!$F$14:$F$194,RAB!$C$14:$C$194,C1156)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SUMIFS(RAB!$F$14:$F$194,RAB!$C$14:$C$194,C1157)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SUMIFS(RAB!$F$14:$F$194,RAB!$C$14:$C$194,C1158)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SUMIFS(RAB!$F$14:$F$194,RAB!$C$14:$C$194,C1159)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SUMIFS(RAB!$F$14:$F$194,RAB!$C$14:$C$194,C1160)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SUMIFS(RAB!$F$14:$F$194,RAB!$C$14:$C$194,C1161)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SUMIFS(RAB!$F$14:$F$194,RAB!$C$14:$C$194,C1162)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SUMIFS(RAB!$F$14:$F$194,RAB!$C$14:$C$194,C1163)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SUMIFS(RAB!$F$14:$F$194,RAB!$C$14:$C$194,C1164)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SUMIFS(RAB!$F$14:$F$194,RAB!$C$14:$C$194,C1165)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SUMIFS(RAB!$F$14:$F$194,RAB!$C$14:$C$194,C1166)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SUMIFS(RAB!$F$14:$F$194,RAB!$C$14:$C$194,C1167)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SUMIFS(RAB!$F$14:$F$194,RAB!$C$14:$C$194,C1168)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SUMIFS(RAB!$F$14:$F$194,RAB!$C$14:$C$194,C1169)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SUMIFS(RAB!$F$14:$F$194,RAB!$C$14:$C$194,C1170)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SUMIFS(RAB!$F$14:$F$194,RAB!$C$14:$C$194,C1171)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SUMIFS(RAB!$F$14:$F$194,RAB!$C$14:$C$194,C1172)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SUMIFS(RAB!$F$14:$F$194,RAB!$C$14:$C$194,C1173)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SUMIFS(RAB!$F$14:$F$194,RAB!$C$14:$C$194,C1174)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SUMIFS(RAB!$F$14:$F$194,RAB!$C$14:$C$194,C1175)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SUMIFS(RAB!$F$14:$F$194,RAB!$C$14:$C$194,C1176)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SUMIFS(RAB!$F$14:$F$194,RAB!$C$14:$C$194,C1177)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SUMIFS(RAB!$F$14:$F$194,RAB!$C$14:$C$194,C1178)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SUMIFS(RAB!$F$14:$F$194,RAB!$C$14:$C$194,C1179)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SUMIFS(RAB!$F$14:$F$194,RAB!$C$14:$C$194,C1180)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SUMIFS(RAB!$F$14:$F$194,RAB!$C$14:$C$194,C1181)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SUMIFS(RAB!$F$14:$F$194,RAB!$C$14:$C$194,C1182)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SUMIFS(RAB!$F$14:$F$194,RAB!$C$14:$C$194,C1183)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SUMIFS(RAB!$F$14:$F$194,RAB!$C$14:$C$194,C1184)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SUMIFS(RAB!$F$14:$F$194,RAB!$C$14:$C$194,C1185)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SUMIFS(RAB!$F$14:$F$194,RAB!$C$14:$C$194,C1186)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SUMIFS(RAB!$F$14:$F$194,RAB!$C$14:$C$194,C1187)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SUMIFS(RAB!$F$14:$F$194,RAB!$C$14:$C$194,C1188)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SUMIFS(RAB!$F$14:$F$194,RAB!$C$14:$C$194,C1189)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SUMIFS(RAB!$F$14:$F$194,RAB!$C$14:$C$194,C1190)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SUMIFS(RAB!$F$14:$F$194,RAB!$C$14:$C$194,C1191)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SUMIFS(RAB!$F$14:$F$194,RAB!$C$14:$C$194,C1192)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SUMIFS(RAB!$F$14:$F$194,RAB!$C$14:$C$194,C1193)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SUMIFS(RAB!$F$14:$F$194,RAB!$C$14:$C$194,C1194)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SUMIFS(RAB!$F$14:$F$194,RAB!$C$14:$C$194,C1195)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SUMIFS(RAB!$F$14:$F$194,RAB!$C$14:$C$194,C1196)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SUMIFS(RAB!$F$14:$F$194,RAB!$C$14:$C$194,C1197)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SUMIFS(RAB!$F$14:$F$194,RAB!$C$14:$C$194,C1198)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SUMIFS(RAB!$F$14:$F$194,RAB!$C$14:$C$194,C1199)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SUMIFS(RAB!$F$14:$F$194,RAB!$C$14:$C$194,C1200)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SUMIFS(RAB!$F$14:$F$194,RAB!$C$14:$C$194,C1201)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SUMIFS(RAB!$F$14:$F$194,RAB!$C$14:$C$194,C1202)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SUMIFS(RAB!$F$14:$F$194,RAB!$C$14:$C$194,C1203)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SUMIFS(RAB!$F$14:$F$194,RAB!$C$14:$C$194,C1204)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SUMIFS(RAB!$F$14:$F$194,RAB!$C$14:$C$194,C1205)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SUMIFS(RAB!$F$14:$F$194,RAB!$C$14:$C$194,C1206)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SUMIFS(RAB!$F$14:$F$194,RAB!$C$14:$C$194,C1207)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SUMIFS(RAB!$F$14:$F$194,RAB!$C$14:$C$194,C1208)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SUMIFS(RAB!$F$14:$F$194,RAB!$C$14:$C$194,C1209)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SUMIFS(RAB!$F$14:$F$194,RAB!$C$14:$C$194,C1210)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SUMIFS(RAB!$F$14:$F$194,RAB!$C$14:$C$194,C1211)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SUMIFS(RAB!$F$14:$F$194,RAB!$C$14:$C$194,C1212)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SUMIFS(RAB!$F$14:$F$194,RAB!$C$14:$C$194,C1213)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SUMIFS(RAB!$F$14:$F$194,RAB!$C$14:$C$194,C1214)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SUMIFS(RAB!$F$14:$F$194,RAB!$C$14:$C$194,C1215)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SUMIFS(RAB!$F$14:$F$194,RAB!$C$14:$C$194,C1216)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SUMIFS(RAB!$F$14:$F$194,RAB!$C$14:$C$194,C1217)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SUMIFS(RAB!$F$14:$F$194,RAB!$C$14:$C$194,C1218)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SUMIFS(RAB!$F$14:$F$194,RAB!$C$14:$C$194,C1219)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SUMIFS(RAB!$F$14:$F$194,RAB!$C$14:$C$194,C1220)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SUMIFS(RAB!$F$14:$F$194,RAB!$C$14:$C$194,C1221)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SUMIFS(RAB!$F$14:$F$194,RAB!$C$14:$C$194,C1222)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SUMIFS(RAB!$F$14:$F$194,RAB!$C$14:$C$194,C1223)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SUMIFS(RAB!$F$14:$F$194,RAB!$C$14:$C$194,C1224)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SUMIFS(RAB!$F$14:$F$194,RAB!$C$14:$C$194,C1225)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SUMIFS(RAB!$F$14:$F$194,RAB!$C$14:$C$194,C1226)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SUMIFS(RAB!$F$14:$F$194,RAB!$C$14:$C$194,C1227)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SUMIFS(RAB!$F$14:$F$194,RAB!$C$14:$C$194,C1228)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SUMIFS(RAB!$F$14:$F$194,RAB!$C$14:$C$194,C1229)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SUMIFS(RAB!$F$14:$F$194,RAB!$C$14:$C$194,C1230)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SUMIFS(RAB!$F$14:$F$194,RAB!$C$14:$C$194,C1231)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SUMIFS(RAB!$F$14:$F$194,RAB!$C$14:$C$194,C1232)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SUMIFS(RAB!$F$14:$F$194,RAB!$C$14:$C$194,C1233)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SUMIFS(RAB!$F$14:$F$194,RAB!$C$14:$C$194,C1234)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SUMIFS(RAB!$F$14:$F$194,RAB!$C$14:$C$194,C1235)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SUMIFS(RAB!$F$14:$F$194,RAB!$C$14:$C$194,C1236)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SUMIFS(RAB!$F$14:$F$194,RAB!$C$14:$C$194,C1237)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SUMIFS(RAB!$F$14:$F$194,RAB!$C$14:$C$194,C1238)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SUMIFS(RAB!$F$14:$F$194,RAB!$C$14:$C$194,C1239)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SUMIFS(RAB!$F$14:$F$194,RAB!$C$14:$C$194,C1240)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SUMIFS(RAB!$F$14:$F$194,RAB!$C$14:$C$194,C1241)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SUMIFS(RAB!$F$14:$F$194,RAB!$C$14:$C$194,C1242)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SUMIFS(RAB!$F$14:$F$194,RAB!$C$14:$C$194,C1243)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SUMIFS(RAB!$F$14:$F$194,RAB!$C$14:$C$194,C1244)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SUMIFS(RAB!$F$14:$F$194,RAB!$C$14:$C$194,C1245)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SUMIFS(RAB!$F$14:$F$194,RAB!$C$14:$C$194,C1246)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SUMIFS(RAB!$F$14:$F$194,RAB!$C$14:$C$194,C1247)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SUMIFS(RAB!$F$14:$F$194,RAB!$C$14:$C$194,C1248)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SUMIFS(RAB!$F$14:$F$194,RAB!$C$14:$C$194,C1249)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SUMIFS(RAB!$F$14:$F$194,RAB!$C$14:$C$194,C1250)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SUMIFS(RAB!$F$14:$F$194,RAB!$C$14:$C$194,C1251)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SUMIFS(RAB!$F$14:$F$194,RAB!$C$14:$C$194,C1252)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SUMIFS(RAB!$F$14:$F$194,RAB!$C$14:$C$194,C1253)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SUMIFS(RAB!$F$14:$F$194,RAB!$C$14:$C$194,C1254)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SUMIFS(RAB!$F$14:$F$194,RAB!$C$14:$C$194,C1255)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SUMIFS(RAB!$F$14:$F$194,RAB!$C$14:$C$194,C1256)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SUMIFS(RAB!$F$14:$F$194,RAB!$C$14:$C$194,C1257)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SUMIFS(RAB!$F$14:$F$194,RAB!$C$14:$C$194,C1258)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SUMIFS(RAB!$F$14:$F$194,RAB!$C$14:$C$194,C1259)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SUMIFS(RAB!$F$14:$F$194,RAB!$C$14:$C$194,C1260)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SUMIFS(RAB!$F$14:$F$194,RAB!$C$14:$C$194,C1261)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SUMIFS(RAB!$F$14:$F$194,RAB!$C$14:$C$194,C1262)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SUMIFS(RAB!$F$14:$F$194,RAB!$C$14:$C$194,C1263)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SUMIFS(RAB!$F$14:$F$194,RAB!$C$14:$C$194,C1264)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SUMIFS(RAB!$F$14:$F$194,RAB!$C$14:$C$194,C1265)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SUMIFS(RAB!$F$14:$F$194,RAB!$C$14:$C$194,C1266)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SUMIFS(RAB!$F$14:$F$194,RAB!$C$14:$C$194,C1267)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SUMIFS(RAB!$F$14:$F$194,RAB!$C$14:$C$194,C1268)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SUMIFS(RAB!$F$14:$F$194,RAB!$C$14:$C$194,C1269)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SUMIFS(RAB!$F$14:$F$194,RAB!$C$14:$C$194,C1270)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SUMIFS(RAB!$F$14:$F$194,RAB!$C$14:$C$194,C1271)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SUMIFS(RAB!$F$14:$F$194,RAB!$C$14:$C$194,C1272)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SUMIFS(RAB!$F$14:$F$194,RAB!$C$14:$C$194,C1273)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SUMIFS(RAB!$F$14:$F$194,RAB!$C$14:$C$194,C1274)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SUMIFS(RAB!$F$14:$F$194,RAB!$C$14:$C$194,C1275)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SUMIFS(RAB!$F$14:$F$194,RAB!$C$14:$C$194,C1276)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SUMIFS(RAB!$F$14:$F$194,RAB!$C$14:$C$194,C1277)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SUMIFS(RAB!$F$14:$F$194,RAB!$C$14:$C$194,C1278)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SUMIFS(RAB!$F$14:$F$194,RAB!$C$14:$C$194,C1279)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SUMIFS(RAB!$F$14:$F$194,RAB!$C$14:$C$194,C1280)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SUMIFS(RAB!$F$14:$F$194,RAB!$C$14:$C$194,C1281)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SUMIFS(RAB!$F$14:$F$194,RAB!$C$14:$C$194,C1282)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SUMIFS(RAB!$F$14:$F$194,RAB!$C$14:$C$194,C1283)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SUMIFS(RAB!$F$14:$F$194,RAB!$C$14:$C$194,C1284)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SUMIFS(RAB!$F$14:$F$194,RAB!$C$14:$C$194,C1285)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SUMIFS(RAB!$F$14:$F$194,RAB!$C$14:$C$194,C1286)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SUMIFS(RAB!$F$14:$F$194,RAB!$C$14:$C$194,C1287)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SUMIFS(RAB!$F$14:$F$194,RAB!$C$14:$C$194,C1288)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SUMIFS(RAB!$F$14:$F$194,RAB!$C$14:$C$194,C1289)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SUMIFS(RAB!$F$14:$F$194,RAB!$C$14:$C$194,C1290)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SUMIFS(RAB!$F$14:$F$194,RAB!$C$14:$C$194,C1291)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SUMIFS(RAB!$F$14:$F$194,RAB!$C$14:$C$194,C1292)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SUMIFS(RAB!$F$14:$F$194,RAB!$C$14:$C$194,C1293)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SUMIFS(RAB!$F$14:$F$194,RAB!$C$14:$C$194,C1294)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SUMIFS(RAB!$F$14:$F$194,RAB!$C$14:$C$194,C1295)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SUMIFS(RAB!$F$14:$F$194,RAB!$C$14:$C$194,C1296)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SUMIFS(RAB!$F$14:$F$194,RAB!$C$14:$C$194,C1297)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SUMIFS(RAB!$F$14:$F$194,RAB!$C$14:$C$194,C1298)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SUMIFS(RAB!$F$14:$F$194,RAB!$C$14:$C$194,C1299)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SUMIFS(RAB!$F$14:$F$194,RAB!$C$14:$C$194,C1300)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SUMIFS(RAB!$F$14:$F$194,RAB!$C$14:$C$194,C1301)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SUMIFS(RAB!$F$14:$F$194,RAB!$C$14:$C$194,C1302)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SUMIFS(RAB!$F$14:$F$194,RAB!$C$14:$C$194,C1303)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SUMIFS(RAB!$F$14:$F$194,RAB!$C$14:$C$194,C1304)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SUMIFS(RAB!$F$14:$F$194,RAB!$C$14:$C$194,C1305)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SUMIFS(RAB!$F$14:$F$194,RAB!$C$14:$C$194,C1306)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SUMIFS(RAB!$F$14:$F$194,RAB!$C$14:$C$194,C1307)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SUMIFS(RAB!$F$14:$F$194,RAB!$C$14:$C$194,C1308)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SUMIFS(RAB!$F$14:$F$194,RAB!$C$14:$C$194,C1309)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SUMIFS(RAB!$F$14:$F$194,RAB!$C$14:$C$194,C1310)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SUMIFS(RAB!$F$14:$F$194,RAB!$C$14:$C$194,C1311)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SUMIFS(RAB!$F$14:$F$194,RAB!$C$14:$C$194,C1312)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SUMIFS(RAB!$F$14:$F$194,RAB!$C$14:$C$194,C1313)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SUMIFS(RAB!$F$14:$F$194,RAB!$C$14:$C$194,C1314)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SUMIFS(RAB!$F$14:$F$194,RAB!$C$14:$C$194,C1315)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SUMIFS(RAB!$F$14:$F$194,RAB!$C$14:$C$194,C1316)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SUMIFS(RAB!$F$14:$F$194,RAB!$C$14:$C$194,C1317)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SUMIFS(RAB!$F$14:$F$194,RAB!$C$14:$C$194,C1318)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SUMIFS(RAB!$F$14:$F$194,RAB!$C$14:$C$194,C1319)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SUMIFS(RAB!$F$14:$F$194,RAB!$C$14:$C$194,C1320)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4" priority="5" operator="equal">
      <formula>0</formula>
    </cfRule>
  </conditionalFormatting>
  <conditionalFormatting sqref="A10:L65536">
    <cfRule type="cellIs" dxfId="63" priority="1" operator="equal">
      <formula>0</formula>
    </cfRule>
  </conditionalFormatting>
  <conditionalFormatting sqref="C12:C711">
    <cfRule type="cellIs" dxfId="62" priority="66" stopIfTrue="1" operator="equal">
      <formula>0</formula>
    </cfRule>
  </conditionalFormatting>
  <conditionalFormatting sqref="E712:E65536">
    <cfRule type="cellIs" dxfId="61" priority="16" stopIfTrue="1" operator="equal">
      <formula>0</formula>
    </cfRule>
  </conditionalFormatting>
  <conditionalFormatting sqref="G1:G11 E6:E11 E1:E3 H7 H10:H11 F10:F711 G712:G65536">
    <cfRule type="cellIs" dxfId="60" priority="69" stopIfTrue="1" operator="equal">
      <formula>0</formula>
    </cfRule>
  </conditionalFormatting>
  <conditionalFormatting sqref="G12:H711">
    <cfRule type="cellIs" dxfId="59" priority="12" stopIfTrue="1" operator="equal">
      <formula>0</formula>
    </cfRule>
  </conditionalFormatting>
  <conditionalFormatting sqref="I7:K7">
    <cfRule type="cellIs" dxfId="58" priority="4" stopIfTrue="1" operator="equal">
      <formula>0</formula>
    </cfRule>
  </conditionalFormatting>
  <conditionalFormatting sqref="I10:L711">
    <cfRule type="cellIs" dxfId="57" priority="2" stopIfTrue="1" operator="equal">
      <formula>0</formula>
    </cfRule>
  </conditionalFormatting>
  <conditionalFormatting sqref="L1:L6">
    <cfRule type="cellIs" dxfId="56" priority="10" operator="equal">
      <formula>0</formula>
    </cfRule>
  </conditionalFormatting>
  <conditionalFormatting sqref="M1:IV1048576 A8:G9">
    <cfRule type="cellIs" dxfId="5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1097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1" t="str">
        <f>RAB!G6</f>
        <v>MR DIY KEMBANGARUM</v>
      </c>
      <c r="H6" s="531"/>
      <c r="I6" s="531"/>
      <c r="J6" s="531"/>
      <c r="K6" s="531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JL. RAYA KEMBANGARUM MRANGGEN DEMAK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32</v>
      </c>
      <c r="E11" s="544" t="s">
        <v>33</v>
      </c>
      <c r="F11" s="544" t="s">
        <v>2</v>
      </c>
      <c r="G11" s="545" t="s">
        <v>31</v>
      </c>
      <c r="H11" s="544" t="s">
        <v>3</v>
      </c>
      <c r="I11" s="544"/>
      <c r="J11" s="544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34"/>
      <c r="E12" s="534"/>
      <c r="F12" s="534"/>
      <c r="G12" s="546"/>
      <c r="H12" s="536" t="s">
        <v>36</v>
      </c>
      <c r="I12" s="536" t="s">
        <v>5</v>
      </c>
      <c r="J12" s="534" t="s">
        <v>37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34"/>
      <c r="E13" s="534"/>
      <c r="F13" s="534"/>
      <c r="G13" s="547"/>
      <c r="H13" s="537"/>
      <c r="I13" s="537"/>
      <c r="J13" s="534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8609100</v>
      </c>
      <c r="H16" s="42">
        <f t="shared" ca="1" si="1"/>
        <v>0</v>
      </c>
      <c r="I16" s="42">
        <f t="shared" ca="1" si="2"/>
        <v>25827300</v>
      </c>
      <c r="J16" s="42">
        <f t="shared" ca="1" si="3"/>
        <v>0</v>
      </c>
      <c r="K16" s="43">
        <f t="shared" ca="1" si="0"/>
        <v>25827300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2" t="s">
        <v>980</v>
      </c>
      <c r="D38" s="532"/>
      <c r="E38" s="532"/>
      <c r="F38" s="532"/>
      <c r="G38" s="77" t="s">
        <v>9</v>
      </c>
      <c r="H38" s="55">
        <f ca="1">SUM(H14:H37)</f>
        <v>0</v>
      </c>
      <c r="I38" s="55">
        <f ca="1">SUM(I14:I37)</f>
        <v>25827300</v>
      </c>
      <c r="J38" s="55">
        <f ca="1">SUM(J14:J37)</f>
        <v>0</v>
      </c>
      <c r="K38" s="55">
        <f ca="1">SUM(K14:K37)</f>
        <v>25827300</v>
      </c>
      <c r="L38" s="44"/>
      <c r="R38" s="99"/>
      <c r="S38" s="99"/>
      <c r="T38" s="99"/>
    </row>
    <row r="39" spans="1:20" s="36" customFormat="1">
      <c r="A39" s="30"/>
      <c r="B39" s="56"/>
      <c r="C39" s="533" t="s">
        <v>452</v>
      </c>
      <c r="D39" s="533"/>
      <c r="E39" s="533"/>
      <c r="F39" s="533"/>
      <c r="G39" s="59" t="s">
        <v>9</v>
      </c>
      <c r="H39" s="60">
        <f ca="1">H38*0.1</f>
        <v>0</v>
      </c>
      <c r="I39" s="60">
        <f ca="1">I38*0.1</f>
        <v>2582730</v>
      </c>
      <c r="J39" s="60">
        <f ca="1">J38*0.1</f>
        <v>0</v>
      </c>
      <c r="K39" s="60">
        <f ca="1">K38*0.1</f>
        <v>2582730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2" t="s">
        <v>453</v>
      </c>
      <c r="D40" s="522"/>
      <c r="E40" s="522"/>
      <c r="F40" s="522"/>
      <c r="G40" s="61" t="s">
        <v>9</v>
      </c>
      <c r="H40" s="78">
        <f ca="1">SUM(H38:H39)</f>
        <v>0</v>
      </c>
      <c r="I40" s="78">
        <f ca="1">SUM(I38:I39)</f>
        <v>28410030</v>
      </c>
      <c r="J40" s="61">
        <f ca="1">SUM(J38:J39)</f>
        <v>0</v>
      </c>
      <c r="K40" s="61">
        <f ca="1">SUM(K38:K39)</f>
        <v>28410030</v>
      </c>
      <c r="L40" s="44"/>
      <c r="R40" s="99"/>
      <c r="S40" s="99"/>
      <c r="T40" s="99"/>
    </row>
    <row r="41" spans="1:20" s="36" customFormat="1">
      <c r="A41" s="30"/>
      <c r="B41" s="525" t="e">
        <f ca="1">"Terbilang : ( "&amp;L42&amp;" Rupiah )"</f>
        <v>#NAME?</v>
      </c>
      <c r="C41" s="526"/>
      <c r="D41" s="526"/>
      <c r="E41" s="526"/>
      <c r="F41" s="526"/>
      <c r="G41" s="526"/>
      <c r="H41" s="526"/>
      <c r="I41" s="526"/>
      <c r="J41" s="526"/>
      <c r="K41" s="527"/>
      <c r="L41" s="44"/>
      <c r="R41" s="58"/>
      <c r="S41" s="58"/>
      <c r="T41" s="58"/>
    </row>
    <row r="42" spans="1:20" s="36" customFormat="1">
      <c r="A42" s="30"/>
      <c r="B42" s="528"/>
      <c r="C42" s="529"/>
      <c r="D42" s="529"/>
      <c r="E42" s="529"/>
      <c r="F42" s="529"/>
      <c r="G42" s="529"/>
      <c r="H42" s="529"/>
      <c r="I42" s="529"/>
      <c r="J42" s="529"/>
      <c r="K42" s="530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3"/>
      <c r="I45" s="523"/>
      <c r="J45" s="524"/>
      <c r="K45" s="52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3"/>
      <c r="I46" s="523"/>
      <c r="J46" s="524"/>
      <c r="K46" s="52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3"/>
      <c r="I47" s="523"/>
      <c r="J47" s="524"/>
      <c r="K47" s="52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3"/>
      <c r="I52" s="523"/>
      <c r="J52" s="524"/>
      <c r="K52" s="52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SUMIFS(RAB!$F$14:$F$194,RAB!$C$14:$C$194,'REKAP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SUMIFS(RAB!$F$14:$F$194,RAB!$C$14:$C$194,'REKAP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SUMIFS(RAB!$F$14:$F$194,RAB!$C$14:$C$194,'REKAP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SUMIFS(RAB!$F$14:$F$194,RAB!$C$14:$C$194,'REKAP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SUMIFS(RAB!$F$14:$F$194,RAB!$C$14:$C$194,'REKAP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SUMIFS(RAB!$F$14:$F$194,RAB!$C$14:$C$194,'REKAP TIANG'!C62)</f>
        <v>3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SUMIFS(RAB!$F$14:$F$194,RAB!$C$14:$C$194,'REKAP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SUMIFS(RAB!$F$14:$F$194,RAB!$C$14:$C$194,'REKAP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SUMIFS(RAB!$F$14:$F$194,RAB!$C$14:$C$194,'REKAP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SUMIFS(RAB!$F$14:$F$194,RAB!$C$14:$C$194,'REKAP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SUMIFS(RAB!$F$14:$F$194,RAB!$C$14:$C$194,'REKAP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SUMIFS(RAB!$F$14:$F$194,RAB!$C$14:$C$194,'REKAP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SUMIFS(RAB!$F$14:$F$194,RAB!$C$14:$C$194,'REKAP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SUMIFS(RAB!$F$14:$F$194,RAB!$C$14:$C$194,'REKAP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SUMIFS(RAB!$F$14:$F$194,RAB!$C$14:$C$194,'REKAP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SUMIFS(RAB!$F$14:$F$194,RAB!$C$14:$C$194,'REKAP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SUMIFS(RAB!$F$14:$F$194,RAB!$C$14:$C$194,'REKAP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SUMIFS(RAB!$F$14:$F$194,RAB!$C$14:$C$194,'REKAP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SUMIFS(RAB!$F$14:$F$194,RAB!$C$14:$C$194,'REKAP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SUMIFS(RAB!$F$14:$F$194,RAB!$C$14:$C$194,'REKAP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1004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1" t="str">
        <f>RAB!G6</f>
        <v>MR DIY KEMBANGARUM</v>
      </c>
      <c r="H6" s="531"/>
      <c r="I6" s="531"/>
      <c r="J6" s="531"/>
      <c r="K6" s="531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JL. RAYA KEMBANGARUM MRANGGEN DEMAK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32</v>
      </c>
      <c r="E11" s="544" t="s">
        <v>33</v>
      </c>
      <c r="F11" s="544" t="s">
        <v>2</v>
      </c>
      <c r="G11" s="545" t="s">
        <v>31</v>
      </c>
      <c r="H11" s="544" t="s">
        <v>3</v>
      </c>
      <c r="I11" s="544"/>
      <c r="J11" s="544"/>
      <c r="K11" s="548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34"/>
      <c r="E12" s="534"/>
      <c r="F12" s="534"/>
      <c r="G12" s="546"/>
      <c r="H12" s="536" t="s">
        <v>36</v>
      </c>
      <c r="I12" s="536" t="s">
        <v>5</v>
      </c>
      <c r="J12" s="534" t="s">
        <v>37</v>
      </c>
      <c r="K12" s="53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34"/>
      <c r="E13" s="534"/>
      <c r="F13" s="534"/>
      <c r="G13" s="547"/>
      <c r="H13" s="537"/>
      <c r="I13" s="537"/>
      <c r="J13" s="534"/>
      <c r="K13" s="53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LVCB 2 Jurusan 250 A LBS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9994500</v>
      </c>
      <c r="H19" s="42">
        <f t="shared" ca="1" si="1"/>
        <v>9994500</v>
      </c>
      <c r="I19" s="42">
        <f t="shared" ca="1" si="2"/>
        <v>0</v>
      </c>
      <c r="J19" s="42">
        <f t="shared" ca="1" si="3"/>
        <v>0</v>
      </c>
      <c r="K19" s="43">
        <f t="shared" ca="1" si="0"/>
        <v>9994500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FCO Polymer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848250</v>
      </c>
      <c r="H20" s="42">
        <f t="shared" ca="1" si="1"/>
        <v>2544750</v>
      </c>
      <c r="I20" s="42">
        <f t="shared" ca="1" si="2"/>
        <v>0</v>
      </c>
      <c r="J20" s="42">
        <f t="shared" ca="1" si="3"/>
        <v>0</v>
      </c>
      <c r="K20" s="43">
        <f t="shared" ca="1" si="0"/>
        <v>2544750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Lightning Arester (Polymer) 21 KV, 10 KA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725900</v>
      </c>
      <c r="H21" s="42">
        <f t="shared" ca="1" si="1"/>
        <v>2177700</v>
      </c>
      <c r="I21" s="42">
        <f t="shared" ca="1" si="2"/>
        <v>0</v>
      </c>
      <c r="J21" s="42">
        <f t="shared" ca="1" si="3"/>
        <v>0</v>
      </c>
      <c r="K21" s="43">
        <f t="shared" ca="1" si="0"/>
        <v>2177700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Pin Post ) 20 KV Porcelein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Bh</v>
      </c>
      <c r="F22" s="101">
        <f t="shared" ca="1" si="6"/>
        <v>7</v>
      </c>
      <c r="G22" s="41">
        <f ca="1">IF(ISERROR(OFFSET('HARGA SATUAN'!$I$6,MATCH(C22,'HARGA SATUAN'!$C$7:$C$1492,0),0)),"",OFFSET('HARGA SATUAN'!$I$6,MATCH(C22,'HARGA SATUAN'!$C$7:$C$1492,0),0))</f>
        <v>235900</v>
      </c>
      <c r="H22" s="42">
        <f t="shared" ca="1" si="1"/>
        <v>1651300</v>
      </c>
      <c r="I22" s="42">
        <f t="shared" ca="1" si="2"/>
        <v>0</v>
      </c>
      <c r="J22" s="42">
        <f t="shared" ca="1" si="3"/>
        <v>0</v>
      </c>
      <c r="K22" s="43">
        <f t="shared" ca="1" si="0"/>
        <v>1651300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Tarik ( Strainkap Porcelain ) 20 KV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Set</v>
      </c>
      <c r="F23" s="101">
        <f t="shared" ca="1" si="6"/>
        <v>18</v>
      </c>
      <c r="G23" s="41">
        <f ca="1">IF(ISERROR(OFFSET('HARGA SATUAN'!$I$6,MATCH(C23,'HARGA SATUAN'!$C$7:$C$1492,0),0)),"",OFFSET('HARGA SATUAN'!$I$6,MATCH(C23,'HARGA SATUAN'!$C$7:$C$1492,0),0))</f>
        <v>430000</v>
      </c>
      <c r="H23" s="42">
        <f t="shared" ca="1" si="1"/>
        <v>7740000</v>
      </c>
      <c r="I23" s="42">
        <f t="shared" ca="1" si="2"/>
        <v>0</v>
      </c>
      <c r="J23" s="42">
        <f t="shared" ca="1" si="3"/>
        <v>0</v>
      </c>
      <c r="K23" s="43">
        <f t="shared" ca="1" si="0"/>
        <v>7740000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609</v>
      </c>
      <c r="G24" s="41">
        <f ca="1">IF(ISERROR(OFFSET('HARGA SATUAN'!$I$6,MATCH(C24,'HARGA SATUAN'!$C$7:$C$1492,0),0)),"",OFFSET('HARGA SATUAN'!$I$6,MATCH(C24,'HARGA SATUAN'!$C$7:$C$1492,0),0))</f>
        <v>14200</v>
      </c>
      <c r="H24" s="42">
        <f t="shared" ca="1" si="1"/>
        <v>8647800</v>
      </c>
      <c r="I24" s="42">
        <f t="shared" ca="1" si="2"/>
        <v>0</v>
      </c>
      <c r="J24" s="42">
        <f t="shared" ca="1" si="3"/>
        <v>0</v>
      </c>
      <c r="K24" s="43">
        <f t="shared" ca="1" si="0"/>
        <v>8647800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153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8338500</v>
      </c>
      <c r="I25" s="42">
        <f t="shared" ca="1" si="2"/>
        <v>0</v>
      </c>
      <c r="J25" s="42">
        <f t="shared" ca="1" si="3"/>
        <v>0</v>
      </c>
      <c r="K25" s="43">
        <f t="shared" ca="1" si="0"/>
        <v>8338500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Kabel NYY 1 x 70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92</v>
      </c>
      <c r="G26" s="41">
        <f ca="1">IF(ISERROR(OFFSET('HARGA SATUAN'!$I$6,MATCH(C26,'HARGA SATUAN'!$C$7:$C$1492,0),0)),"",OFFSET('HARGA SATUAN'!$I$6,MATCH(C26,'HARGA SATUAN'!$C$7:$C$1492,0),0))</f>
        <v>94700</v>
      </c>
      <c r="H26" s="42">
        <f t="shared" ca="1" si="1"/>
        <v>8712400</v>
      </c>
      <c r="I26" s="42">
        <f t="shared" ca="1" si="2"/>
        <v>0</v>
      </c>
      <c r="J26" s="42">
        <f t="shared" ca="1" si="3"/>
        <v>0</v>
      </c>
      <c r="K26" s="43">
        <f t="shared" ca="1" si="0"/>
        <v>8712400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2" t="s">
        <v>980</v>
      </c>
      <c r="D168" s="532"/>
      <c r="E168" s="532"/>
      <c r="F168" s="532"/>
      <c r="G168" s="77" t="s">
        <v>9</v>
      </c>
      <c r="H168" s="55">
        <f ca="1">SUM(H14:H167)</f>
        <v>142630350</v>
      </c>
      <c r="I168" s="55">
        <f ca="1">SUM(I14:I167)</f>
        <v>0</v>
      </c>
      <c r="J168" s="55">
        <f ca="1">SUM(J14:J167)</f>
        <v>0</v>
      </c>
      <c r="K168" s="55">
        <f ca="1">SUM(K14:K167)</f>
        <v>142630350</v>
      </c>
      <c r="L168" s="44"/>
      <c r="R168" s="99"/>
      <c r="S168" s="99"/>
      <c r="T168" s="99"/>
    </row>
    <row r="169" spans="1:20" s="36" customFormat="1">
      <c r="A169" s="30"/>
      <c r="B169" s="56"/>
      <c r="C169" s="533" t="s">
        <v>452</v>
      </c>
      <c r="D169" s="533"/>
      <c r="E169" s="533"/>
      <c r="F169" s="533"/>
      <c r="G169" s="59" t="s">
        <v>9</v>
      </c>
      <c r="H169" s="60">
        <f ca="1">H168*0.1</f>
        <v>14263035</v>
      </c>
      <c r="I169" s="60">
        <f ca="1">I168*0.1</f>
        <v>0</v>
      </c>
      <c r="J169" s="60">
        <f ca="1">J168*0.1</f>
        <v>0</v>
      </c>
      <c r="K169" s="60">
        <f ca="1">K168*0.1</f>
        <v>14263035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2" t="s">
        <v>453</v>
      </c>
      <c r="D170" s="522"/>
      <c r="E170" s="522"/>
      <c r="F170" s="522"/>
      <c r="G170" s="61" t="s">
        <v>9</v>
      </c>
      <c r="H170" s="78">
        <f ca="1">SUM(H168:H169)</f>
        <v>156893385</v>
      </c>
      <c r="I170" s="78">
        <f ca="1">SUM(I168:I169)</f>
        <v>0</v>
      </c>
      <c r="J170" s="61">
        <f ca="1">SUM(J168:J169)</f>
        <v>0</v>
      </c>
      <c r="K170" s="61">
        <f ca="1">SUM(K168:K169)</f>
        <v>156893385</v>
      </c>
      <c r="L170" s="44"/>
      <c r="R170" s="99"/>
      <c r="S170" s="99"/>
      <c r="T170" s="99"/>
    </row>
    <row r="171" spans="1:20" s="36" customFormat="1">
      <c r="A171" s="30"/>
      <c r="B171" s="525" t="e">
        <f ca="1">"Terbilang : ( "&amp;L172&amp;" Rupiah )"</f>
        <v>#NAME?</v>
      </c>
      <c r="C171" s="526"/>
      <c r="D171" s="526"/>
      <c r="E171" s="526"/>
      <c r="F171" s="526"/>
      <c r="G171" s="526"/>
      <c r="H171" s="526"/>
      <c r="I171" s="526"/>
      <c r="J171" s="526"/>
      <c r="K171" s="527"/>
      <c r="L171" s="44"/>
      <c r="R171" s="58"/>
      <c r="S171" s="58"/>
      <c r="T171" s="58"/>
    </row>
    <row r="172" spans="1:20" s="36" customFormat="1">
      <c r="A172" s="30"/>
      <c r="B172" s="528"/>
      <c r="C172" s="529"/>
      <c r="D172" s="529"/>
      <c r="E172" s="529"/>
      <c r="F172" s="529"/>
      <c r="G172" s="529"/>
      <c r="H172" s="529"/>
      <c r="I172" s="529"/>
      <c r="J172" s="529"/>
      <c r="K172" s="530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3"/>
      <c r="I175" s="523"/>
      <c r="J175" s="524"/>
      <c r="K175" s="52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3"/>
      <c r="I176" s="523"/>
      <c r="J176" s="524"/>
      <c r="K176" s="52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3"/>
      <c r="I177" s="523"/>
      <c r="J177" s="524"/>
      <c r="K177" s="52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3"/>
      <c r="I182" s="523"/>
      <c r="J182" s="524"/>
      <c r="K182" s="52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SUMIFS(RAB!$F$14:$F$194,RAB!$C$14:$C$194,C224)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SUMIFS(RAB!$F$14:$F$194,RAB!$C$14:$C$194,C225)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SUMIFS(RAB!$F$14:$F$194,RAB!$C$14:$C$194,C226)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SUMIFS(RAB!$F$14:$F$194,RAB!$C$14:$C$194,C227)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SUMIFS(RAB!$F$14:$F$194,RAB!$C$14:$C$194,C228)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SUMIFS(RAB!$F$14:$F$194,RAB!$C$14:$C$194,C229)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SUMIFS(RAB!$F$14:$F$194,RAB!$C$14:$C$194,C230)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SUMIFS(RAB!$F$14:$F$194,RAB!$C$14:$C$194,C231)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SUMIFS(RAB!$F$14:$F$194,RAB!$C$14:$C$194,C232)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SUMIFS(RAB!$F$14:$F$194,RAB!$C$14:$C$194,C233)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SUMIFS(RAB!$F$14:$F$194,RAB!$C$14:$C$194,C234)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SUMIFS(RAB!$F$14:$F$194,RAB!$C$14:$C$194,C235)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SUMIFS(RAB!$F$14:$F$194,RAB!$C$14:$C$194,C236)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SUMIFS(RAB!$F$14:$F$194,RAB!$C$14:$C$194,C237)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SUMIFS(RAB!$F$14:$F$194,RAB!$C$14:$C$194,C238)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SUMIFS(RAB!$F$14:$F$194,RAB!$C$14:$C$194,C239)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SUMIFS(RAB!$F$14:$F$194,RAB!$C$14:$C$194,C240)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SUMIFS(RAB!$F$14:$F$194,RAB!$C$14:$C$194,C241)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SUMIFS(RAB!$F$14:$F$194,RAB!$C$14:$C$194,C242)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SUMIFS(RAB!$F$14:$F$194,RAB!$C$14:$C$194,C243)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SUMIFS(RAB!$F$14:$F$194,RAB!$C$14:$C$194,C244)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SUMIFS(RAB!$F$14:$F$194,RAB!$C$14:$C$194,C245)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SUMIFS(RAB!$F$14:$F$194,RAB!$C$14:$C$194,C246)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SUMIFS(RAB!$F$14:$F$194,RAB!$C$14:$C$194,C247)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SUMIFS(RAB!$F$14:$F$194,RAB!$C$14:$C$194,C248)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SUMIFS(RAB!$F$14:$F$194,RAB!$C$14:$C$194,C249)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SUMIFS(RAB!$F$14:$F$194,RAB!$C$14:$C$194,C250)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SUMIFS(RAB!$F$14:$F$194,RAB!$C$14:$C$194,C251)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SUMIFS(RAB!$F$14:$F$194,RAB!$C$14:$C$194,C252)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SUMIFS(RAB!$F$14:$F$194,RAB!$C$14:$C$194,C253)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SUMIFS(RAB!$F$14:$F$194,RAB!$C$14:$C$194,C254)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SUMIFS(RAB!$F$14:$F$194,RAB!$C$14:$C$194,C255)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SUMIFS(RAB!$F$14:$F$194,RAB!$C$14:$C$194,C256)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SUMIFS(RAB!$F$14:$F$194,RAB!$C$14:$C$194,C257)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SUMIFS(RAB!$F$14:$F$194,RAB!$C$14:$C$194,C258)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SUMIFS(RAB!$F$14:$F$194,RAB!$C$14:$C$194,C259)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SUMIFS(RAB!$F$14:$F$194,RAB!$C$14:$C$194,C260)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SUMIFS(RAB!$F$14:$F$194,RAB!$C$14:$C$194,C261)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SUMIFS(RAB!$F$14:$F$194,RAB!$C$14:$C$194,C262)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SUMIFS(RAB!$F$14:$F$194,RAB!$C$14:$C$194,C263)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SUMIFS(RAB!$F$14:$F$194,RAB!$C$14:$C$194,C264)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SUMIFS(RAB!$F$14:$F$194,RAB!$C$14:$C$194,C265)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SUMIFS(RAB!$F$14:$F$194,RAB!$C$14:$C$194,C266)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SUMIFS(RAB!$F$14:$F$194,RAB!$C$14:$C$194,C267)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SUMIFS(RAB!$F$14:$F$194,RAB!$C$14:$C$194,C268)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SUMIFS(RAB!$F$14:$F$194,RAB!$C$14:$C$194,C269)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SUMIFS(RAB!$F$14:$F$194,RAB!$C$14:$C$194,C270)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SUMIFS(RAB!$F$14:$F$194,RAB!$C$14:$C$194,C271)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SUMIFS(RAB!$F$14:$F$194,RAB!$C$14:$C$194,C272)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SUMIFS(RAB!$F$14:$F$194,RAB!$C$14:$C$194,C273)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SUMIFS(RAB!$F$14:$F$194,RAB!$C$14:$C$194,C274)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SUMIFS(RAB!$F$14:$F$194,RAB!$C$14:$C$194,C275)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SUMIFS(RAB!$F$14:$F$194,RAB!$C$14:$C$194,C276)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SUMIFS(RAB!$F$14:$F$194,RAB!$C$14:$C$194,C277)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SUMIFS(RAB!$F$14:$F$194,RAB!$C$14:$C$194,C278)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SUMIFS(RAB!$F$14:$F$194,RAB!$C$14:$C$194,C279)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SUMIFS(RAB!$F$14:$F$194,RAB!$C$14:$C$194,C280)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SUMIFS(RAB!$F$14:$F$194,RAB!$C$14:$C$194,C281)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SUMIFS(RAB!$F$14:$F$194,RAB!$C$14:$C$194,C282)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SUMIFS(RAB!$F$14:$F$194,RAB!$C$14:$C$194,C283)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SUMIFS(RAB!$F$14:$F$194,RAB!$C$14:$C$194,C284)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SUMIFS(RAB!$F$14:$F$194,RAB!$C$14:$C$194,C285)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SUMIFS(RAB!$F$14:$F$194,RAB!$C$14:$C$194,C286)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SUMIFS(RAB!$F$14:$F$194,RAB!$C$14:$C$194,C287)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SUMIFS(RAB!$F$14:$F$194,RAB!$C$14:$C$194,C288)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SUMIFS(RAB!$F$14:$F$194,RAB!$C$14:$C$194,C289)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SUMIFS(RAB!$F$14:$F$194,RAB!$C$14:$C$194,C290)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SUMIFS(RAB!$F$14:$F$194,RAB!$C$14:$C$194,C291)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SUMIFS(RAB!$F$14:$F$194,RAB!$C$14:$C$194,C292)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SUMIFS(RAB!$F$14:$F$194,RAB!$C$14:$C$194,C293)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SUMIFS(RAB!$F$14:$F$194,RAB!$C$14:$C$194,C294)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SUMIFS(RAB!$F$14:$F$194,RAB!$C$14:$C$194,C295)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SUMIFS(RAB!$F$14:$F$194,RAB!$C$14:$C$194,C296)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SUMIFS(RAB!$F$14:$F$194,RAB!$C$14:$C$194,C297)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SUMIFS(RAB!$F$14:$F$194,RAB!$C$14:$C$194,C298)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SUMIFS(RAB!$F$14:$F$194,RAB!$C$14:$C$194,C299)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SUMIFS(RAB!$F$14:$F$194,RAB!$C$14:$C$194,C300)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SUMIFS(RAB!$F$14:$F$194,RAB!$C$14:$C$194,C301)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SUMIFS(RAB!$F$14:$F$194,RAB!$C$14:$C$194,C302)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SUMIFS(RAB!$F$14:$F$194,RAB!$C$14:$C$194,C303)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SUMIFS(RAB!$F$14:$F$194,RAB!$C$14:$C$194,C304)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SUMIFS(RAB!$F$14:$F$194,RAB!$C$14:$C$194,C305)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SUMIFS(RAB!$F$14:$F$194,RAB!$C$14:$C$194,C306)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SUMIFS(RAB!$F$14:$F$194,RAB!$C$14:$C$194,C307)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SUMIFS(RAB!$F$14:$F$194,RAB!$C$14:$C$194,C308)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SUMIFS(RAB!$F$14:$F$194,RAB!$C$14:$C$194,C309)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SUMIFS(RAB!$F$14:$F$194,RAB!$C$14:$C$194,C310)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SUMIFS(RAB!$F$14:$F$194,RAB!$C$14:$C$194,C311)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SUMIFS(RAB!$F$14:$F$194,RAB!$C$14:$C$194,C312)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SUMIFS(RAB!$F$14:$F$194,RAB!$C$14:$C$194,C313)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SUMIFS(RAB!$F$14:$F$194,RAB!$C$14:$C$194,C314)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SUMIFS(RAB!$F$14:$F$194,RAB!$C$14:$C$194,C315)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SUMIFS(RAB!$F$14:$F$194,RAB!$C$14:$C$194,C316)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SUMIFS(RAB!$F$14:$F$194,RAB!$C$14:$C$194,C317)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SUMIFS(RAB!$F$14:$F$194,RAB!$C$14:$C$194,C318)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SUMIFS(RAB!$F$14:$F$194,RAB!$C$14:$C$194,C319)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SUMIFS(RAB!$F$14:$F$194,RAB!$C$14:$C$194,C320)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SUMIFS(RAB!$F$14:$F$194,RAB!$C$14:$C$194,C321)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SUMIFS(RAB!$F$14:$F$194,RAB!$C$14:$C$194,C322)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SUMIFS(RAB!$F$14:$F$194,RAB!$C$14:$C$194,C323)</f>
        <v>1</v>
      </c>
      <c r="E323" s="24">
        <f t="shared" ca="1" si="22"/>
        <v>1</v>
      </c>
      <c r="F323" s="24">
        <f ca="1">IF(D323=0,0,SUM($E$223:E323))</f>
        <v>4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SUMIFS(RAB!$F$14:$F$194,RAB!$C$14:$C$194,C324)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SUMIFS(RAB!$F$14:$F$194,RAB!$C$14:$C$194,C325)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SUMIFS(RAB!$F$14:$F$194,RAB!$C$14:$C$194,C326)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SUMIFS(RAB!$F$14:$F$194,RAB!$C$14:$C$194,C327)</f>
        <v>3</v>
      </c>
      <c r="E327" s="24">
        <f t="shared" ca="1" si="22"/>
        <v>1</v>
      </c>
      <c r="F327" s="24">
        <f ca="1">IF(D327=0,0,SUM($E$223:E327))</f>
        <v>5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SUMIFS(RAB!$F$14:$F$194,RAB!$C$14:$C$194,C328)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SUMIFS(RAB!$F$14:$F$194,RAB!$C$14:$C$194,C329)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SUMIFS(RAB!$F$14:$F$194,RAB!$C$14:$C$194,C330)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SUMIFS(RAB!$F$14:$F$194,RAB!$C$14:$C$194,C331)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SUMIFS(RAB!$F$14:$F$194,RAB!$C$14:$C$194,C332)</f>
        <v>3</v>
      </c>
      <c r="E332" s="24">
        <f t="shared" ca="1" si="22"/>
        <v>1</v>
      </c>
      <c r="F332" s="24">
        <f ca="1">IF(D332=0,0,SUM($E$223:E332))</f>
        <v>6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SUMIFS(RAB!$F$14:$F$194,RAB!$C$14:$C$194,C333)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SUMIFS(RAB!$F$14:$F$194,RAB!$C$14:$C$194,C334)</f>
        <v>7</v>
      </c>
      <c r="E334" s="24">
        <f t="shared" ca="1" si="22"/>
        <v>1</v>
      </c>
      <c r="F334" s="24">
        <f ca="1">IF(D334=0,0,SUM($E$223:E334))</f>
        <v>7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SUMIFS(RAB!$F$14:$F$194,RAB!$C$14:$C$194,C335)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SUMIFS(RAB!$F$14:$F$194,RAB!$C$14:$C$194,C336)</f>
        <v>18</v>
      </c>
      <c r="E336" s="24">
        <f t="shared" ca="1" si="22"/>
        <v>1</v>
      </c>
      <c r="F336" s="24">
        <f ca="1">IF(D336=0,0,SUM($E$223:E336))</f>
        <v>8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SUMIFS(RAB!$F$14:$F$194,RAB!$C$14:$C$194,C337)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SUMIFS(RAB!$F$14:$F$194,RAB!$C$14:$C$194,C338)</f>
        <v>609</v>
      </c>
      <c r="E338" s="24">
        <f t="shared" ca="1" si="22"/>
        <v>1</v>
      </c>
      <c r="F338" s="24">
        <f ca="1">IF(D338=0,0,SUM($E$223:E338))</f>
        <v>9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SUMIFS(RAB!$F$14:$F$194,RAB!$C$14:$C$194,C339)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SUMIFS(RAB!$F$14:$F$194,RAB!$C$14:$C$194,C340)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SUMIFS(RAB!$F$14:$F$194,RAB!$C$14:$C$194,C341)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SUMIFS(RAB!$F$14:$F$194,RAB!$C$14:$C$194,C342)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SUMIFS(RAB!$F$14:$F$194,RAB!$C$14:$C$194,C343)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SUMIFS(RAB!$F$14:$F$194,RAB!$C$14:$C$194,C344)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SUMIFS(RAB!$F$14:$F$194,RAB!$C$14:$C$194,C345)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SUMIFS(RAB!$F$14:$F$194,RAB!$C$14:$C$194,C346)</f>
        <v>153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SUMIFS(RAB!$F$14:$F$194,RAB!$C$14:$C$194,C347)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SUMIFS(RAB!$F$14:$F$194,RAB!$C$14:$C$194,C348)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SUMIFS(RAB!$F$14:$F$194,RAB!$C$14:$C$194,C349)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SUMIFS(RAB!$F$14:$F$194,RAB!$C$14:$C$194,C350)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SUMIFS(RAB!$F$14:$F$194,RAB!$C$14:$C$194,C351)</f>
        <v>92</v>
      </c>
      <c r="E351" s="24">
        <f t="shared" ca="1" si="22"/>
        <v>1</v>
      </c>
      <c r="F351" s="24">
        <f ca="1">IF(D351=0,0,SUM($E$223:E351))</f>
        <v>11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SUMIFS(RAB!$F$14:$F$194,RAB!$C$14:$C$194,C352)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SUMIFS(RAB!$F$14:$F$194,RAB!$C$14:$C$194,C353)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SUMIFS(RAB!$F$14:$F$194,RAB!$C$14:$C$194,C354)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SUMIFS(RAB!$F$14:$F$194,RAB!$C$14:$C$194,C355)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SUMIFS(RAB!$F$14:$F$194,RAB!$C$14:$C$194,C356)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SUMIFS(RAB!$F$14:$F$194,RAB!$C$14:$C$194,C357)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SUMIFS(RAB!$F$14:$F$194,RAB!$C$14:$C$194,C358)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SUMIFS(RAB!$F$14:$F$194,RAB!$C$14:$C$194,C359)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SUMIFS(RAB!$F$14:$F$194,RAB!$C$14:$C$194,C360)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SUMIFS(RAB!$F$14:$F$194,RAB!$C$14:$C$194,C361)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SUMIFS(RAB!$F$14:$F$194,RAB!$C$14:$C$194,C362)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SUMIFS(RAB!$F$14:$F$194,RAB!$C$14:$C$194,C363)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SUMIFS(RAB!$F$14:$F$194,RAB!$C$14:$C$194,C364)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SUMIFS(RAB!$F$14:$F$194,RAB!$C$14:$C$194,C365)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SUMIFS(RAB!$F$14:$F$194,RAB!$C$14:$C$194,C366)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SUMIFS(RAB!$F$14:$F$194,RAB!$C$14:$C$194,C367)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SUMIFS(RAB!$F$14:$F$194,RAB!$C$14:$C$194,C368)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SUMIFS(RAB!$F$14:$F$194,RAB!$C$14:$C$194,C369)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SUMIFS(RAB!$F$14:$F$194,RAB!$C$14:$C$194,C370)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SUMIFS(RAB!$F$14:$F$194,RAB!$C$14:$C$194,C371)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SUMIFS(RAB!$F$14:$F$194,RAB!$C$14:$C$194,C372)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SUMIFS(RAB!$F$14:$F$194,RAB!$C$14:$C$194,C373)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2" priority="5" operator="equal">
      <formula>0</formula>
    </cfRule>
  </conditionalFormatting>
  <conditionalFormatting sqref="C16:C165">
    <cfRule type="cellIs" dxfId="51" priority="4" stopIfTrue="1" operator="equal">
      <formula>0</formula>
    </cfRule>
  </conditionalFormatting>
  <conditionalFormatting sqref="C16:E165">
    <cfRule type="cellIs" dxfId="50" priority="1" operator="equal">
      <formula>0</formula>
    </cfRule>
  </conditionalFormatting>
  <conditionalFormatting sqref="D224:F373">
    <cfRule type="cellIs" dxfId="49" priority="8" operator="equal">
      <formula>0</formula>
    </cfRule>
  </conditionalFormatting>
  <conditionalFormatting sqref="E1:E3 G1:G115 E6:E15 H12:I12 N13 F14:F15 H14:K115 E166:K166 G166:G223 E167:F167 H167:K167">
    <cfRule type="cellIs" dxfId="48" priority="43" stopIfTrue="1" operator="equal">
      <formula>0</formula>
    </cfRule>
  </conditionalFormatting>
  <conditionalFormatting sqref="E171:E65536">
    <cfRule type="cellIs" dxfId="47" priority="9" stopIfTrue="1" operator="equal">
      <formula>0</formula>
    </cfRule>
  </conditionalFormatting>
  <conditionalFormatting sqref="G224">
    <cfRule type="cellIs" dxfId="46" priority="10" operator="equal">
      <formula>0</formula>
    </cfRule>
  </conditionalFormatting>
  <conditionalFormatting sqref="G225:G65536">
    <cfRule type="cellIs" dxfId="45" priority="14" stopIfTrue="1" operator="equal">
      <formula>0</formula>
    </cfRule>
  </conditionalFormatting>
  <conditionalFormatting sqref="R14:T166 G116:K165">
    <cfRule type="cellIs" dxfId="4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6"/>
    </row>
    <row r="4" spans="4:4" ht="57" customHeight="1">
      <c r="D4" s="366">
        <v>3</v>
      </c>
    </row>
    <row r="5" spans="4:4" ht="57" customHeight="1">
      <c r="D5" s="36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842" activePane="bottomRight" state="frozen"/>
      <selection activeCell="D209" sqref="D209"/>
      <selection pane="topRight" activeCell="D209" sqref="D209"/>
      <selection pane="bottomLeft" activeCell="D209" sqref="D209"/>
      <selection pane="bottomRight" activeCell="C864" sqref="C86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0" t="s">
        <v>31</v>
      </c>
      <c r="C2" s="55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1" t="s">
        <v>13</v>
      </c>
      <c r="C4" s="552" t="s">
        <v>982</v>
      </c>
      <c r="D4" s="552" t="s">
        <v>32</v>
      </c>
      <c r="E4" s="551" t="s">
        <v>33</v>
      </c>
      <c r="F4" s="108" t="s">
        <v>1574</v>
      </c>
      <c r="G4" s="108" t="s">
        <v>1573</v>
      </c>
      <c r="H4" s="549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1"/>
      <c r="C5" s="552"/>
      <c r="D5" s="552"/>
      <c r="E5" s="551"/>
      <c r="F5" s="93"/>
      <c r="G5" s="93"/>
      <c r="H5" s="549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1528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1529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1530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1531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1532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1533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1534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1535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1536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1537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1538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1539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1540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1541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1542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1543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1544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1545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1546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1547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1548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1549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1550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1551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1552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1553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1554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1555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1556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1557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1558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1559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1560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1561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1562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1563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1564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1565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1566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1567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1568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9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9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1569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1570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1571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1572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90">
        <v>2740</v>
      </c>
      <c r="G1433" s="39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1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1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1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1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1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3" priority="138" operator="equal">
      <formula>0</formula>
    </cfRule>
  </conditionalFormatting>
  <conditionalFormatting sqref="B8:C135">
    <cfRule type="cellIs" dxfId="42" priority="51" operator="equal">
      <formula>0</formula>
    </cfRule>
  </conditionalFormatting>
  <conditionalFormatting sqref="B150:G1493">
    <cfRule type="cellIs" dxfId="41" priority="1" operator="equal">
      <formula>0</formula>
    </cfRule>
  </conditionalFormatting>
  <conditionalFormatting sqref="C143:G149">
    <cfRule type="cellIs" dxfId="40" priority="5" operator="equal">
      <formula>0</formula>
    </cfRule>
  </conditionalFormatting>
  <conditionalFormatting sqref="D9:G142">
    <cfRule type="cellIs" dxfId="39" priority="11" operator="equal">
      <formula>0</formula>
    </cfRule>
  </conditionalFormatting>
  <conditionalFormatting sqref="D1:IV5 A1:C7 D6:K6 H1455:IV1457 H1458:XFD1485 H1486:H1493 I1486:XFD1494 A1494:H1494 A1495:XFD65536">
    <cfRule type="cellIs" dxfId="38" priority="163" operator="equal">
      <formula>0</formula>
    </cfRule>
  </conditionalFormatting>
  <conditionalFormatting sqref="D7:IV8 C136:C142 B136:B149">
    <cfRule type="cellIs" dxfId="37" priority="62" operator="equal">
      <formula>0</formula>
    </cfRule>
  </conditionalFormatting>
  <conditionalFormatting sqref="H9:H1418">
    <cfRule type="cellIs" dxfId="36" priority="129" operator="equal">
      <formula>0</formula>
    </cfRule>
  </conditionalFormatting>
  <conditionalFormatting sqref="H1419:I1454">
    <cfRule type="cellIs" dxfId="35" priority="128" operator="equal">
      <formula>0</formula>
    </cfRule>
  </conditionalFormatting>
  <conditionalFormatting sqref="I108:I1418">
    <cfRule type="cellIs" dxfId="34" priority="125" operator="equal">
      <formula>0</formula>
    </cfRule>
  </conditionalFormatting>
  <conditionalFormatting sqref="J108:IV1454">
    <cfRule type="cellIs" dxfId="33" priority="139" operator="equal">
      <formula>0</formula>
    </cfRule>
  </conditionalFormatting>
  <conditionalFormatting sqref="M6:IV6">
    <cfRule type="cellIs" dxfId="3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P27"/>
  <sheetViews>
    <sheetView topLeftCell="A19" zoomScale="55" zoomScaleNormal="55" zoomScaleSheetLayoutView="85" workbookViewId="0">
      <selection activeCell="D9" sqref="D9:E9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57" t="s">
        <v>1425</v>
      </c>
      <c r="C2" s="557"/>
      <c r="D2" s="557"/>
      <c r="E2" s="557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562" t="s">
        <v>1499</v>
      </c>
      <c r="C4" s="563"/>
      <c r="D4" s="563"/>
      <c r="E4" s="564"/>
      <c r="F4" s="348"/>
      <c r="G4" s="348"/>
      <c r="H4" s="349"/>
      <c r="I4" s="589" t="s">
        <v>1500</v>
      </c>
      <c r="J4" s="590"/>
      <c r="K4" s="590"/>
      <c r="L4" s="591"/>
    </row>
    <row r="5" spans="1:16" ht="34.5" customHeight="1">
      <c r="A5" s="193"/>
      <c r="B5" s="351" t="s">
        <v>1349</v>
      </c>
      <c r="C5" s="200" t="s">
        <v>9</v>
      </c>
      <c r="D5" s="558" t="str">
        <f>DATA!D14</f>
        <v>MR DIY KEMBANGARUM</v>
      </c>
      <c r="E5" s="559"/>
      <c r="F5" s="197"/>
      <c r="G5" s="197"/>
      <c r="I5" s="352" t="s">
        <v>1349</v>
      </c>
      <c r="J5" s="200" t="s">
        <v>9</v>
      </c>
      <c r="K5" s="592" t="str">
        <f>D5</f>
        <v>MR DIY KEMBANGARUM</v>
      </c>
      <c r="L5" s="593"/>
    </row>
    <row r="6" spans="1:16" ht="31.5" customHeight="1">
      <c r="A6" s="193"/>
      <c r="B6" s="351" t="s">
        <v>1496</v>
      </c>
      <c r="C6" s="200" t="s">
        <v>9</v>
      </c>
      <c r="D6" s="567">
        <f>DATA!D17*1000</f>
        <v>0</v>
      </c>
      <c r="E6" s="568"/>
      <c r="F6" s="197"/>
      <c r="G6" s="197"/>
      <c r="I6" s="352" t="s">
        <v>1497</v>
      </c>
      <c r="J6" s="200" t="s">
        <v>9</v>
      </c>
      <c r="K6" s="594">
        <f>DATA!D20*1000</f>
        <v>53000</v>
      </c>
      <c r="L6" s="595"/>
    </row>
    <row r="7" spans="1:16" ht="30.75" customHeight="1">
      <c r="A7" s="193"/>
      <c r="B7" s="351" t="s">
        <v>1411</v>
      </c>
      <c r="C7" s="200" t="s">
        <v>9</v>
      </c>
      <c r="D7" s="565">
        <f>DATA!D18</f>
        <v>1</v>
      </c>
      <c r="E7" s="566"/>
      <c r="F7" s="350" t="s">
        <v>1424</v>
      </c>
      <c r="I7" s="352" t="s">
        <v>1411</v>
      </c>
      <c r="J7" s="200" t="s">
        <v>9</v>
      </c>
      <c r="K7" s="596">
        <f>DATA!D21</f>
        <v>3</v>
      </c>
      <c r="L7" s="597"/>
    </row>
    <row r="8" spans="1:16" ht="51" customHeight="1">
      <c r="A8" s="193"/>
      <c r="B8" s="351" t="s">
        <v>1412</v>
      </c>
      <c r="C8" s="200" t="s">
        <v>9</v>
      </c>
      <c r="D8" s="565">
        <f>DATA!D19</f>
        <v>220</v>
      </c>
      <c r="E8" s="566"/>
      <c r="F8" s="350" t="s">
        <v>1424</v>
      </c>
      <c r="G8" s="345">
        <v>220</v>
      </c>
      <c r="I8" s="352" t="s">
        <v>1412</v>
      </c>
      <c r="J8" s="200" t="s">
        <v>9</v>
      </c>
      <c r="K8" s="596">
        <f>DATA!D22</f>
        <v>380</v>
      </c>
      <c r="L8" s="597"/>
      <c r="P8" s="719" t="s">
        <v>1666</v>
      </c>
    </row>
    <row r="9" spans="1:16" ht="30" customHeight="1" thickBot="1">
      <c r="A9" s="193"/>
      <c r="B9" s="357" t="s">
        <v>1508</v>
      </c>
      <c r="C9" s="347" t="s">
        <v>9</v>
      </c>
      <c r="D9" s="560">
        <f>IF(D7=1,D6/(380/3^0.5),(D6/(380*3^0.5)))</f>
        <v>0</v>
      </c>
      <c r="E9" s="561"/>
      <c r="F9" s="196"/>
      <c r="G9" s="346">
        <v>380</v>
      </c>
      <c r="I9" s="358" t="s">
        <v>1508</v>
      </c>
      <c r="J9" s="347" t="s">
        <v>9</v>
      </c>
      <c r="K9" s="600">
        <f>IF(K7=1,K6/(380/3^0.5),(K6/(380*3^0.5)))</f>
        <v>80.525169123816227</v>
      </c>
      <c r="L9" s="601"/>
    </row>
    <row r="10" spans="1:16" ht="24.75" customHeight="1">
      <c r="B10" s="359"/>
      <c r="C10" s="356"/>
      <c r="D10" s="360"/>
      <c r="E10" s="360"/>
      <c r="F10" s="196"/>
      <c r="G10" s="346"/>
      <c r="I10" s="359"/>
      <c r="J10" s="356"/>
      <c r="K10" s="360"/>
      <c r="L10" s="360"/>
    </row>
    <row r="11" spans="1:16" ht="16.5" thickBot="1">
      <c r="B11" s="353" t="s">
        <v>1509</v>
      </c>
      <c r="I11" s="353" t="s">
        <v>1503</v>
      </c>
    </row>
    <row r="12" spans="1:16" ht="34.5" customHeight="1">
      <c r="A12" s="193"/>
      <c r="B12" s="381" t="s">
        <v>1501</v>
      </c>
      <c r="C12" s="375" t="s">
        <v>9</v>
      </c>
      <c r="D12" s="569" t="s">
        <v>1666</v>
      </c>
      <c r="E12" s="570"/>
      <c r="F12" s="197"/>
      <c r="G12" s="197"/>
      <c r="I12" s="374" t="s">
        <v>1501</v>
      </c>
      <c r="J12" s="375" t="s">
        <v>9</v>
      </c>
      <c r="K12" s="602" t="s">
        <v>1666</v>
      </c>
      <c r="L12" s="603"/>
    </row>
    <row r="13" spans="1:16" ht="31.5" customHeight="1">
      <c r="A13" s="193"/>
      <c r="B13" s="382" t="s">
        <v>1350</v>
      </c>
      <c r="C13" s="362" t="s">
        <v>9</v>
      </c>
      <c r="D13" s="573" t="s">
        <v>1633</v>
      </c>
      <c r="E13" s="574"/>
      <c r="F13" s="197"/>
      <c r="G13" s="197"/>
      <c r="I13" s="376" t="s">
        <v>1350</v>
      </c>
      <c r="J13" s="362" t="s">
        <v>9</v>
      </c>
      <c r="K13" s="598" t="s">
        <v>1633</v>
      </c>
      <c r="L13" s="599"/>
    </row>
    <row r="14" spans="1:16" ht="30.75" customHeight="1">
      <c r="A14" s="193"/>
      <c r="B14" s="382" t="s">
        <v>1502</v>
      </c>
      <c r="C14" s="362" t="s">
        <v>9</v>
      </c>
      <c r="D14" s="581">
        <v>50</v>
      </c>
      <c r="E14" s="582"/>
      <c r="F14" s="350" t="s">
        <v>1424</v>
      </c>
      <c r="G14" s="354">
        <v>50</v>
      </c>
      <c r="I14" s="376" t="s">
        <v>1502</v>
      </c>
      <c r="J14" s="362" t="s">
        <v>9</v>
      </c>
      <c r="K14" s="583">
        <v>160</v>
      </c>
      <c r="L14" s="584"/>
    </row>
    <row r="15" spans="1:16" ht="57" customHeight="1">
      <c r="A15" s="193"/>
      <c r="B15" s="382" t="s">
        <v>1411</v>
      </c>
      <c r="C15" s="362" t="s">
        <v>9</v>
      </c>
      <c r="D15" s="368">
        <v>3</v>
      </c>
      <c r="E15" s="377"/>
      <c r="F15" s="350" t="s">
        <v>1424</v>
      </c>
      <c r="G15" s="354">
        <v>100</v>
      </c>
      <c r="I15" s="376" t="s">
        <v>1411</v>
      </c>
      <c r="J15" s="362" t="s">
        <v>9</v>
      </c>
      <c r="K15" s="368">
        <v>3</v>
      </c>
      <c r="L15" s="377"/>
    </row>
    <row r="16" spans="1:16" ht="44.25" customHeight="1">
      <c r="A16" s="193"/>
      <c r="B16" s="382" t="s">
        <v>1512</v>
      </c>
      <c r="C16" s="362"/>
      <c r="D16" s="585">
        <v>54</v>
      </c>
      <c r="E16" s="586"/>
      <c r="F16" s="350"/>
      <c r="G16" s="354">
        <v>160</v>
      </c>
      <c r="I16" s="376" t="s">
        <v>1504</v>
      </c>
      <c r="J16" s="362" t="s">
        <v>9</v>
      </c>
      <c r="K16" s="587">
        <f>K9</f>
        <v>80.525169123816227</v>
      </c>
      <c r="L16" s="588"/>
    </row>
    <row r="17" spans="1:12" ht="34.5" customHeight="1">
      <c r="A17" s="193"/>
      <c r="B17" s="382" t="s">
        <v>1505</v>
      </c>
      <c r="C17" s="362" t="s">
        <v>9</v>
      </c>
      <c r="D17" s="575">
        <f>IF(D15=1,D14/(20/3^0.5),(D14/(20*3^0.5)))</f>
        <v>1.4433756729740645</v>
      </c>
      <c r="E17" s="576"/>
      <c r="F17" s="350" t="s">
        <v>1424</v>
      </c>
      <c r="G17" s="355">
        <v>200</v>
      </c>
      <c r="I17" s="376" t="s">
        <v>1505</v>
      </c>
      <c r="J17" s="362" t="s">
        <v>9</v>
      </c>
      <c r="K17" s="579">
        <f>IF(K15=1,K14/(20/3^0.5),(K14/(20*3^0.5)))</f>
        <v>4.6188021535170067</v>
      </c>
      <c r="L17" s="580"/>
    </row>
    <row r="18" spans="1:12" ht="34.5" customHeight="1">
      <c r="A18" s="193"/>
      <c r="B18" s="382" t="s">
        <v>1506</v>
      </c>
      <c r="C18" s="362" t="s">
        <v>9</v>
      </c>
      <c r="D18" s="575">
        <f>IF(D15=1,D14/(380/3^0.5),(D14/(380*3^0.5)))*1000</f>
        <v>75.96714068284551</v>
      </c>
      <c r="E18" s="576"/>
      <c r="F18" s="350" t="s">
        <v>1424</v>
      </c>
      <c r="G18" s="355">
        <v>250</v>
      </c>
      <c r="I18" s="376" t="s">
        <v>1506</v>
      </c>
      <c r="J18" s="362" t="s">
        <v>9</v>
      </c>
      <c r="K18" s="579">
        <f>IF(K15=1,K14/(380/3^0.5),(K14/(380*3^0.5)))*1000</f>
        <v>243.0948501851056</v>
      </c>
      <c r="L18" s="580"/>
    </row>
    <row r="19" spans="1:12" ht="30" customHeight="1">
      <c r="A19" s="193"/>
      <c r="B19" s="383" t="s">
        <v>1498</v>
      </c>
      <c r="C19" s="361" t="s">
        <v>9</v>
      </c>
      <c r="D19" s="575" t="e">
        <f>IF(D15=1,D13/(380/3^0.5),(D13/(380*3^0.5)))</f>
        <v>#VALUE!</v>
      </c>
      <c r="E19" s="576"/>
      <c r="F19" s="196"/>
      <c r="G19" s="346"/>
      <c r="I19" s="378" t="s">
        <v>1498</v>
      </c>
      <c r="J19" s="361" t="s">
        <v>9</v>
      </c>
      <c r="K19" s="579" t="e">
        <f>IF(K15=1,K13/(380/3^0.5),(K13/(380*3^0.5)))</f>
        <v>#VALUE!</v>
      </c>
      <c r="L19" s="580"/>
    </row>
    <row r="20" spans="1:12" ht="30" customHeight="1" thickBot="1">
      <c r="A20" s="193"/>
      <c r="B20" s="384" t="s">
        <v>1507</v>
      </c>
      <c r="C20" s="380" t="s">
        <v>9</v>
      </c>
      <c r="D20" s="571">
        <f>D16/D18</f>
        <v>0.71083365142626709</v>
      </c>
      <c r="E20" s="572"/>
      <c r="F20" s="196"/>
      <c r="G20" s="346"/>
      <c r="I20" s="379" t="s">
        <v>1498</v>
      </c>
      <c r="J20" s="380" t="s">
        <v>9</v>
      </c>
      <c r="K20" s="577">
        <f>K16/K18</f>
        <v>0.33124999999999999</v>
      </c>
      <c r="L20" s="578"/>
    </row>
    <row r="21" spans="1:12" ht="9.75" customHeight="1">
      <c r="A21" s="193"/>
      <c r="B21" s="369" t="s">
        <v>1507</v>
      </c>
      <c r="C21" s="370" t="s">
        <v>9</v>
      </c>
      <c r="D21" s="556">
        <v>1</v>
      </c>
      <c r="E21" s="556"/>
      <c r="F21" s="371"/>
      <c r="G21" s="372"/>
      <c r="H21" s="373"/>
      <c r="I21" s="369" t="s">
        <v>1498</v>
      </c>
      <c r="J21" s="370" t="s">
        <v>9</v>
      </c>
      <c r="K21" s="556">
        <v>1</v>
      </c>
      <c r="L21" s="556"/>
    </row>
    <row r="22" spans="1:12" ht="6.75" customHeight="1">
      <c r="B22" s="359"/>
      <c r="C22" s="356"/>
      <c r="D22" s="367"/>
      <c r="E22" s="367"/>
      <c r="F22" s="196"/>
      <c r="G22" s="346"/>
      <c r="J22" s="356"/>
      <c r="K22" s="367"/>
      <c r="L22" s="367"/>
    </row>
    <row r="23" spans="1:12" ht="15.75" thickBot="1"/>
    <row r="24" spans="1:12" ht="200.25" customHeight="1" thickBot="1">
      <c r="B24" s="553"/>
      <c r="C24" s="554"/>
      <c r="D24" s="554"/>
      <c r="E24" s="555"/>
      <c r="I24" s="553"/>
      <c r="J24" s="554"/>
      <c r="K24" s="554"/>
      <c r="L24" s="555"/>
    </row>
    <row r="26" spans="1:12">
      <c r="D26" s="364"/>
    </row>
    <row r="27" spans="1:12">
      <c r="D27" s="36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31" priority="5" stopIfTrue="1" operator="greaterThan">
      <formula>0.89</formula>
    </cfRule>
    <cfRule type="cellIs" dxfId="3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6" zoomScaleNormal="100" workbookViewId="0">
      <selection activeCell="I24" sqref="I24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04"/>
      <c r="C1" s="604"/>
      <c r="D1" s="604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2">
        <v>1084.1250458865841</v>
      </c>
      <c r="F5" s="388" t="s">
        <v>1575</v>
      </c>
      <c r="K5" s="387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8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53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49661000</v>
      </c>
    </row>
    <row r="10" spans="2:11" ht="20.100000000000001" customHeight="1">
      <c r="B10" s="214" t="s">
        <v>1417</v>
      </c>
      <c r="C10" s="215" t="s">
        <v>9</v>
      </c>
      <c r="D10" s="221">
        <f ca="1">RAB!K200</f>
        <v>224934740.16475004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4498694.8032950005</v>
      </c>
    </row>
    <row r="12" spans="2:11" ht="9" customHeight="1">
      <c r="B12" s="605"/>
      <c r="C12" s="605"/>
      <c r="D12" s="605"/>
    </row>
    <row r="13" spans="2:11" ht="15.75" customHeight="1">
      <c r="B13" s="222"/>
      <c r="C13" s="222"/>
      <c r="D13" s="222"/>
    </row>
    <row r="14" spans="2:11" ht="33.75" customHeight="1">
      <c r="B14" s="335" t="s">
        <v>1349</v>
      </c>
      <c r="C14" s="336" t="s">
        <v>9</v>
      </c>
      <c r="D14" s="341" t="str">
        <f>RAB!G6</f>
        <v>MR DIY KEMBANGARUM</v>
      </c>
      <c r="E14" s="223" t="s">
        <v>1424</v>
      </c>
    </row>
    <row r="15" spans="2:11" ht="20.100000000000001" customHeight="1">
      <c r="B15" s="337" t="s">
        <v>1418</v>
      </c>
      <c r="C15" s="338" t="s">
        <v>9</v>
      </c>
      <c r="D15" s="342" t="s">
        <v>1581</v>
      </c>
      <c r="E15" s="223" t="s">
        <v>1424</v>
      </c>
    </row>
    <row r="16" spans="2:11" ht="20.100000000000001" customHeight="1">
      <c r="B16" s="337" t="s">
        <v>1419</v>
      </c>
      <c r="C16" s="338" t="s">
        <v>9</v>
      </c>
      <c r="D16" s="342" t="s">
        <v>1422</v>
      </c>
      <c r="E16" s="223" t="s">
        <v>1424</v>
      </c>
    </row>
    <row r="17" spans="2:5" ht="20.100000000000001" customHeight="1">
      <c r="B17" s="337" t="s">
        <v>1420</v>
      </c>
      <c r="C17" s="338" t="s">
        <v>9</v>
      </c>
      <c r="D17" s="343">
        <v>0</v>
      </c>
      <c r="E17" s="223" t="s">
        <v>1424</v>
      </c>
    </row>
    <row r="18" spans="2:5" ht="20.100000000000001" hidden="1" customHeight="1">
      <c r="B18" s="337" t="s">
        <v>1510</v>
      </c>
      <c r="C18" s="338"/>
      <c r="D18" s="343">
        <f>IF((D17&lt;=11),1,3)</f>
        <v>1</v>
      </c>
      <c r="E18" s="223"/>
    </row>
    <row r="19" spans="2:5" ht="20.100000000000001" hidden="1" customHeight="1">
      <c r="B19" s="337" t="s">
        <v>1511</v>
      </c>
      <c r="C19" s="338"/>
      <c r="D19" s="343">
        <f>IF((D17&lt;=11),220,380)</f>
        <v>220</v>
      </c>
      <c r="E19" s="223"/>
    </row>
    <row r="20" spans="2:5" ht="20.100000000000001" customHeight="1">
      <c r="B20" s="337" t="s">
        <v>1421</v>
      </c>
      <c r="C20" s="338" t="s">
        <v>9</v>
      </c>
      <c r="D20" s="343">
        <v>53</v>
      </c>
      <c r="E20" s="223" t="s">
        <v>1424</v>
      </c>
    </row>
    <row r="21" spans="2:5" ht="20.100000000000001" hidden="1" customHeight="1">
      <c r="B21" s="337" t="s">
        <v>1510</v>
      </c>
      <c r="C21" s="338"/>
      <c r="D21" s="343">
        <f>IF((D20&lt;=11),1,3)</f>
        <v>3</v>
      </c>
      <c r="E21" s="223"/>
    </row>
    <row r="22" spans="2:5" ht="20.100000000000001" hidden="1" customHeight="1">
      <c r="B22" s="337" t="s">
        <v>1511</v>
      </c>
      <c r="C22" s="338"/>
      <c r="D22" s="343">
        <f>IF((D20&lt;=11),220,380)</f>
        <v>380</v>
      </c>
      <c r="E22" s="223"/>
    </row>
    <row r="23" spans="2:5" ht="20.100000000000001" customHeight="1">
      <c r="B23" s="337" t="s">
        <v>1323</v>
      </c>
      <c r="C23" s="338" t="s">
        <v>9</v>
      </c>
      <c r="D23" s="342">
        <v>1444.7</v>
      </c>
      <c r="E23" s="223" t="s">
        <v>1424</v>
      </c>
    </row>
    <row r="24" spans="2:5" ht="20.100000000000001" customHeight="1">
      <c r="B24" s="337" t="s">
        <v>1324</v>
      </c>
      <c r="C24" s="338" t="s">
        <v>9</v>
      </c>
      <c r="D24" s="342">
        <v>1444.7</v>
      </c>
      <c r="E24" s="223" t="s">
        <v>1424</v>
      </c>
    </row>
    <row r="25" spans="2:5" ht="20.100000000000001" customHeight="1">
      <c r="B25" s="337" t="s">
        <v>1423</v>
      </c>
      <c r="C25" s="338" t="s">
        <v>9</v>
      </c>
      <c r="D25" s="343">
        <v>937</v>
      </c>
      <c r="E25" s="223" t="s">
        <v>1424</v>
      </c>
    </row>
    <row r="26" spans="2:5" ht="20.100000000000001" customHeight="1">
      <c r="B26" s="339" t="s">
        <v>1325</v>
      </c>
      <c r="C26" s="340" t="s">
        <v>9</v>
      </c>
      <c r="D26" s="344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D1" zoomScale="85" zoomScaleNormal="85" workbookViewId="0">
      <pane ySplit="6" topLeftCell="A31" activePane="bottomLeft" state="frozen"/>
      <selection activeCell="H1093" sqref="H1093"/>
      <selection pane="bottomLeft" activeCell="F11" sqref="F1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06" t="s">
        <v>1327</v>
      </c>
      <c r="C3" s="606"/>
      <c r="D3" s="606"/>
      <c r="E3" s="606"/>
      <c r="F3" s="228" t="str">
        <f>DATA!D14</f>
        <v>MR DIY KEMBANGARUM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07" t="s">
        <v>1319</v>
      </c>
      <c r="C5" s="607" t="s">
        <v>1328</v>
      </c>
      <c r="D5" s="608" t="s">
        <v>1329</v>
      </c>
      <c r="E5" s="608" t="s">
        <v>1330</v>
      </c>
      <c r="F5" s="607" t="s">
        <v>1331</v>
      </c>
      <c r="G5" s="607"/>
      <c r="H5" s="607"/>
      <c r="I5" s="607"/>
      <c r="J5" s="607"/>
      <c r="K5" s="607" t="s">
        <v>1332</v>
      </c>
      <c r="L5" s="607"/>
      <c r="M5" s="230"/>
      <c r="N5" s="611" t="s">
        <v>1333</v>
      </c>
      <c r="O5" s="608" t="s">
        <v>1334</v>
      </c>
      <c r="P5" s="608" t="s">
        <v>1335</v>
      </c>
      <c r="Q5" s="608" t="s">
        <v>1336</v>
      </c>
      <c r="R5" s="231"/>
      <c r="S5" s="232"/>
      <c r="T5" s="609" t="s">
        <v>1337</v>
      </c>
      <c r="U5" s="233"/>
    </row>
    <row r="6" spans="1:21" ht="20.100000000000001" customHeight="1">
      <c r="B6" s="607"/>
      <c r="C6" s="607"/>
      <c r="D6" s="607"/>
      <c r="E6" s="607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12"/>
      <c r="O6" s="607"/>
      <c r="P6" s="607"/>
      <c r="Q6" s="607"/>
      <c r="R6" s="231"/>
      <c r="S6" s="232"/>
      <c r="T6" s="607"/>
      <c r="U6" s="235"/>
    </row>
    <row r="7" spans="1:21" ht="20.100000000000001" customHeight="1">
      <c r="A7" s="236">
        <v>0</v>
      </c>
      <c r="B7" s="237">
        <v>2023</v>
      </c>
      <c r="C7" s="385">
        <f>DATA!D8*DATA!D26*8</f>
        <v>16960</v>
      </c>
      <c r="D7" s="239">
        <f>C7*4/24</f>
        <v>2826.6666666666665</v>
      </c>
      <c r="E7" s="239">
        <f>C7-D7</f>
        <v>14133.333333333334</v>
      </c>
      <c r="F7" s="240">
        <f ca="1">DATA!D10/1000000</f>
        <v>224.93474016475005</v>
      </c>
      <c r="G7" s="241">
        <f ca="1">DATA!$D$11/1000000</f>
        <v>4.4986948032950007</v>
      </c>
      <c r="H7" s="241">
        <f>C7*DATA!$D$5/1000000</f>
        <v>18.386760778236468</v>
      </c>
      <c r="I7" s="241">
        <f>(C7*DATA!$D$5*DATA!$D$7)/1000000</f>
        <v>0.41370211751032049</v>
      </c>
      <c r="J7" s="239">
        <f ca="1">SUM(F7:I7)</f>
        <v>248.23389786379184</v>
      </c>
      <c r="K7" s="242">
        <f>DATA!D9/1000000</f>
        <v>49.661000000000001</v>
      </c>
      <c r="L7" s="239">
        <f>((D7*DATA!$D$23)/1000000)+((E7*DATA!$D$24)/1000000)</f>
        <v>24.502112000000004</v>
      </c>
      <c r="M7" s="239">
        <f>K7+L7</f>
        <v>74.163112000000012</v>
      </c>
      <c r="N7" s="239">
        <f ca="1">M7-J7</f>
        <v>-174.07078586379183</v>
      </c>
      <c r="O7" s="237">
        <v>1</v>
      </c>
      <c r="P7" s="239">
        <f ca="1">O7*N7</f>
        <v>-174.07078586379183</v>
      </c>
      <c r="Q7" s="239">
        <f ca="1">P7</f>
        <v>-174.07078586379183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25440</v>
      </c>
      <c r="D8" s="239">
        <f>C8*4/24</f>
        <v>4240</v>
      </c>
      <c r="E8" s="239">
        <f t="shared" ref="E8:E32" si="0">C8-D8</f>
        <v>21200</v>
      </c>
      <c r="F8" s="237"/>
      <c r="G8" s="241">
        <f ca="1">DATA!$D$11/1000000</f>
        <v>4.4986948032950007</v>
      </c>
      <c r="H8" s="241">
        <f>C8*DATA!$D$5/1000000</f>
        <v>27.5801411673547</v>
      </c>
      <c r="I8" s="241">
        <f>(C8*DATA!$D$5*DATA!$D$7)/1000000</f>
        <v>0.62055317626548068</v>
      </c>
      <c r="J8" s="239">
        <f t="shared" ref="J8:J32" ca="1" si="1">SUM(F8:I8)</f>
        <v>32.699389146915181</v>
      </c>
      <c r="K8" s="244"/>
      <c r="L8" s="239">
        <f>((D8*DATA!$D$23)/1000000)+((E8*DATA!$D$24)/1000000)</f>
        <v>36.753168000000002</v>
      </c>
      <c r="M8" s="239">
        <f t="shared" ref="M8:M32" si="2">K8+L8</f>
        <v>36.753168000000002</v>
      </c>
      <c r="N8" s="239">
        <f ca="1">M8-J8</f>
        <v>4.0537788530848218</v>
      </c>
      <c r="O8" s="238">
        <f>1/(1+'[91]Asumsi I'!$C$3)^(KKF!A8)</f>
        <v>0.89285714285714279</v>
      </c>
      <c r="P8" s="239">
        <f ca="1">O8*N8</f>
        <v>3.6194454045400191</v>
      </c>
      <c r="Q8" s="239">
        <f ca="1">Q7+P8</f>
        <v>-170.45134045925181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25440</v>
      </c>
      <c r="D9" s="239">
        <f t="shared" ref="D9:D32" si="5">C9*4/24</f>
        <v>4240</v>
      </c>
      <c r="E9" s="239">
        <f t="shared" si="0"/>
        <v>21200</v>
      </c>
      <c r="F9" s="237"/>
      <c r="G9" s="241">
        <f ca="1">DATA!$D$11/1000000</f>
        <v>4.4986948032950007</v>
      </c>
      <c r="H9" s="241">
        <f>C9*DATA!$D$5/1000000</f>
        <v>27.5801411673547</v>
      </c>
      <c r="I9" s="241">
        <f>(C9*DATA!$D$5*DATA!$D$7)/1000000</f>
        <v>0.62055317626548068</v>
      </c>
      <c r="J9" s="239">
        <f t="shared" ca="1" si="1"/>
        <v>32.699389146915181</v>
      </c>
      <c r="K9" s="239"/>
      <c r="L9" s="239">
        <f>((D9*DATA!$D$23)/1000000)+((E9*DATA!$D$24)/1000000)</f>
        <v>36.753168000000002</v>
      </c>
      <c r="M9" s="239">
        <f t="shared" si="2"/>
        <v>36.753168000000002</v>
      </c>
      <c r="N9" s="239">
        <f t="shared" ref="N9:N32" ca="1" si="6">M9-J9</f>
        <v>4.0537788530848218</v>
      </c>
      <c r="O9" s="245">
        <f>1/(1+'[91]Asumsi I'!$C$3)^(KKF!A9)</f>
        <v>0.79719387755102034</v>
      </c>
      <c r="P9" s="239">
        <f t="shared" ref="P9:P32" ca="1" si="7">O9*N9</f>
        <v>3.2316476826250171</v>
      </c>
      <c r="Q9" s="239">
        <f ca="1">Q8+P9</f>
        <v>-167.2196927766268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25440</v>
      </c>
      <c r="D10" s="239">
        <f t="shared" si="5"/>
        <v>4240</v>
      </c>
      <c r="E10" s="239">
        <f t="shared" si="0"/>
        <v>21200</v>
      </c>
      <c r="F10" s="237"/>
      <c r="G10" s="241">
        <f ca="1">DATA!$D$11/1000000</f>
        <v>4.4986948032950007</v>
      </c>
      <c r="H10" s="241">
        <f>C10*DATA!$D$5/1000000</f>
        <v>27.5801411673547</v>
      </c>
      <c r="I10" s="241">
        <f>(C10*DATA!$D$5*DATA!$D$7)/1000000</f>
        <v>0.62055317626548068</v>
      </c>
      <c r="J10" s="239">
        <f t="shared" ca="1" si="1"/>
        <v>32.699389146915181</v>
      </c>
      <c r="K10" s="237"/>
      <c r="L10" s="239">
        <f>((D10*DATA!$D$23)/1000000)+((E10*DATA!$D$24)/1000000)</f>
        <v>36.753168000000002</v>
      </c>
      <c r="M10" s="239">
        <f t="shared" si="2"/>
        <v>36.753168000000002</v>
      </c>
      <c r="N10" s="239">
        <f t="shared" ca="1" si="6"/>
        <v>4.0537788530848218</v>
      </c>
      <c r="O10" s="238">
        <f>1/(1+'[91]Asumsi I'!$C$3)^(KKF!A10)</f>
        <v>0.71178024781341087</v>
      </c>
      <c r="P10" s="239">
        <f t="shared" ca="1" si="7"/>
        <v>2.8853997166294789</v>
      </c>
      <c r="Q10" s="239">
        <f t="shared" ref="Q10:Q30" ca="1" si="9">Q9+P10</f>
        <v>-164.33429305999732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25440</v>
      </c>
      <c r="D11" s="239">
        <f t="shared" si="5"/>
        <v>4240</v>
      </c>
      <c r="E11" s="239">
        <f t="shared" si="0"/>
        <v>21200</v>
      </c>
      <c r="F11" s="237"/>
      <c r="G11" s="241">
        <f ca="1">DATA!$D$11/1000000</f>
        <v>4.4986948032950007</v>
      </c>
      <c r="H11" s="241">
        <f>C11*DATA!$D$5/1000000</f>
        <v>27.5801411673547</v>
      </c>
      <c r="I11" s="241">
        <f>(C11*DATA!$D$5*DATA!$D$7)/1000000</f>
        <v>0.62055317626548068</v>
      </c>
      <c r="J11" s="239">
        <f t="shared" ca="1" si="1"/>
        <v>32.699389146915181</v>
      </c>
      <c r="K11" s="237"/>
      <c r="L11" s="239">
        <f>((D11*DATA!$D$23)/1000000)+((E11*DATA!$D$24)/1000000)</f>
        <v>36.753168000000002</v>
      </c>
      <c r="M11" s="239">
        <f t="shared" si="2"/>
        <v>36.753168000000002</v>
      </c>
      <c r="N11" s="239">
        <f t="shared" ca="1" si="6"/>
        <v>4.0537788530848218</v>
      </c>
      <c r="O11" s="238">
        <f>1/(1+'[91]Asumsi I'!$C$3)^(KKF!A11)</f>
        <v>0.63551807840483121</v>
      </c>
      <c r="P11" s="239">
        <f t="shared" ca="1" si="7"/>
        <v>2.5762497469906065</v>
      </c>
      <c r="Q11" s="239">
        <f t="shared" ca="1" si="9"/>
        <v>-161.75804331300671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25440</v>
      </c>
      <c r="D12" s="239">
        <f t="shared" si="5"/>
        <v>4240</v>
      </c>
      <c r="E12" s="239">
        <f t="shared" si="0"/>
        <v>21200</v>
      </c>
      <c r="F12" s="237"/>
      <c r="G12" s="241">
        <f ca="1">DATA!$D$11/1000000</f>
        <v>4.4986948032950007</v>
      </c>
      <c r="H12" s="241">
        <f>C12*DATA!$D$5/1000000</f>
        <v>27.5801411673547</v>
      </c>
      <c r="I12" s="241">
        <f>(C12*DATA!$D$5*DATA!$D$7)/1000000</f>
        <v>0.62055317626548068</v>
      </c>
      <c r="J12" s="239">
        <f t="shared" ca="1" si="1"/>
        <v>32.699389146915181</v>
      </c>
      <c r="K12" s="237"/>
      <c r="L12" s="239">
        <f>((D12*DATA!$D$23)/1000000)+((E12*DATA!$D$24)/1000000)</f>
        <v>36.753168000000002</v>
      </c>
      <c r="M12" s="239">
        <f t="shared" si="2"/>
        <v>36.753168000000002</v>
      </c>
      <c r="N12" s="239">
        <f t="shared" ca="1" si="6"/>
        <v>4.0537788530848218</v>
      </c>
      <c r="O12" s="238">
        <f>1/(1+'[91]Asumsi I'!$C$3)^(KKF!A12)</f>
        <v>0.56742685571859919</v>
      </c>
      <c r="P12" s="239">
        <f t="shared" ca="1" si="7"/>
        <v>2.3002229883844696</v>
      </c>
      <c r="Q12" s="239">
        <f t="shared" ca="1" si="9"/>
        <v>-159.45782032462225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25440</v>
      </c>
      <c r="D13" s="239">
        <f t="shared" si="5"/>
        <v>4240</v>
      </c>
      <c r="E13" s="239">
        <f t="shared" si="0"/>
        <v>21200</v>
      </c>
      <c r="F13" s="237"/>
      <c r="G13" s="241">
        <f ca="1">DATA!$D$11/1000000</f>
        <v>4.4986948032950007</v>
      </c>
      <c r="H13" s="241">
        <f>C13*DATA!$D$5/1000000</f>
        <v>27.5801411673547</v>
      </c>
      <c r="I13" s="241">
        <f>(C13*DATA!$D$5*DATA!$D$7)/1000000</f>
        <v>0.62055317626548068</v>
      </c>
      <c r="J13" s="239">
        <f t="shared" ca="1" si="1"/>
        <v>32.699389146915181</v>
      </c>
      <c r="K13" s="237"/>
      <c r="L13" s="239">
        <f>((D13*DATA!$D$23)/1000000)+((E13*DATA!$D$24)/1000000)</f>
        <v>36.753168000000002</v>
      </c>
      <c r="M13" s="239">
        <f t="shared" si="2"/>
        <v>36.753168000000002</v>
      </c>
      <c r="N13" s="239">
        <f t="shared" ca="1" si="6"/>
        <v>4.0537788530848218</v>
      </c>
      <c r="O13" s="238">
        <f>1/(1+'[91]Asumsi I'!$C$3)^(KKF!A13)</f>
        <v>0.50663112117732068</v>
      </c>
      <c r="P13" s="239">
        <f t="shared" ca="1" si="7"/>
        <v>2.0537705253432765</v>
      </c>
      <c r="Q13" s="239">
        <f t="shared" ca="1" si="9"/>
        <v>-157.40404979927897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25440</v>
      </c>
      <c r="D14" s="239">
        <f t="shared" si="5"/>
        <v>4240</v>
      </c>
      <c r="E14" s="239">
        <f t="shared" si="0"/>
        <v>21200</v>
      </c>
      <c r="F14" s="237"/>
      <c r="G14" s="241">
        <f ca="1">DATA!$D$11/1000000</f>
        <v>4.4986948032950007</v>
      </c>
      <c r="H14" s="241">
        <f>C14*DATA!$D$5/1000000</f>
        <v>27.5801411673547</v>
      </c>
      <c r="I14" s="241">
        <f>(C14*DATA!$D$5*DATA!$D$7)/1000000</f>
        <v>0.62055317626548068</v>
      </c>
      <c r="J14" s="239">
        <f t="shared" ca="1" si="1"/>
        <v>32.699389146915181</v>
      </c>
      <c r="K14" s="237"/>
      <c r="L14" s="239">
        <f>((D14*DATA!$D$23)/1000000)+((E14*DATA!$D$24)/1000000)</f>
        <v>36.753168000000002</v>
      </c>
      <c r="M14" s="239">
        <f t="shared" si="2"/>
        <v>36.753168000000002</v>
      </c>
      <c r="N14" s="239">
        <f t="shared" ca="1" si="6"/>
        <v>4.0537788530848218</v>
      </c>
      <c r="O14" s="238">
        <f>1/(1+'[91]Asumsi I'!$C$3)^(KKF!A14)</f>
        <v>0.45234921533689343</v>
      </c>
      <c r="P14" s="239">
        <f t="shared" ca="1" si="7"/>
        <v>1.8337236833422108</v>
      </c>
      <c r="Q14" s="239">
        <f t="shared" ca="1" si="9"/>
        <v>-155.57032611593675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25440</v>
      </c>
      <c r="D15" s="239">
        <f t="shared" si="5"/>
        <v>4240</v>
      </c>
      <c r="E15" s="239">
        <f t="shared" si="0"/>
        <v>21200</v>
      </c>
      <c r="F15" s="237"/>
      <c r="G15" s="241">
        <f ca="1">DATA!$D$11/1000000</f>
        <v>4.4986948032950007</v>
      </c>
      <c r="H15" s="241">
        <f>C15*DATA!$D$5/1000000</f>
        <v>27.5801411673547</v>
      </c>
      <c r="I15" s="241">
        <f>(C15*DATA!$D$5*DATA!$D$7)/1000000</f>
        <v>0.62055317626548068</v>
      </c>
      <c r="J15" s="239">
        <f t="shared" ca="1" si="1"/>
        <v>32.699389146915181</v>
      </c>
      <c r="K15" s="237"/>
      <c r="L15" s="239">
        <f>((D15*DATA!$D$23)/1000000)+((E15*DATA!$D$24)/1000000)</f>
        <v>36.753168000000002</v>
      </c>
      <c r="M15" s="239">
        <f t="shared" si="2"/>
        <v>36.753168000000002</v>
      </c>
      <c r="N15" s="239">
        <f t="shared" ca="1" si="6"/>
        <v>4.0537788530848218</v>
      </c>
      <c r="O15" s="238">
        <f>1/(1+'[91]Asumsi I'!$C$3)^(KKF!A15)</f>
        <v>0.4038832279793691</v>
      </c>
      <c r="P15" s="239">
        <f t="shared" ca="1" si="7"/>
        <v>1.6372532886984024</v>
      </c>
      <c r="Q15" s="239">
        <f t="shared" ca="1" si="9"/>
        <v>-153.93307282723836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25440</v>
      </c>
      <c r="D16" s="239">
        <f t="shared" si="5"/>
        <v>4240</v>
      </c>
      <c r="E16" s="239">
        <f t="shared" si="0"/>
        <v>21200</v>
      </c>
      <c r="F16" s="237"/>
      <c r="G16" s="241">
        <f ca="1">DATA!$D$11/1000000</f>
        <v>4.4986948032950007</v>
      </c>
      <c r="H16" s="241">
        <f>C16*DATA!$D$5/1000000</f>
        <v>27.5801411673547</v>
      </c>
      <c r="I16" s="241">
        <f>(C16*DATA!$D$5*DATA!$D$7)/1000000</f>
        <v>0.62055317626548068</v>
      </c>
      <c r="J16" s="239">
        <f t="shared" ca="1" si="1"/>
        <v>32.699389146915181</v>
      </c>
      <c r="K16" s="237"/>
      <c r="L16" s="239">
        <f>((D16*DATA!$D$23)/1000000)+((E16*DATA!$D$24)/1000000)</f>
        <v>36.753168000000002</v>
      </c>
      <c r="M16" s="239">
        <f t="shared" si="2"/>
        <v>36.753168000000002</v>
      </c>
      <c r="N16" s="239">
        <f t="shared" ca="1" si="6"/>
        <v>4.0537788530848218</v>
      </c>
      <c r="O16" s="238">
        <f>1/(1+'[91]Asumsi I'!$C$3)^(KKF!A16)</f>
        <v>0.36061002498157957</v>
      </c>
      <c r="P16" s="239">
        <f t="shared" ca="1" si="7"/>
        <v>1.4618332934807166</v>
      </c>
      <c r="Q16" s="239">
        <f t="shared" ca="1" si="9"/>
        <v>-152.47123953375765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25440</v>
      </c>
      <c r="D17" s="239">
        <f t="shared" si="5"/>
        <v>4240</v>
      </c>
      <c r="E17" s="239">
        <f t="shared" si="0"/>
        <v>21200</v>
      </c>
      <c r="F17" s="237"/>
      <c r="G17" s="241">
        <f ca="1">DATA!$D$11/1000000</f>
        <v>4.4986948032950007</v>
      </c>
      <c r="H17" s="241">
        <f>C17*DATA!$D$5/1000000</f>
        <v>27.5801411673547</v>
      </c>
      <c r="I17" s="241">
        <f>(C17*DATA!$D$5*DATA!$D$7)/1000000</f>
        <v>0.62055317626548068</v>
      </c>
      <c r="J17" s="239">
        <f t="shared" ca="1" si="1"/>
        <v>32.699389146915181</v>
      </c>
      <c r="K17" s="237"/>
      <c r="L17" s="239">
        <f>((D17*DATA!$D$23)/1000000)+((E17*DATA!$D$24)/1000000)</f>
        <v>36.753168000000002</v>
      </c>
      <c r="M17" s="239">
        <f t="shared" si="2"/>
        <v>36.753168000000002</v>
      </c>
      <c r="N17" s="239">
        <f t="shared" ca="1" si="6"/>
        <v>4.0537788530848218</v>
      </c>
      <c r="O17" s="238">
        <f>1/(1+'[91]Asumsi I'!$C$3)^(KKF!A17)</f>
        <v>0.32197323659069599</v>
      </c>
      <c r="P17" s="239">
        <f t="shared" ca="1" si="7"/>
        <v>1.3052082977506396</v>
      </c>
      <c r="Q17" s="239">
        <f t="shared" ca="1" si="9"/>
        <v>-151.166031236007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25440</v>
      </c>
      <c r="D18" s="239">
        <f t="shared" si="5"/>
        <v>4240</v>
      </c>
      <c r="E18" s="239">
        <f t="shared" si="0"/>
        <v>21200</v>
      </c>
      <c r="F18" s="237"/>
      <c r="G18" s="241">
        <f ca="1">DATA!$D$11/1000000</f>
        <v>4.4986948032950007</v>
      </c>
      <c r="H18" s="241">
        <f>C18*DATA!$D$5/1000000</f>
        <v>27.5801411673547</v>
      </c>
      <c r="I18" s="241">
        <f>(C18*DATA!$D$5*DATA!$D$7)/1000000</f>
        <v>0.62055317626548068</v>
      </c>
      <c r="J18" s="239">
        <f t="shared" ca="1" si="1"/>
        <v>32.699389146915181</v>
      </c>
      <c r="K18" s="237"/>
      <c r="L18" s="239">
        <f>((D18*DATA!$D$23)/1000000)+((E18*DATA!$D$24)/1000000)</f>
        <v>36.753168000000002</v>
      </c>
      <c r="M18" s="239">
        <f t="shared" si="2"/>
        <v>36.753168000000002</v>
      </c>
      <c r="N18" s="239">
        <f t="shared" ca="1" si="6"/>
        <v>4.0537788530848218</v>
      </c>
      <c r="O18" s="238">
        <f>1/(1+'[91]Asumsi I'!$C$3)^(KKF!A18)</f>
        <v>0.28747610409883567</v>
      </c>
      <c r="P18" s="239">
        <f t="shared" ca="1" si="7"/>
        <v>1.1653645515630708</v>
      </c>
      <c r="Q18" s="239">
        <f t="shared" ca="1" si="9"/>
        <v>-150.00066668444393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25440</v>
      </c>
      <c r="D19" s="239">
        <f t="shared" si="5"/>
        <v>4240</v>
      </c>
      <c r="E19" s="239">
        <f t="shared" si="0"/>
        <v>21200</v>
      </c>
      <c r="F19" s="237"/>
      <c r="G19" s="241">
        <f ca="1">DATA!$D$11/1000000</f>
        <v>4.4986948032950007</v>
      </c>
      <c r="H19" s="241">
        <f>C19*DATA!$D$5/1000000</f>
        <v>27.5801411673547</v>
      </c>
      <c r="I19" s="241">
        <f>(C19*DATA!$D$5*DATA!$D$7)/1000000</f>
        <v>0.62055317626548068</v>
      </c>
      <c r="J19" s="239">
        <f t="shared" ca="1" si="1"/>
        <v>32.699389146915181</v>
      </c>
      <c r="K19" s="237"/>
      <c r="L19" s="239">
        <f>((D19*DATA!$D$23)/1000000)+((E19*DATA!$D$24)/1000000)</f>
        <v>36.753168000000002</v>
      </c>
      <c r="M19" s="239">
        <f t="shared" si="2"/>
        <v>36.753168000000002</v>
      </c>
      <c r="N19" s="239">
        <f t="shared" ca="1" si="6"/>
        <v>4.0537788530848218</v>
      </c>
      <c r="O19" s="238">
        <f>1/(1+'[91]Asumsi I'!$C$3)^(KKF!A19)</f>
        <v>0.25667509294538904</v>
      </c>
      <c r="P19" s="239">
        <f t="shared" ca="1" si="7"/>
        <v>1.0405040638955991</v>
      </c>
      <c r="Q19" s="239">
        <f t="shared" ca="1" si="9"/>
        <v>-148.96016262054832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25440</v>
      </c>
      <c r="D20" s="239">
        <f t="shared" si="5"/>
        <v>4240</v>
      </c>
      <c r="E20" s="239">
        <f t="shared" si="0"/>
        <v>21200</v>
      </c>
      <c r="F20" s="237"/>
      <c r="G20" s="241">
        <f ca="1">DATA!$D$11/1000000</f>
        <v>4.4986948032950007</v>
      </c>
      <c r="H20" s="241">
        <f>C20*DATA!$D$5/1000000</f>
        <v>27.5801411673547</v>
      </c>
      <c r="I20" s="241">
        <f>(C20*DATA!$D$5*DATA!$D$7)/1000000</f>
        <v>0.62055317626548068</v>
      </c>
      <c r="J20" s="239">
        <f t="shared" ca="1" si="1"/>
        <v>32.699389146915181</v>
      </c>
      <c r="K20" s="237"/>
      <c r="L20" s="239">
        <f>((D20*DATA!$D$23)/1000000)+((E20*DATA!$D$24)/1000000)</f>
        <v>36.753168000000002</v>
      </c>
      <c r="M20" s="239">
        <f t="shared" si="2"/>
        <v>36.753168000000002</v>
      </c>
      <c r="N20" s="239">
        <f t="shared" ca="1" si="6"/>
        <v>4.0537788530848218</v>
      </c>
      <c r="O20" s="238">
        <f>1/(1+'[91]Asumsi I'!$C$3)^(KKF!A20)</f>
        <v>0.22917419012981158</v>
      </c>
      <c r="P20" s="239">
        <f t="shared" ca="1" si="7"/>
        <v>0.92902148562107045</v>
      </c>
      <c r="Q20" s="239">
        <f t="shared" ca="1" si="9"/>
        <v>-148.03114113492725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25440</v>
      </c>
      <c r="D21" s="239">
        <f t="shared" si="5"/>
        <v>4240</v>
      </c>
      <c r="E21" s="239">
        <f t="shared" si="0"/>
        <v>21200</v>
      </c>
      <c r="F21" s="237"/>
      <c r="G21" s="241">
        <f ca="1">DATA!$D$11/1000000</f>
        <v>4.4986948032950007</v>
      </c>
      <c r="H21" s="241">
        <f>C21*DATA!$D$5/1000000</f>
        <v>27.5801411673547</v>
      </c>
      <c r="I21" s="241">
        <f>(C21*DATA!$D$5*DATA!$D$7)/1000000</f>
        <v>0.62055317626548068</v>
      </c>
      <c r="J21" s="239">
        <f t="shared" ca="1" si="1"/>
        <v>32.699389146915181</v>
      </c>
      <c r="K21" s="237"/>
      <c r="L21" s="239">
        <f>((D21*DATA!$D$23)/1000000)+((E21*DATA!$D$24)/1000000)</f>
        <v>36.753168000000002</v>
      </c>
      <c r="M21" s="239">
        <f t="shared" si="2"/>
        <v>36.753168000000002</v>
      </c>
      <c r="N21" s="239">
        <f t="shared" ca="1" si="6"/>
        <v>4.0537788530848218</v>
      </c>
      <c r="O21" s="238">
        <f>1/(1+'[91]Asumsi I'!$C$3)^(KKF!A21)</f>
        <v>0.20461981261590317</v>
      </c>
      <c r="P21" s="239">
        <f t="shared" ca="1" si="7"/>
        <v>0.8294834693045271</v>
      </c>
      <c r="Q21" s="239">
        <f t="shared" ca="1" si="9"/>
        <v>-147.20165766562272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25440</v>
      </c>
      <c r="D22" s="239">
        <f t="shared" si="5"/>
        <v>4240</v>
      </c>
      <c r="E22" s="239">
        <f t="shared" si="0"/>
        <v>21200</v>
      </c>
      <c r="F22" s="237"/>
      <c r="G22" s="241">
        <f ca="1">DATA!$D$11/1000000</f>
        <v>4.4986948032950007</v>
      </c>
      <c r="H22" s="241">
        <f>C22*DATA!$D$5/1000000</f>
        <v>27.5801411673547</v>
      </c>
      <c r="I22" s="241">
        <f>(C22*DATA!$D$5*DATA!$D$7)/1000000</f>
        <v>0.62055317626548068</v>
      </c>
      <c r="J22" s="239">
        <f t="shared" ca="1" si="1"/>
        <v>32.699389146915181</v>
      </c>
      <c r="K22" s="237"/>
      <c r="L22" s="239">
        <f>((D22*DATA!$D$23)/1000000)+((E22*DATA!$D$24)/1000000)</f>
        <v>36.753168000000002</v>
      </c>
      <c r="M22" s="239">
        <f t="shared" si="2"/>
        <v>36.753168000000002</v>
      </c>
      <c r="N22" s="239">
        <f t="shared" ca="1" si="6"/>
        <v>4.0537788530848218</v>
      </c>
      <c r="O22" s="238">
        <f>1/(1+'[91]Asumsi I'!$C$3)^(KKF!A22)</f>
        <v>0.18269626126419927</v>
      </c>
      <c r="P22" s="239">
        <f t="shared" ca="1" si="7"/>
        <v>0.74061024045047064</v>
      </c>
      <c r="Q22" s="239">
        <f t="shared" ca="1" si="9"/>
        <v>-146.46104742517224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25440</v>
      </c>
      <c r="D23" s="239">
        <f t="shared" si="5"/>
        <v>4240</v>
      </c>
      <c r="E23" s="239">
        <f t="shared" si="0"/>
        <v>21200</v>
      </c>
      <c r="F23" s="237"/>
      <c r="G23" s="241">
        <f ca="1">DATA!$D$11/1000000</f>
        <v>4.4986948032950007</v>
      </c>
      <c r="H23" s="241">
        <f>C23*DATA!$D$5/1000000</f>
        <v>27.5801411673547</v>
      </c>
      <c r="I23" s="241">
        <f>(C23*DATA!$D$5*DATA!$D$7)/1000000</f>
        <v>0.62055317626548068</v>
      </c>
      <c r="J23" s="239">
        <f t="shared" ca="1" si="1"/>
        <v>32.699389146915181</v>
      </c>
      <c r="K23" s="237"/>
      <c r="L23" s="239">
        <f>((D23*DATA!$D$23)/1000000)+((E23*DATA!$D$24)/1000000)</f>
        <v>36.753168000000002</v>
      </c>
      <c r="M23" s="239">
        <f t="shared" si="2"/>
        <v>36.753168000000002</v>
      </c>
      <c r="N23" s="239">
        <f t="shared" ca="1" si="6"/>
        <v>4.0537788530848218</v>
      </c>
      <c r="O23" s="238">
        <f>1/(1+'[91]Asumsi I'!$C$3)^(KKF!A23)</f>
        <v>0.16312166184303503</v>
      </c>
      <c r="P23" s="239">
        <f t="shared" ca="1" si="7"/>
        <v>0.66125914325934865</v>
      </c>
      <c r="Q23" s="239">
        <f t="shared" ca="1" si="9"/>
        <v>-145.7997882819129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25440</v>
      </c>
      <c r="D24" s="239">
        <f t="shared" si="5"/>
        <v>4240</v>
      </c>
      <c r="E24" s="239">
        <f t="shared" si="0"/>
        <v>21200</v>
      </c>
      <c r="F24" s="237"/>
      <c r="G24" s="241">
        <f ca="1">DATA!$D$11/1000000</f>
        <v>4.4986948032950007</v>
      </c>
      <c r="H24" s="241">
        <f>C24*DATA!$D$5/1000000</f>
        <v>27.5801411673547</v>
      </c>
      <c r="I24" s="241">
        <f>(C24*DATA!$D$5*DATA!$D$7)/1000000</f>
        <v>0.62055317626548068</v>
      </c>
      <c r="J24" s="239">
        <f t="shared" ca="1" si="1"/>
        <v>32.699389146915181</v>
      </c>
      <c r="K24" s="237"/>
      <c r="L24" s="239">
        <f>((D24*DATA!$D$23)/1000000)+((E24*DATA!$D$24)/1000000)</f>
        <v>36.753168000000002</v>
      </c>
      <c r="M24" s="239">
        <f t="shared" si="2"/>
        <v>36.753168000000002</v>
      </c>
      <c r="N24" s="239">
        <f t="shared" ca="1" si="6"/>
        <v>4.0537788530848218</v>
      </c>
      <c r="O24" s="238">
        <f>1/(1+'[91]Asumsi I'!$C$3)^(KKF!A24)</f>
        <v>0.14564434093128129</v>
      </c>
      <c r="P24" s="239">
        <f t="shared" ca="1" si="7"/>
        <v>0.59040994933870417</v>
      </c>
      <c r="Q24" s="239">
        <f t="shared" ca="1" si="9"/>
        <v>-145.2093783325742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25440</v>
      </c>
      <c r="D25" s="239">
        <f t="shared" si="5"/>
        <v>4240</v>
      </c>
      <c r="E25" s="239">
        <f t="shared" si="0"/>
        <v>21200</v>
      </c>
      <c r="F25" s="237"/>
      <c r="G25" s="241">
        <f ca="1">DATA!$D$11/1000000</f>
        <v>4.4986948032950007</v>
      </c>
      <c r="H25" s="241">
        <f>C25*DATA!$D$5/1000000</f>
        <v>27.5801411673547</v>
      </c>
      <c r="I25" s="241">
        <f>(C25*DATA!$D$5*DATA!$D$7)/1000000</f>
        <v>0.62055317626548068</v>
      </c>
      <c r="J25" s="239">
        <f t="shared" ca="1" si="1"/>
        <v>32.699389146915181</v>
      </c>
      <c r="K25" s="237"/>
      <c r="L25" s="239">
        <f>((D25*DATA!$D$23)/1000000)+((E25*DATA!$D$24)/1000000)</f>
        <v>36.753168000000002</v>
      </c>
      <c r="M25" s="239">
        <f t="shared" si="2"/>
        <v>36.753168000000002</v>
      </c>
      <c r="N25" s="239">
        <f t="shared" ca="1" si="6"/>
        <v>4.0537788530848218</v>
      </c>
      <c r="O25" s="238">
        <f>1/(1+'[91]Asumsi I'!$C$3)^(KKF!A25)</f>
        <v>0.13003959011721541</v>
      </c>
      <c r="P25" s="239">
        <f t="shared" ca="1" si="7"/>
        <v>0.52715174048098579</v>
      </c>
      <c r="Q25" s="239">
        <f t="shared" ca="1" si="9"/>
        <v>-144.68222659209323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25440</v>
      </c>
      <c r="D26" s="239">
        <f t="shared" si="5"/>
        <v>4240</v>
      </c>
      <c r="E26" s="239">
        <f t="shared" si="0"/>
        <v>21200</v>
      </c>
      <c r="F26" s="237"/>
      <c r="G26" s="241">
        <f ca="1">DATA!$D$11/1000000</f>
        <v>4.4986948032950007</v>
      </c>
      <c r="H26" s="241">
        <f>C26*DATA!$D$5/1000000</f>
        <v>27.5801411673547</v>
      </c>
      <c r="I26" s="241">
        <f>(C26*DATA!$D$5*DATA!$D$7)/1000000</f>
        <v>0.62055317626548068</v>
      </c>
      <c r="J26" s="239">
        <f t="shared" ca="1" si="1"/>
        <v>32.699389146915181</v>
      </c>
      <c r="K26" s="237"/>
      <c r="L26" s="239">
        <f>((D26*DATA!$D$23)/1000000)+((E26*DATA!$D$24)/1000000)</f>
        <v>36.753168000000002</v>
      </c>
      <c r="M26" s="239">
        <f t="shared" si="2"/>
        <v>36.753168000000002</v>
      </c>
      <c r="N26" s="239">
        <f t="shared" ca="1" si="6"/>
        <v>4.0537788530848218</v>
      </c>
      <c r="O26" s="238">
        <f>1/(1+'[91]Asumsi I'!$C$3)^(KKF!A26)</f>
        <v>0.1161067768903709</v>
      </c>
      <c r="P26" s="239">
        <f t="shared" ca="1" si="7"/>
        <v>0.470671196858023</v>
      </c>
      <c r="Q26" s="239">
        <f t="shared" ca="1" si="9"/>
        <v>-144.21155539523519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25440</v>
      </c>
      <c r="D27" s="239">
        <f t="shared" si="5"/>
        <v>4240</v>
      </c>
      <c r="E27" s="239">
        <f t="shared" si="0"/>
        <v>21200</v>
      </c>
      <c r="F27" s="237"/>
      <c r="G27" s="241">
        <f ca="1">DATA!$D$11/1000000</f>
        <v>4.4986948032950007</v>
      </c>
      <c r="H27" s="241">
        <f>C27*DATA!$D$5/1000000</f>
        <v>27.5801411673547</v>
      </c>
      <c r="I27" s="241">
        <f>(C27*DATA!$D$5*DATA!$D$7)/1000000</f>
        <v>0.62055317626548068</v>
      </c>
      <c r="J27" s="239">
        <f t="shared" ca="1" si="1"/>
        <v>32.699389146915181</v>
      </c>
      <c r="K27" s="237"/>
      <c r="L27" s="239">
        <f>((D27*DATA!$D$23)/1000000)+((E27*DATA!$D$24)/1000000)</f>
        <v>36.753168000000002</v>
      </c>
      <c r="M27" s="239">
        <f t="shared" si="2"/>
        <v>36.753168000000002</v>
      </c>
      <c r="N27" s="239">
        <f t="shared" ca="1" si="6"/>
        <v>4.0537788530848218</v>
      </c>
      <c r="O27" s="238">
        <f>1/(1+'[91]Asumsi I'!$C$3)^(KKF!A27)</f>
        <v>0.1036667650806883</v>
      </c>
      <c r="P27" s="239">
        <f t="shared" ca="1" si="7"/>
        <v>0.42024214005180627</v>
      </c>
      <c r="Q27" s="239">
        <f t="shared" ca="1" si="9"/>
        <v>-143.79131325518338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25440</v>
      </c>
      <c r="D28" s="239">
        <f t="shared" si="5"/>
        <v>4240</v>
      </c>
      <c r="E28" s="239">
        <f t="shared" si="0"/>
        <v>21200</v>
      </c>
      <c r="F28" s="237"/>
      <c r="G28" s="241">
        <f ca="1">DATA!$D$11/1000000</f>
        <v>4.4986948032950007</v>
      </c>
      <c r="H28" s="241">
        <f>C28*DATA!$D$5/1000000</f>
        <v>27.5801411673547</v>
      </c>
      <c r="I28" s="241">
        <f>(C28*DATA!$D$5*DATA!$D$7)/1000000</f>
        <v>0.62055317626548068</v>
      </c>
      <c r="J28" s="239">
        <f t="shared" ca="1" si="1"/>
        <v>32.699389146915181</v>
      </c>
      <c r="K28" s="237"/>
      <c r="L28" s="239">
        <f>((D28*DATA!$D$23)/1000000)+((E28*DATA!$D$24)/1000000)</f>
        <v>36.753168000000002</v>
      </c>
      <c r="M28" s="239">
        <f t="shared" si="2"/>
        <v>36.753168000000002</v>
      </c>
      <c r="N28" s="239">
        <f t="shared" ca="1" si="6"/>
        <v>4.0537788530848218</v>
      </c>
      <c r="O28" s="238">
        <f>1/(1+'[91]Asumsi I'!$C$3)^(KKF!A28)</f>
        <v>9.2559611679185971E-2</v>
      </c>
      <c r="P28" s="239">
        <f t="shared" ca="1" si="7"/>
        <v>0.37521619647482696</v>
      </c>
      <c r="Q28" s="239">
        <f t="shared" ca="1" si="9"/>
        <v>-143.41609705870854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25440</v>
      </c>
      <c r="D29" s="239">
        <f t="shared" si="5"/>
        <v>4240</v>
      </c>
      <c r="E29" s="239">
        <f t="shared" si="0"/>
        <v>21200</v>
      </c>
      <c r="F29" s="237"/>
      <c r="G29" s="241">
        <f ca="1">DATA!$D$11/1000000</f>
        <v>4.4986948032950007</v>
      </c>
      <c r="H29" s="241">
        <f>C29*DATA!$D$5/1000000</f>
        <v>27.5801411673547</v>
      </c>
      <c r="I29" s="241">
        <f>(C29*DATA!$D$5*DATA!$D$7)/1000000</f>
        <v>0.62055317626548068</v>
      </c>
      <c r="J29" s="239">
        <f t="shared" ca="1" si="1"/>
        <v>32.699389146915181</v>
      </c>
      <c r="K29" s="237"/>
      <c r="L29" s="239">
        <f>((D29*DATA!$D$23)/1000000)+((E29*DATA!$D$24)/1000000)</f>
        <v>36.753168000000002</v>
      </c>
      <c r="M29" s="239">
        <f t="shared" si="2"/>
        <v>36.753168000000002</v>
      </c>
      <c r="N29" s="239">
        <f t="shared" ca="1" si="6"/>
        <v>4.0537788530848218</v>
      </c>
      <c r="O29" s="238">
        <f>1/(1+'[91]Asumsi I'!$C$3)^(KKF!A29)</f>
        <v>8.2642510427844609E-2</v>
      </c>
      <c r="P29" s="239">
        <f t="shared" ca="1" si="7"/>
        <v>0.33501446113823835</v>
      </c>
      <c r="Q29" s="239">
        <f t="shared" ca="1" si="9"/>
        <v>-143.08108259757032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25440</v>
      </c>
      <c r="D30" s="239">
        <f t="shared" si="5"/>
        <v>4240</v>
      </c>
      <c r="E30" s="239">
        <f t="shared" si="0"/>
        <v>21200</v>
      </c>
      <c r="F30" s="237"/>
      <c r="G30" s="241">
        <f ca="1">DATA!$D$11/1000000</f>
        <v>4.4986948032950007</v>
      </c>
      <c r="H30" s="241">
        <f>C30*DATA!$D$5/1000000</f>
        <v>27.5801411673547</v>
      </c>
      <c r="I30" s="241">
        <f>(C30*DATA!$D$5*DATA!$D$7)/1000000</f>
        <v>0.62055317626548068</v>
      </c>
      <c r="J30" s="239">
        <f t="shared" ca="1" si="1"/>
        <v>32.699389146915181</v>
      </c>
      <c r="K30" s="237"/>
      <c r="L30" s="239">
        <f>((D30*DATA!$D$23)/1000000)+((E30*DATA!$D$24)/1000000)</f>
        <v>36.753168000000002</v>
      </c>
      <c r="M30" s="239">
        <f t="shared" si="2"/>
        <v>36.753168000000002</v>
      </c>
      <c r="N30" s="239">
        <f t="shared" ca="1" si="6"/>
        <v>4.0537788530848218</v>
      </c>
      <c r="O30" s="238">
        <f>1/(1+'[91]Asumsi I'!$C$3)^(KKF!A30)</f>
        <v>7.3787955739146982E-2</v>
      </c>
      <c r="P30" s="239">
        <f t="shared" ca="1" si="7"/>
        <v>0.29912005458771285</v>
      </c>
      <c r="Q30" s="239">
        <f t="shared" ca="1" si="9"/>
        <v>-142.7819625429826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25440</v>
      </c>
      <c r="D31" s="239">
        <f t="shared" si="5"/>
        <v>4240</v>
      </c>
      <c r="E31" s="239">
        <f t="shared" si="0"/>
        <v>21200</v>
      </c>
      <c r="F31" s="237"/>
      <c r="G31" s="241">
        <f ca="1">DATA!$D$11/1000000</f>
        <v>4.4986948032950007</v>
      </c>
      <c r="H31" s="241">
        <f>C31*DATA!$D$5/1000000</f>
        <v>27.5801411673547</v>
      </c>
      <c r="I31" s="241">
        <f>(C31*DATA!$D$5*DATA!$D$7)/1000000</f>
        <v>0.62055317626548068</v>
      </c>
      <c r="J31" s="239">
        <f t="shared" ca="1" si="1"/>
        <v>32.699389146915181</v>
      </c>
      <c r="K31" s="237"/>
      <c r="L31" s="239">
        <f>((D31*DATA!$D$23)/1000000)+((E31*DATA!$D$24)/1000000)</f>
        <v>36.753168000000002</v>
      </c>
      <c r="M31" s="239">
        <f t="shared" si="2"/>
        <v>36.753168000000002</v>
      </c>
      <c r="N31" s="239">
        <f t="shared" ca="1" si="6"/>
        <v>4.0537788530848218</v>
      </c>
      <c r="O31" s="238">
        <f>1/(1+'[91]Asumsi I'!$C$3)^(KKF!A31)</f>
        <v>6.5882103338524081E-2</v>
      </c>
      <c r="P31" s="239">
        <f t="shared" ca="1" si="7"/>
        <v>0.26707147731045788</v>
      </c>
      <c r="Q31" s="239">
        <f ca="1">Q30+P31</f>
        <v>-142.51489106567215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25440</v>
      </c>
      <c r="D32" s="239">
        <f t="shared" si="5"/>
        <v>4240</v>
      </c>
      <c r="E32" s="239">
        <f t="shared" si="0"/>
        <v>21200</v>
      </c>
      <c r="F32" s="237"/>
      <c r="G32" s="241">
        <f ca="1">DATA!$D$11/1000000</f>
        <v>4.4986948032950007</v>
      </c>
      <c r="H32" s="241">
        <f>C32*DATA!$D$5/1000000</f>
        <v>27.5801411673547</v>
      </c>
      <c r="I32" s="241">
        <f>(C32*DATA!$D$5*DATA!$D$7)/1000000</f>
        <v>0.62055317626548068</v>
      </c>
      <c r="J32" s="239">
        <f t="shared" ca="1" si="1"/>
        <v>32.699389146915181</v>
      </c>
      <c r="K32" s="237"/>
      <c r="L32" s="239">
        <f>((D32*DATA!$D$23)/1000000)+((E32*DATA!$D$24)/1000000)</f>
        <v>36.753168000000002</v>
      </c>
      <c r="M32" s="239">
        <f t="shared" si="2"/>
        <v>36.753168000000002</v>
      </c>
      <c r="N32" s="239">
        <f t="shared" ca="1" si="6"/>
        <v>4.0537788530848218</v>
      </c>
      <c r="O32" s="238">
        <f>1/(1+'[91]Asumsi I'!$C$3)^(KKF!A32)</f>
        <v>5.8823306552253637E-2</v>
      </c>
      <c r="P32" s="239">
        <f t="shared" ca="1" si="7"/>
        <v>0.23845667617005165</v>
      </c>
      <c r="Q32" s="239">
        <f ca="1">Q31+P32</f>
        <v>-142.2764343895021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0" t="s">
        <v>1344</v>
      </c>
      <c r="G33" s="610"/>
      <c r="H33" s="610"/>
      <c r="I33" s="247"/>
      <c r="J33" s="248">
        <f ca="1">SUM(J7:J32)</f>
        <v>1065.7186265366718</v>
      </c>
      <c r="K33" s="610" t="s">
        <v>1345</v>
      </c>
      <c r="L33" s="610"/>
      <c r="M33" s="248">
        <f>SUM(M7:M32)</f>
        <v>992.99231199999963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61.235184962024313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0.93175842785725249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-127.03253070491257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-3.7909124103205016E-2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9" priority="1" stopIfTrue="1" operator="greaterThanOrEqual">
      <formula>$F$7</formula>
    </cfRule>
    <cfRule type="cellIs" dxfId="28" priority="2" stopIfTrue="1" operator="lessThan">
      <formula>$F$7</formula>
    </cfRule>
  </conditionalFormatting>
  <conditionalFormatting sqref="Q7:Q32">
    <cfRule type="cellIs" dxfId="27" priority="3" operator="lessThan">
      <formula>0</formula>
    </cfRule>
    <cfRule type="cellIs" dxfId="26" priority="4" operator="lessThan">
      <formula>0</formula>
    </cfRule>
    <cfRule type="cellIs" dxfId="25" priority="5" operator="lessThan">
      <formula>-6395.81</formula>
    </cfRule>
    <cfRule type="cellIs" dxfId="2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15"/>
  <sheetViews>
    <sheetView showGridLines="0" zoomScale="70" zoomScaleNormal="70" zoomScaleSheetLayoutView="70" workbookViewId="0">
      <pane ySplit="13" topLeftCell="A194" activePane="bottomLeft" state="frozen"/>
      <selection activeCell="H1093" sqref="H1093"/>
      <selection pane="bottomLeft" activeCell="G208" sqref="G208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9" customWidth="1"/>
    <col min="4" max="4" width="13.7109375" style="329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13" t="s">
        <v>1006</v>
      </c>
      <c r="P3" s="613"/>
      <c r="Q3" s="269"/>
      <c r="T3" s="267"/>
      <c r="U3" s="268" t="s">
        <v>1011</v>
      </c>
      <c r="V3" s="267"/>
    </row>
    <row r="4" spans="1:22" ht="15.75" customHeight="1">
      <c r="B4" s="614" t="s">
        <v>993</v>
      </c>
      <c r="C4" s="614"/>
      <c r="D4" s="614"/>
      <c r="E4" s="614"/>
      <c r="F4" s="614"/>
      <c r="G4" s="614"/>
      <c r="H4" s="614"/>
      <c r="I4" s="614"/>
      <c r="J4" s="614"/>
      <c r="K4" s="614"/>
      <c r="O4" s="613"/>
      <c r="P4" s="613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31" t="s">
        <v>1655</v>
      </c>
      <c r="H6" s="531"/>
      <c r="I6" s="531"/>
      <c r="J6" s="531"/>
      <c r="K6" s="531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1656</v>
      </c>
      <c r="H7" s="27"/>
      <c r="I7" s="27"/>
      <c r="J7" s="107"/>
      <c r="K7" s="439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16" t="s">
        <v>0</v>
      </c>
      <c r="C11" s="618" t="s">
        <v>1</v>
      </c>
      <c r="D11" s="621" t="s">
        <v>32</v>
      </c>
      <c r="E11" s="621" t="s">
        <v>33</v>
      </c>
      <c r="F11" s="621" t="s">
        <v>2</v>
      </c>
      <c r="G11" s="623" t="s">
        <v>31</v>
      </c>
      <c r="H11" s="621" t="s">
        <v>3</v>
      </c>
      <c r="I11" s="621"/>
      <c r="J11" s="621"/>
      <c r="K11" s="628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17"/>
      <c r="C12" s="619"/>
      <c r="D12" s="622"/>
      <c r="E12" s="622"/>
      <c r="F12" s="622"/>
      <c r="G12" s="624"/>
      <c r="H12" s="626" t="s">
        <v>36</v>
      </c>
      <c r="I12" s="626" t="s">
        <v>5</v>
      </c>
      <c r="J12" s="622" t="s">
        <v>37</v>
      </c>
      <c r="K12" s="629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17"/>
      <c r="C13" s="620"/>
      <c r="D13" s="622"/>
      <c r="E13" s="622"/>
      <c r="F13" s="622"/>
      <c r="G13" s="625"/>
      <c r="H13" s="627"/>
      <c r="I13" s="627"/>
      <c r="J13" s="622"/>
      <c r="K13" s="629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77" t="s">
        <v>470</v>
      </c>
      <c r="C15" s="478" t="s">
        <v>1576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20" ca="1" si="0">IF(OR(D15="MDU",D15="MDU-KD"),(IF($O$3="RAB NON MDU","PLN KD",G15*F15)),0)</f>
        <v>0</v>
      </c>
      <c r="I15" s="284">
        <f t="shared" ref="I15:I20" ca="1" si="1">IF(D15="HDW",G15*F15,0)</f>
        <v>0</v>
      </c>
      <c r="J15" s="284">
        <f t="shared" ref="J15:J20" ca="1" si="2">IF(D15="JASA",G15*F15,0)</f>
        <v>0</v>
      </c>
      <c r="K15" s="285">
        <f t="shared" ref="K15:K22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80" t="s">
        <v>1005</v>
      </c>
      <c r="C16" s="109" t="s">
        <v>96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Unit</v>
      </c>
      <c r="F16" s="289">
        <v>3</v>
      </c>
      <c r="G16" s="283">
        <f ca="1">IF(ISERROR(OFFSET('HARGA SATUAN'!$I$6,MATCH(RAB!C16,'HARGA SATUAN'!$C$7:$C$1492,0),0)),0,OFFSET('HARGA SATUAN'!$I$6,MATCH(RAB!C16,'HARGA SATUAN'!$C$7:$C$1492,0),0))</f>
        <v>8609100</v>
      </c>
      <c r="H16" s="284">
        <f t="shared" ca="1" si="0"/>
        <v>0</v>
      </c>
      <c r="I16" s="284">
        <f t="shared" ca="1" si="1"/>
        <v>25827300</v>
      </c>
      <c r="J16" s="284">
        <f t="shared" ca="1" si="2"/>
        <v>0</v>
      </c>
      <c r="K16" s="285">
        <f t="shared" ca="1" si="3"/>
        <v>25827300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80" t="s">
        <v>1005</v>
      </c>
      <c r="C17" s="497" t="s">
        <v>6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Unit</v>
      </c>
      <c r="F17" s="289">
        <v>3</v>
      </c>
      <c r="G17" s="283">
        <f ca="1">IF(ISERROR(OFFSET('HARGA SATUAN'!$I$6,MATCH(RAB!C17,'HARGA SATUAN'!$C$7:$C$1492,0),0)),0,OFFSET('HARGA SATUAN'!$I$6,MATCH(RAB!C17,'HARGA SATUAN'!$C$7:$C$1492,0),0))</f>
        <v>10066.666666666668</v>
      </c>
      <c r="H17" s="284">
        <f t="shared" ca="1" si="0"/>
        <v>0</v>
      </c>
      <c r="I17" s="284">
        <f t="shared" ca="1" si="1"/>
        <v>0</v>
      </c>
      <c r="J17" s="284">
        <f t="shared" ca="1" si="2"/>
        <v>30200.000000000004</v>
      </c>
      <c r="K17" s="285">
        <f t="shared" ca="1" si="3"/>
        <v>30200.000000000004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80" t="s">
        <v>1005</v>
      </c>
      <c r="C18" s="109" t="s">
        <v>451</v>
      </c>
      <c r="D18" s="281" t="str">
        <f ca="1">IF(ISERROR(OFFSET('HARGA SATUAN'!$D$6,MATCH(RAB!C18,'HARGA SATUAN'!$C$7:$C$1492,0),0)),"",OFFSET('HARGA SATUAN'!$D$6,MATCH(RAB!C18,'HARGA SATUAN'!$C$7:$C$1492,0),0))</f>
        <v>HDW</v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289">
        <v>3</v>
      </c>
      <c r="G18" s="283">
        <f ca="1">IF(ISERROR(OFFSET('HARGA SATUAN'!$I$6,MATCH(RAB!C18,'HARGA SATUAN'!$C$7:$C$1492,0),0)),0,OFFSET('HARGA SATUAN'!$I$6,MATCH(RAB!C18,'HARGA SATUAN'!$C$7:$C$1492,0),0))</f>
        <v>200000</v>
      </c>
      <c r="H18" s="284">
        <f t="shared" ref="H18:H19" ca="1" si="4">IF(OR(D18="MDU",D18="MDU-KD"),(IF($O$3="RAB NON MDU","PLN KD",G18*F18)),0)</f>
        <v>0</v>
      </c>
      <c r="I18" s="284">
        <f t="shared" ref="I18:I19" ca="1" si="5">IF(D18="HDW",G18*F18,0)</f>
        <v>600000</v>
      </c>
      <c r="J18" s="284">
        <f t="shared" ref="J18:J19" ca="1" si="6">IF(D18="JASA",G18*F18,0)</f>
        <v>0</v>
      </c>
      <c r="K18" s="285">
        <f t="shared" ref="K18:K19" ca="1" si="7">SUM(H18:J18)</f>
        <v>600000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480" t="s">
        <v>1005</v>
      </c>
      <c r="C19" s="497" t="s">
        <v>359</v>
      </c>
      <c r="D19" s="281" t="str">
        <f ca="1">IF(ISERROR(OFFSET('HARGA SATUAN'!$D$6,MATCH(RAB!C19,'HARGA SATUAN'!$C$7:$C$1492,0),0)),"",OFFSET('HARGA SATUAN'!$D$6,MATCH(RAB!C19,'HARGA SATUAN'!$C$7:$C$1492,0),0))</f>
        <v>JASA</v>
      </c>
      <c r="E19" s="282" t="str">
        <f ca="1">IF(B19="+","Unit",IF(ISERROR(OFFSET('HARGA SATUAN'!$E$6,MATCH(RAB!C19,'HARGA SATUAN'!$C$7:$C$1492,0),0)),"",OFFSET('HARGA SATUAN'!$E$6,MATCH(RAB!C19,'HARGA SATUAN'!$C$7:$C$1492,0),0)))</f>
        <v>Unit</v>
      </c>
      <c r="F19" s="289">
        <v>3</v>
      </c>
      <c r="G19" s="283">
        <f ca="1">IF(ISERROR(OFFSET('HARGA SATUAN'!$I$6,MATCH(RAB!C19,'HARGA SATUAN'!$C$7:$C$1492,0),0)),0,OFFSET('HARGA SATUAN'!$I$6,MATCH(RAB!C19,'HARGA SATUAN'!$C$7:$C$1492,0),0))</f>
        <v>1063986</v>
      </c>
      <c r="H19" s="284">
        <f t="shared" ca="1" si="4"/>
        <v>0</v>
      </c>
      <c r="I19" s="284">
        <f t="shared" ca="1" si="5"/>
        <v>0</v>
      </c>
      <c r="J19" s="284">
        <f t="shared" ca="1" si="6"/>
        <v>3191958</v>
      </c>
      <c r="K19" s="285">
        <f t="shared" ca="1" si="7"/>
        <v>3191958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80"/>
      <c r="C20" s="109"/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289"/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0"/>
        <v>0</v>
      </c>
      <c r="I20" s="284">
        <f t="shared" ca="1" si="1"/>
        <v>0</v>
      </c>
      <c r="J20" s="284">
        <f t="shared" ca="1" si="2"/>
        <v>0</v>
      </c>
      <c r="K20" s="285">
        <f t="shared" ca="1" si="3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IF(AND(C21=0,#REF!=0,#REF!=0),"BLANKS",1)</f>
        <v>#REF!</v>
      </c>
      <c r="B21" s="480"/>
      <c r="C21" s="497"/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289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ref="H21:H22" ca="1" si="8">IF(OR(D21="MDU",D21="MDU-KD"),(IF($O$3="RAB NON MDU","PLN KD",G21*F21)),0)</f>
        <v>0</v>
      </c>
      <c r="I21" s="284">
        <f t="shared" ref="I21:I22" ca="1" si="9">IF(D21="HDW",G21*F21,0)</f>
        <v>0</v>
      </c>
      <c r="J21" s="284">
        <f t="shared" ref="J21:J22" ca="1" si="10">IF(D21="JASA",G21*F21,0)</f>
        <v>0</v>
      </c>
      <c r="K21" s="285">
        <f t="shared" ca="1" si="3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28.5">
      <c r="A22" s="259" t="e">
        <f>IF(AND(C22=0,#REF!=0,#REF!=0),"BLANKS",1)</f>
        <v>#REF!</v>
      </c>
      <c r="B22" s="479" t="s">
        <v>495</v>
      </c>
      <c r="C22" s="280" t="s">
        <v>1577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3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8"/>
        <v>0</v>
      </c>
      <c r="I22" s="284">
        <f t="shared" ca="1" si="9"/>
        <v>0</v>
      </c>
      <c r="J22" s="284">
        <f t="shared" ca="1" si="10"/>
        <v>0</v>
      </c>
      <c r="K22" s="285">
        <f t="shared" ca="1" si="3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/>
      <c r="B23" s="480"/>
      <c r="C23" s="497"/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/>
      </c>
      <c r="F23" s="393"/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ref="H23:H180" ca="1" si="11">IF(OR(D23="MDU",D23="MDU-KD"),(IF($O$3="RAB NON MDU","PLN KD",G23*F23)),0)</f>
        <v>0</v>
      </c>
      <c r="I23" s="284">
        <f t="shared" ref="I23:I180" ca="1" si="12">IF(D23="HDW",G23*F23,0)</f>
        <v>0</v>
      </c>
      <c r="J23" s="284">
        <f t="shared" ref="J23:J180" ca="1" si="13">IF(D23="JASA",G23*F23,0)</f>
        <v>0</v>
      </c>
      <c r="K23" s="285">
        <f t="shared" ref="K23:K180" ca="1" si="14">SUM(H23:J23)</f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 t="e">
        <f>IF(AND(C24=0,#REF!=0,#REF!=0),"BLANKS",1)</f>
        <v>#REF!</v>
      </c>
      <c r="B24" s="714" t="s">
        <v>1005</v>
      </c>
      <c r="C24" s="713" t="s">
        <v>1641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>Unit</v>
      </c>
      <c r="F24" s="715">
        <v>2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11"/>
        <v>0</v>
      </c>
      <c r="I24" s="284">
        <f t="shared" ca="1" si="12"/>
        <v>0</v>
      </c>
      <c r="J24" s="284">
        <f t="shared" ca="1" si="13"/>
        <v>0</v>
      </c>
      <c r="K24" s="285">
        <f t="shared" ca="1" si="14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IF(AND(C25=0,C26=0,#REF!=0),"BLANKS",1)</f>
        <v>#REF!</v>
      </c>
      <c r="B25" s="714">
        <v>1</v>
      </c>
      <c r="C25" s="713" t="s">
        <v>1530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Set</v>
      </c>
      <c r="F25" s="715">
        <f>F24*3</f>
        <v>6</v>
      </c>
      <c r="G25" s="283">
        <f ca="1">IF(ISERROR(OFFSET('HARGA SATUAN'!$I$6,MATCH(RAB!C25,'HARGA SATUAN'!$C$7:$C$1492,0),0)),0,OFFSET('HARGA SATUAN'!$I$6,MATCH(RAB!C25,'HARGA SATUAN'!$C$7:$C$1492,0),0))</f>
        <v>430000</v>
      </c>
      <c r="H25" s="284">
        <f t="shared" ca="1" si="11"/>
        <v>2580000</v>
      </c>
      <c r="I25" s="284">
        <f t="shared" ca="1" si="12"/>
        <v>0</v>
      </c>
      <c r="J25" s="284">
        <f t="shared" ca="1" si="13"/>
        <v>0</v>
      </c>
      <c r="K25" s="285">
        <f t="shared" ca="1" si="14"/>
        <v>2580000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 t="e">
        <f>IF(AND(C26=0,#REF!=0,#REF!=0),"BLANKS",1)</f>
        <v>#REF!</v>
      </c>
      <c r="B26" s="714">
        <v>2</v>
      </c>
      <c r="C26" s="713" t="s">
        <v>142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Mtr</v>
      </c>
      <c r="F26" s="715">
        <f>F24*1</f>
        <v>2</v>
      </c>
      <c r="G26" s="283">
        <f ca="1">IF(ISERROR(OFFSET('HARGA SATUAN'!$I$6,MATCH(RAB!C26,'HARGA SATUAN'!$C$7:$C$1492,0),0)),0,OFFSET('HARGA SATUAN'!$I$6,MATCH(RAB!C26,'HARGA SATUAN'!$C$7:$C$1492,0),0))</f>
        <v>7789</v>
      </c>
      <c r="H26" s="284">
        <f t="shared" ca="1" si="11"/>
        <v>0</v>
      </c>
      <c r="I26" s="284">
        <f t="shared" ca="1" si="12"/>
        <v>15578</v>
      </c>
      <c r="J26" s="284">
        <f t="shared" ca="1" si="13"/>
        <v>0</v>
      </c>
      <c r="K26" s="285">
        <f t="shared" ca="1" si="14"/>
        <v>15578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>
        <f t="shared" ref="A27:A29" si="15">IF(AND(C27=0,C28=0,C29=0),"BLANKS",1)</f>
        <v>1</v>
      </c>
      <c r="B27" s="714">
        <v>3</v>
      </c>
      <c r="C27" s="713" t="s">
        <v>147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715">
        <f>F24*2</f>
        <v>4</v>
      </c>
      <c r="G27" s="283">
        <f ca="1">IF(ISERROR(OFFSET('HARGA SATUAN'!$I$6,MATCH(RAB!C27,'HARGA SATUAN'!$C$7:$C$1492,0),0)),0,OFFSET('HARGA SATUAN'!$I$6,MATCH(RAB!C27,'HARGA SATUAN'!$C$7:$C$1492,0),0))</f>
        <v>40000</v>
      </c>
      <c r="H27" s="284">
        <f t="shared" ref="H27:H35" ca="1" si="16">IF(OR(D27="MDU",D27="MDU-KD"),(IF($O$3="RAB NON MDU","PLN KD",G27*F27)),0)</f>
        <v>0</v>
      </c>
      <c r="I27" s="284">
        <f t="shared" ref="I27:I35" ca="1" si="17">IF(D27="HDW",G27*F27,0)</f>
        <v>160000</v>
      </c>
      <c r="J27" s="284">
        <f t="shared" ref="J27:J35" ca="1" si="18">IF(D27="JASA",G27*F27,0)</f>
        <v>0</v>
      </c>
      <c r="K27" s="285">
        <f t="shared" ref="K27:K35" ca="1" si="19">SUM(H27:J27)</f>
        <v>160000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>
        <f t="shared" si="15"/>
        <v>1</v>
      </c>
      <c r="B28" s="714">
        <v>4</v>
      </c>
      <c r="C28" s="713" t="s">
        <v>18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715">
        <f>F24*1</f>
        <v>2</v>
      </c>
      <c r="G28" s="283">
        <f ca="1">IF(ISERROR(OFFSET('HARGA SATUAN'!$I$6,MATCH(RAB!C28,'HARGA SATUAN'!$C$7:$C$1492,0),0)),0,OFFSET('HARGA SATUAN'!$I$6,MATCH(RAB!C28,'HARGA SATUAN'!$C$7:$C$1492,0),0))</f>
        <v>26500</v>
      </c>
      <c r="H28" s="284">
        <f t="shared" ca="1" si="16"/>
        <v>0</v>
      </c>
      <c r="I28" s="284">
        <f t="shared" ca="1" si="17"/>
        <v>53000</v>
      </c>
      <c r="J28" s="284">
        <f t="shared" ca="1" si="18"/>
        <v>0</v>
      </c>
      <c r="K28" s="285">
        <f t="shared" ca="1" si="19"/>
        <v>53000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>
        <f t="shared" si="15"/>
        <v>1</v>
      </c>
      <c r="B29" s="714">
        <v>5</v>
      </c>
      <c r="C29" s="713" t="s">
        <v>153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715">
        <f>F24*4</f>
        <v>8</v>
      </c>
      <c r="G29" s="283">
        <f ca="1">IF(ISERROR(OFFSET('HARGA SATUAN'!$I$6,MATCH(RAB!C29,'HARGA SATUAN'!$C$7:$C$1492,0),0)),0,OFFSET('HARGA SATUAN'!$I$6,MATCH(RAB!C29,'HARGA SATUAN'!$C$7:$C$1492,0),0))</f>
        <v>7938</v>
      </c>
      <c r="H29" s="284">
        <f t="shared" ca="1" si="16"/>
        <v>0</v>
      </c>
      <c r="I29" s="284">
        <f t="shared" ca="1" si="17"/>
        <v>63504</v>
      </c>
      <c r="J29" s="284">
        <f t="shared" ca="1" si="18"/>
        <v>0</v>
      </c>
      <c r="K29" s="285">
        <f t="shared" ca="1" si="19"/>
        <v>63504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 t="e">
        <f>IF(AND(C30=0,C31=0,#REF!=0),"BLANKS",1)</f>
        <v>#REF!</v>
      </c>
      <c r="B30" s="714">
        <v>6</v>
      </c>
      <c r="C30" s="713" t="s">
        <v>163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715">
        <f>F24*4</f>
        <v>8</v>
      </c>
      <c r="G30" s="283">
        <f ca="1">IF(ISERROR(OFFSET('HARGA SATUAN'!$I$6,MATCH(RAB!C30,'HARGA SATUAN'!$C$7:$C$1492,0),0)),0,OFFSET('HARGA SATUAN'!$I$6,MATCH(RAB!C30,'HARGA SATUAN'!$C$7:$C$1492,0),0))</f>
        <v>45000</v>
      </c>
      <c r="H30" s="284">
        <f t="shared" ca="1" si="16"/>
        <v>0</v>
      </c>
      <c r="I30" s="284">
        <f t="shared" ca="1" si="17"/>
        <v>360000</v>
      </c>
      <c r="J30" s="284">
        <f t="shared" ca="1" si="18"/>
        <v>0</v>
      </c>
      <c r="K30" s="285">
        <f t="shared" ca="1" si="19"/>
        <v>360000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IF(AND(C31=0,#REF!=0,#REF!=0),"BLANKS",1)</f>
        <v>#REF!</v>
      </c>
      <c r="B31" s="714">
        <v>7</v>
      </c>
      <c r="C31" s="713" t="s">
        <v>169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715">
        <f>F24*1</f>
        <v>2</v>
      </c>
      <c r="G31" s="283">
        <f ca="1">IF(ISERROR(OFFSET('HARGA SATUAN'!$I$6,MATCH(RAB!C31,'HARGA SATUAN'!$C$7:$C$1492,0),0)),0,OFFSET('HARGA SATUAN'!$I$6,MATCH(RAB!C31,'HARGA SATUAN'!$C$7:$C$1492,0),0))</f>
        <v>15500</v>
      </c>
      <c r="H31" s="284">
        <f t="shared" ca="1" si="16"/>
        <v>0</v>
      </c>
      <c r="I31" s="284">
        <f t="shared" ca="1" si="17"/>
        <v>31000</v>
      </c>
      <c r="J31" s="284">
        <f t="shared" ca="1" si="18"/>
        <v>0</v>
      </c>
      <c r="K31" s="285">
        <f t="shared" ca="1" si="19"/>
        <v>31000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>
        <f t="shared" ref="A32:A34" si="20">IF(AND(C32=0,C33=0,C34=0),"BLANKS",1)</f>
        <v>1</v>
      </c>
      <c r="B32" s="714">
        <v>8</v>
      </c>
      <c r="C32" s="713" t="s">
        <v>583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715">
        <f>F24*2</f>
        <v>4</v>
      </c>
      <c r="G32" s="283">
        <f ca="1">IF(ISERROR(OFFSET('HARGA SATUAN'!$I$6,MATCH(RAB!C32,'HARGA SATUAN'!$C$7:$C$1492,0),0)),0,OFFSET('HARGA SATUAN'!$I$6,MATCH(RAB!C32,'HARGA SATUAN'!$C$7:$C$1492,0),0))</f>
        <v>380500</v>
      </c>
      <c r="H32" s="284">
        <f t="shared" ca="1" si="16"/>
        <v>0</v>
      </c>
      <c r="I32" s="284">
        <f t="shared" ca="1" si="17"/>
        <v>1522000</v>
      </c>
      <c r="J32" s="284">
        <f t="shared" ca="1" si="18"/>
        <v>0</v>
      </c>
      <c r="K32" s="285">
        <f t="shared" ca="1" si="19"/>
        <v>1522000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>
        <f t="shared" si="20"/>
        <v>1</v>
      </c>
      <c r="B33" s="714">
        <v>9</v>
      </c>
      <c r="C33" s="713" t="s">
        <v>207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715">
        <f>F24*4</f>
        <v>8</v>
      </c>
      <c r="G33" s="283">
        <f ca="1">IF(ISERROR(OFFSET('HARGA SATUAN'!$I$6,MATCH(RAB!C33,'HARGA SATUAN'!$C$7:$C$1492,0),0)),0,OFFSET('HARGA SATUAN'!$I$6,MATCH(RAB!C33,'HARGA SATUAN'!$C$7:$C$1492,0),0))</f>
        <v>11400</v>
      </c>
      <c r="H33" s="284">
        <f t="shared" ca="1" si="16"/>
        <v>0</v>
      </c>
      <c r="I33" s="284">
        <f t="shared" ca="1" si="17"/>
        <v>91200</v>
      </c>
      <c r="J33" s="284">
        <f t="shared" ca="1" si="18"/>
        <v>0</v>
      </c>
      <c r="K33" s="285">
        <f t="shared" ca="1" si="19"/>
        <v>91200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>
        <f t="shared" si="20"/>
        <v>1</v>
      </c>
      <c r="B34" s="714">
        <v>10</v>
      </c>
      <c r="C34" s="713" t="s">
        <v>208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715">
        <f>F24*2</f>
        <v>4</v>
      </c>
      <c r="G34" s="283">
        <f ca="1">IF(ISERROR(OFFSET('HARGA SATUAN'!$I$6,MATCH(RAB!C34,'HARGA SATUAN'!$C$7:$C$1492,0),0)),0,OFFSET('HARGA SATUAN'!$I$6,MATCH(RAB!C34,'HARGA SATUAN'!$C$7:$C$1492,0),0))</f>
        <v>29600</v>
      </c>
      <c r="H34" s="284">
        <f t="shared" ca="1" si="16"/>
        <v>0</v>
      </c>
      <c r="I34" s="284">
        <f t="shared" ca="1" si="17"/>
        <v>118400</v>
      </c>
      <c r="J34" s="284">
        <f t="shared" ca="1" si="18"/>
        <v>0</v>
      </c>
      <c r="K34" s="285">
        <f t="shared" ca="1" si="19"/>
        <v>118400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IF(AND(C35=0,C36=0,#REF!=0),"BLANKS",1)</f>
        <v>#REF!</v>
      </c>
      <c r="B35" s="714">
        <v>11</v>
      </c>
      <c r="C35" s="713" t="s">
        <v>213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715">
        <f>F24*1</f>
        <v>2</v>
      </c>
      <c r="G35" s="283">
        <f ca="1">IF(ISERROR(OFFSET('HARGA SATUAN'!$I$6,MATCH(RAB!C35,'HARGA SATUAN'!$C$7:$C$1492,0),0)),0,OFFSET('HARGA SATUAN'!$I$6,MATCH(RAB!C35,'HARGA SATUAN'!$C$7:$C$1492,0),0))</f>
        <v>27815</v>
      </c>
      <c r="H35" s="284">
        <f t="shared" ca="1" si="16"/>
        <v>0</v>
      </c>
      <c r="I35" s="284">
        <f t="shared" ca="1" si="17"/>
        <v>55630</v>
      </c>
      <c r="J35" s="284">
        <f t="shared" ca="1" si="18"/>
        <v>0</v>
      </c>
      <c r="K35" s="285">
        <f t="shared" ca="1" si="19"/>
        <v>55630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/>
      <c r="B36" s="714">
        <v>12</v>
      </c>
      <c r="C36" s="713" t="s">
        <v>15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715">
        <f>F24*3</f>
        <v>6</v>
      </c>
      <c r="G36" s="283">
        <f ca="1">IF(ISERROR(OFFSET('HARGA SATUAN'!$I$6,MATCH(RAB!C36,'HARGA SATUAN'!$C$7:$C$1492,0),0)),0,OFFSET('HARGA SATUAN'!$I$6,MATCH(RAB!C36,'HARGA SATUAN'!$C$7:$C$1492,0),0))</f>
        <v>23936</v>
      </c>
      <c r="H36" s="284">
        <f t="shared" ca="1" si="11"/>
        <v>0</v>
      </c>
      <c r="I36" s="284">
        <f t="shared" ca="1" si="12"/>
        <v>143616</v>
      </c>
      <c r="J36" s="284">
        <f t="shared" ca="1" si="13"/>
        <v>0</v>
      </c>
      <c r="K36" s="285">
        <f t="shared" ca="1" si="14"/>
        <v>143616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>
        <f t="shared" ref="A37:A39" si="21">IF(AND(C37=0,C38=0,C39=0),"BLANKS",1)</f>
        <v>1</v>
      </c>
      <c r="B37" s="714">
        <v>13</v>
      </c>
      <c r="C37" s="713" t="s">
        <v>27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715">
        <f>F24*1</f>
        <v>2</v>
      </c>
      <c r="G37" s="283">
        <f ca="1">IF(ISERROR(OFFSET('HARGA SATUAN'!$I$6,MATCH(RAB!C37,'HARGA SATUAN'!$C$7:$C$1492,0),0)),0,OFFSET('HARGA SATUAN'!$I$6,MATCH(RAB!C37,'HARGA SATUAN'!$C$7:$C$1492,0),0))</f>
        <v>63500</v>
      </c>
      <c r="H37" s="284">
        <f t="shared" ca="1" si="11"/>
        <v>0</v>
      </c>
      <c r="I37" s="284">
        <f t="shared" ca="1" si="12"/>
        <v>127000</v>
      </c>
      <c r="J37" s="284">
        <f t="shared" ca="1" si="13"/>
        <v>0</v>
      </c>
      <c r="K37" s="285">
        <f t="shared" ca="1" si="14"/>
        <v>127000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>
        <f t="shared" si="21"/>
        <v>1</v>
      </c>
      <c r="B38" s="714">
        <v>14</v>
      </c>
      <c r="C38" s="713" t="s">
        <v>237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715">
        <f>F24*1</f>
        <v>2</v>
      </c>
      <c r="G38" s="283">
        <f ca="1">IF(ISERROR(OFFSET('HARGA SATUAN'!$I$6,MATCH(RAB!C38,'HARGA SATUAN'!$C$7:$C$1492,0),0)),0,OFFSET('HARGA SATUAN'!$I$6,MATCH(RAB!C38,'HARGA SATUAN'!$C$7:$C$1492,0),0))</f>
        <v>57690</v>
      </c>
      <c r="H38" s="284">
        <f t="shared" ca="1" si="11"/>
        <v>0</v>
      </c>
      <c r="I38" s="284">
        <f t="shared" ca="1" si="12"/>
        <v>115380</v>
      </c>
      <c r="J38" s="284">
        <f t="shared" ca="1" si="13"/>
        <v>0</v>
      </c>
      <c r="K38" s="285">
        <f t="shared" ca="1" si="14"/>
        <v>115380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>
        <f t="shared" si="21"/>
        <v>1</v>
      </c>
      <c r="B39" s="714">
        <v>15</v>
      </c>
      <c r="C39" s="713" t="s">
        <v>17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715">
        <f>F24*3</f>
        <v>6</v>
      </c>
      <c r="G39" s="283">
        <f ca="1">IF(ISERROR(OFFSET('HARGA SATUAN'!$I$6,MATCH(RAB!C39,'HARGA SATUAN'!$C$7:$C$1492,0),0)),0,OFFSET('HARGA SATUAN'!$I$6,MATCH(RAB!C39,'HARGA SATUAN'!$C$7:$C$1492,0),0))</f>
        <v>16000</v>
      </c>
      <c r="H39" s="284">
        <f t="shared" ca="1" si="11"/>
        <v>0</v>
      </c>
      <c r="I39" s="284">
        <f t="shared" ca="1" si="12"/>
        <v>96000</v>
      </c>
      <c r="J39" s="284">
        <f t="shared" ca="1" si="13"/>
        <v>0</v>
      </c>
      <c r="K39" s="285">
        <f t="shared" ca="1" si="14"/>
        <v>96000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 t="e">
        <f>IF(AND(C40=0,C41=0,#REF!=0),"BLANKS",1)</f>
        <v>#REF!</v>
      </c>
      <c r="B40" s="714">
        <v>16</v>
      </c>
      <c r="C40" s="713" t="s">
        <v>255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715">
        <f>F24*1</f>
        <v>2</v>
      </c>
      <c r="G40" s="283">
        <f ca="1">IF(ISERROR(OFFSET('HARGA SATUAN'!$I$6,MATCH(RAB!C40,'HARGA SATUAN'!$C$7:$C$1492,0),0)),0,OFFSET('HARGA SATUAN'!$I$6,MATCH(RAB!C40,'HARGA SATUAN'!$C$7:$C$1492,0),0))</f>
        <v>33501.866666666669</v>
      </c>
      <c r="H40" s="284">
        <f t="shared" ca="1" si="11"/>
        <v>0</v>
      </c>
      <c r="I40" s="284">
        <f t="shared" ca="1" si="12"/>
        <v>67003.733333333337</v>
      </c>
      <c r="J40" s="284">
        <f t="shared" ca="1" si="13"/>
        <v>0</v>
      </c>
      <c r="K40" s="285">
        <f t="shared" ca="1" si="14"/>
        <v>67003.733333333337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IF(AND(C41=0,#REF!=0,#REF!=0),"BLANKS",1)</f>
        <v>#REF!</v>
      </c>
      <c r="B41" s="714">
        <v>17</v>
      </c>
      <c r="C41" s="713" t="s">
        <v>16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715">
        <f>F24*11</f>
        <v>22</v>
      </c>
      <c r="G41" s="283">
        <f ca="1">IF(ISERROR(OFFSET('HARGA SATUAN'!$I$6,MATCH(RAB!C41,'HARGA SATUAN'!$C$7:$C$1492,0),0)),0,OFFSET('HARGA SATUAN'!$I$6,MATCH(RAB!C41,'HARGA SATUAN'!$C$7:$C$1492,0),0))</f>
        <v>2500</v>
      </c>
      <c r="H41" s="284">
        <f t="shared" ca="1" si="11"/>
        <v>0</v>
      </c>
      <c r="I41" s="284">
        <f t="shared" ca="1" si="12"/>
        <v>55000</v>
      </c>
      <c r="J41" s="284">
        <f t="shared" ca="1" si="13"/>
        <v>0</v>
      </c>
      <c r="K41" s="285">
        <f t="shared" ca="1" si="14"/>
        <v>55000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>
        <f>IF(AND(C42=0,C131=0,C132=0),"BLANKS",1)</f>
        <v>1</v>
      </c>
      <c r="B42" s="714">
        <v>18</v>
      </c>
      <c r="C42" s="713" t="s">
        <v>693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Unit</v>
      </c>
      <c r="F42" s="715">
        <f>F24*1</f>
        <v>2</v>
      </c>
      <c r="G42" s="283">
        <f ca="1">IF(ISERROR(OFFSET('HARGA SATUAN'!$I$6,MATCH(RAB!C42,'HARGA SATUAN'!$C$7:$C$1492,0),0)),0,OFFSET('HARGA SATUAN'!$I$6,MATCH(RAB!C42,'HARGA SATUAN'!$C$7:$C$1492,0),0))</f>
        <v>134700</v>
      </c>
      <c r="H42" s="284">
        <f t="shared" ca="1" si="11"/>
        <v>0</v>
      </c>
      <c r="I42" s="284">
        <f t="shared" ca="1" si="12"/>
        <v>0</v>
      </c>
      <c r="J42" s="284">
        <f t="shared" ca="1" si="13"/>
        <v>269400</v>
      </c>
      <c r="K42" s="285">
        <f t="shared" ca="1" si="14"/>
        <v>269400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>
        <f>IF(AND(C43=0,C123=0,C124=0),"BLANKS",1)</f>
        <v>1</v>
      </c>
      <c r="B43" s="499"/>
      <c r="C43" s="500"/>
      <c r="D43" s="281" t="str">
        <f ca="1">IF(ISERROR(OFFSET('HARGA SATUAN'!$D$6,MATCH(RAB!C43,'HARGA SATUAN'!$C$7:$C$1492,0),0)),"",OFFSET('HARGA SATUAN'!$D$6,MATCH(RAB!C43,'HARGA SATUAN'!$C$7:$C$1492,0),0))</f>
        <v/>
      </c>
      <c r="E43" s="282" t="str">
        <f ca="1">IF(B43="+","Unit",IF(ISERROR(OFFSET('HARGA SATUAN'!$E$6,MATCH(RAB!C43,'HARGA SATUAN'!$C$7:$C$1492,0),0)),"",OFFSET('HARGA SATUAN'!$E$6,MATCH(RAB!C43,'HARGA SATUAN'!$C$7:$C$1492,0),0)))</f>
        <v/>
      </c>
      <c r="F43" s="393"/>
      <c r="G43" s="283">
        <f ca="1">IF(ISERROR(OFFSET('HARGA SATUAN'!$I$6,MATCH(RAB!C43,'HARGA SATUAN'!$C$7:$C$1492,0),0)),0,OFFSET('HARGA SATUAN'!$I$6,MATCH(RAB!C43,'HARGA SATUAN'!$C$7:$C$1492,0),0))</f>
        <v>0</v>
      </c>
      <c r="H43" s="284">
        <f t="shared" ref="H43:H140" ca="1" si="22">IF(OR(D43="MDU",D43="MDU-KD"),(IF($O$3="RAB NON MDU","PLN KD",G43*F43)),0)</f>
        <v>0</v>
      </c>
      <c r="I43" s="284">
        <f t="shared" ref="I43:I140" ca="1" si="23">IF(D43="HDW",G43*F43,0)</f>
        <v>0</v>
      </c>
      <c r="J43" s="284">
        <f t="shared" ref="J43:J140" ca="1" si="24">IF(D43="JASA",G43*F43,0)</f>
        <v>0</v>
      </c>
      <c r="K43" s="285">
        <f t="shared" ref="K43:K140" ca="1" si="25">SUM(H43:J43)</f>
        <v>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 t="e">
        <f>IF(AND(C44=0,#REF!=0,#REF!=0),"BLANKS",1)</f>
        <v>#REF!</v>
      </c>
      <c r="B44" s="499" t="s">
        <v>1005</v>
      </c>
      <c r="C44" s="500" t="s">
        <v>1642</v>
      </c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>Unit</v>
      </c>
      <c r="F44" s="717">
        <v>2</v>
      </c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ref="H44" ca="1" si="26">IF(OR(D44="MDU",D44="MDU-KD"),(IF($O$3="RAB NON MDU","PLN KD",G44*F44)),0)</f>
        <v>0</v>
      </c>
      <c r="I44" s="284">
        <f t="shared" ref="I44" ca="1" si="27">IF(D44="HDW",G44*F44,0)</f>
        <v>0</v>
      </c>
      <c r="J44" s="284">
        <f t="shared" ref="J44" ca="1" si="28">IF(D44="JASA",G44*F44,0)</f>
        <v>0</v>
      </c>
      <c r="K44" s="285">
        <f t="shared" ref="K44" ca="1" si="29">SUM(H44:J44)</f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/>
      <c r="B45" s="499">
        <v>1</v>
      </c>
      <c r="C45" s="500" t="s">
        <v>1529</v>
      </c>
      <c r="D45" s="281" t="str">
        <f ca="1">IF(ISERROR(OFFSET('HARGA SATUAN'!$D$6,MATCH(RAB!C45,'HARGA SATUAN'!$C$7:$C$1492,0),0)),"",OFFSET('HARGA SATUAN'!$D$6,MATCH(RAB!C45,'HARGA SATUAN'!$C$7:$C$1492,0),0))</f>
        <v>MDU-KD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717">
        <f>F44*1</f>
        <v>2</v>
      </c>
      <c r="G45" s="283">
        <f ca="1">IF(ISERROR(OFFSET('HARGA SATUAN'!$I$6,MATCH(RAB!C45,'HARGA SATUAN'!$C$7:$C$1492,0),0)),0,OFFSET('HARGA SATUAN'!$I$6,MATCH(RAB!C45,'HARGA SATUAN'!$C$7:$C$1492,0),0))</f>
        <v>235900</v>
      </c>
      <c r="H45" s="284"/>
      <c r="I45" s="284"/>
      <c r="J45" s="284"/>
      <c r="K45" s="285"/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>
        <f>IF(AND(C46=0,C77=0,C78=0),"BLANKS",1)</f>
        <v>1</v>
      </c>
      <c r="B46" s="499">
        <v>2</v>
      </c>
      <c r="C46" s="500" t="s">
        <v>1529</v>
      </c>
      <c r="D46" s="281" t="str">
        <f ca="1">IF(ISERROR(OFFSET('HARGA SATUAN'!$D$6,MATCH(RAB!C46,'HARGA SATUAN'!$C$7:$C$1492,0),0)),"",OFFSET('HARGA SATUAN'!$D$6,MATCH(RAB!C46,'HARGA SATUAN'!$C$7:$C$1492,0),0))</f>
        <v>MDU-KD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717">
        <f>F44*1</f>
        <v>2</v>
      </c>
      <c r="G46" s="283">
        <f ca="1">IF(ISERROR(OFFSET('HARGA SATUAN'!$I$6,MATCH(RAB!C46,'HARGA SATUAN'!$C$7:$C$1492,0),0)),0,OFFSET('HARGA SATUAN'!$I$6,MATCH(RAB!C46,'HARGA SATUAN'!$C$7:$C$1492,0),0))</f>
        <v>235900</v>
      </c>
      <c r="H46" s="284">
        <f t="shared" ref="H46:H133" ca="1" si="30">IF(OR(D46="MDU",D46="MDU-KD"),(IF($O$3="RAB NON MDU","PLN KD",G46*F46)),0)</f>
        <v>471800</v>
      </c>
      <c r="I46" s="284">
        <f t="shared" ref="I46:I133" ca="1" si="31">IF(D46="HDW",G46*F46,0)</f>
        <v>0</v>
      </c>
      <c r="J46" s="284">
        <f t="shared" ref="J46:J133" ca="1" si="32">IF(D46="JASA",G46*F46,0)</f>
        <v>0</v>
      </c>
      <c r="K46" s="285">
        <f t="shared" ref="K46:K133" ca="1" si="33">SUM(H46:J46)</f>
        <v>471800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>
        <f t="shared" ref="A47:A50" si="34">IF(AND(C47=0,C48=0,C49=0),"BLANKS",1)</f>
        <v>1</v>
      </c>
      <c r="B47" s="499">
        <v>3</v>
      </c>
      <c r="C47" s="500" t="s">
        <v>1530</v>
      </c>
      <c r="D47" s="281" t="str">
        <f ca="1">IF(ISERROR(OFFSET('HARGA SATUAN'!$D$6,MATCH(RAB!C47,'HARGA SATUAN'!$C$7:$C$1492,0),0)),"",OFFSET('HARGA SATUAN'!$D$6,MATCH(RAB!C47,'HARGA SATUAN'!$C$7:$C$1492,0),0))</f>
        <v>MDU-KD</v>
      </c>
      <c r="E47" s="282" t="str">
        <f ca="1">IF(B47="+","Unit",IF(ISERROR(OFFSET('HARGA SATUAN'!$E$6,MATCH(RAB!C47,'HARGA SATUAN'!$C$7:$C$1492,0),0)),"",OFFSET('HARGA SATUAN'!$E$6,MATCH(RAB!C47,'HARGA SATUAN'!$C$7:$C$1492,0),0)))</f>
        <v>Set</v>
      </c>
      <c r="F47" s="717">
        <f>F44*6</f>
        <v>12</v>
      </c>
      <c r="G47" s="283">
        <f ca="1">IF(ISERROR(OFFSET('HARGA SATUAN'!$I$6,MATCH(RAB!C47,'HARGA SATUAN'!$C$7:$C$1492,0),0)),0,OFFSET('HARGA SATUAN'!$I$6,MATCH(RAB!C47,'HARGA SATUAN'!$C$7:$C$1492,0),0))</f>
        <v>430000</v>
      </c>
      <c r="H47" s="284">
        <f t="shared" ref="H47:H52" ca="1" si="35">IF(OR(D47="MDU",D47="MDU-KD"),(IF($O$3="RAB NON MDU","PLN KD",G47*F47)),0)</f>
        <v>5160000</v>
      </c>
      <c r="I47" s="284">
        <f t="shared" ref="I47:I52" ca="1" si="36">IF(D47="HDW",G47*F47,0)</f>
        <v>0</v>
      </c>
      <c r="J47" s="284">
        <f t="shared" ref="J47:J52" ca="1" si="37">IF(D47="JASA",G47*F47,0)</f>
        <v>0</v>
      </c>
      <c r="K47" s="285">
        <f t="shared" ref="K47:K52" ca="1" si="38">SUM(H47:J47)</f>
        <v>5160000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>
        <f t="shared" si="34"/>
        <v>1</v>
      </c>
      <c r="B48" s="499">
        <v>4</v>
      </c>
      <c r="C48" s="500" t="s">
        <v>142</v>
      </c>
      <c r="D48" s="281" t="str">
        <f ca="1">IF(ISERROR(OFFSET('HARGA SATUAN'!$D$6,MATCH(RAB!C48,'HARGA SATUAN'!$C$7:$C$1492,0),0)),"",OFFSET('HARGA SATUAN'!$D$6,MATCH(RAB!C48,'HARGA SATUAN'!$C$7:$C$1492,0),0))</f>
        <v>HDW</v>
      </c>
      <c r="E48" s="282" t="str">
        <f ca="1">IF(B48="+","Unit",IF(ISERROR(OFFSET('HARGA SATUAN'!$E$6,MATCH(RAB!C48,'HARGA SATUAN'!$C$7:$C$1492,0),0)),"",OFFSET('HARGA SATUAN'!$E$6,MATCH(RAB!C48,'HARGA SATUAN'!$C$7:$C$1492,0),0)))</f>
        <v>Mtr</v>
      </c>
      <c r="F48" s="717">
        <f>F44*2</f>
        <v>4</v>
      </c>
      <c r="G48" s="283">
        <f ca="1">IF(ISERROR(OFFSET('HARGA SATUAN'!$I$6,MATCH(RAB!C48,'HARGA SATUAN'!$C$7:$C$1492,0),0)),0,OFFSET('HARGA SATUAN'!$I$6,MATCH(RAB!C48,'HARGA SATUAN'!$C$7:$C$1492,0),0))</f>
        <v>7789</v>
      </c>
      <c r="H48" s="284">
        <f t="shared" ca="1" si="35"/>
        <v>0</v>
      </c>
      <c r="I48" s="284">
        <f t="shared" ca="1" si="36"/>
        <v>31156</v>
      </c>
      <c r="J48" s="284">
        <f t="shared" ca="1" si="37"/>
        <v>0</v>
      </c>
      <c r="K48" s="285">
        <f t="shared" ca="1" si="38"/>
        <v>31156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>
        <f t="shared" si="34"/>
        <v>1</v>
      </c>
      <c r="B49" s="499">
        <v>5</v>
      </c>
      <c r="C49" s="500" t="s">
        <v>147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717">
        <f>F44*4</f>
        <v>8</v>
      </c>
      <c r="G49" s="283">
        <f ca="1">IF(ISERROR(OFFSET('HARGA SATUAN'!$I$6,MATCH(RAB!C49,'HARGA SATUAN'!$C$7:$C$1492,0),0)),0,OFFSET('HARGA SATUAN'!$I$6,MATCH(RAB!C49,'HARGA SATUAN'!$C$7:$C$1492,0),0))</f>
        <v>40000</v>
      </c>
      <c r="H49" s="284">
        <f t="shared" ca="1" si="35"/>
        <v>0</v>
      </c>
      <c r="I49" s="284">
        <f t="shared" ca="1" si="36"/>
        <v>320000</v>
      </c>
      <c r="J49" s="284">
        <f t="shared" ca="1" si="37"/>
        <v>0</v>
      </c>
      <c r="K49" s="285">
        <f t="shared" ca="1" si="38"/>
        <v>320000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>
        <f t="shared" si="34"/>
        <v>1</v>
      </c>
      <c r="B50" s="499">
        <v>6</v>
      </c>
      <c r="C50" s="500" t="s">
        <v>153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717">
        <f>F44*8</f>
        <v>16</v>
      </c>
      <c r="G50" s="283">
        <f ca="1">IF(ISERROR(OFFSET('HARGA SATUAN'!$I$6,MATCH(RAB!C50,'HARGA SATUAN'!$C$7:$C$1492,0),0)),0,OFFSET('HARGA SATUAN'!$I$6,MATCH(RAB!C50,'HARGA SATUAN'!$C$7:$C$1492,0),0))</f>
        <v>7938</v>
      </c>
      <c r="H50" s="284">
        <f t="shared" ca="1" si="35"/>
        <v>0</v>
      </c>
      <c r="I50" s="284">
        <f t="shared" ca="1" si="36"/>
        <v>127008</v>
      </c>
      <c r="J50" s="284">
        <f t="shared" ca="1" si="37"/>
        <v>0</v>
      </c>
      <c r="K50" s="285">
        <f t="shared" ca="1" si="38"/>
        <v>127008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 t="e">
        <f>IF(AND(C51=0,C52=0,#REF!=0),"BLANKS",1)</f>
        <v>#REF!</v>
      </c>
      <c r="B51" s="499">
        <v>7</v>
      </c>
      <c r="C51" s="500" t="s">
        <v>18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717">
        <f>F44*1</f>
        <v>2</v>
      </c>
      <c r="G51" s="283">
        <f ca="1">IF(ISERROR(OFFSET('HARGA SATUAN'!$I$6,MATCH(RAB!C51,'HARGA SATUAN'!$C$7:$C$1492,0),0)),0,OFFSET('HARGA SATUAN'!$I$6,MATCH(RAB!C51,'HARGA SATUAN'!$C$7:$C$1492,0),0))</f>
        <v>26500</v>
      </c>
      <c r="H51" s="284">
        <f t="shared" ca="1" si="35"/>
        <v>0</v>
      </c>
      <c r="I51" s="284">
        <f t="shared" ca="1" si="36"/>
        <v>53000</v>
      </c>
      <c r="J51" s="284">
        <f t="shared" ca="1" si="37"/>
        <v>0</v>
      </c>
      <c r="K51" s="285">
        <f t="shared" ca="1" si="38"/>
        <v>53000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IF(AND(C52=0,#REF!=0,#REF!=0),"BLANKS",1)</f>
        <v>#REF!</v>
      </c>
      <c r="B52" s="499">
        <v>8</v>
      </c>
      <c r="C52" s="500" t="s">
        <v>163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Bh</v>
      </c>
      <c r="F52" s="717">
        <f>F44*8</f>
        <v>16</v>
      </c>
      <c r="G52" s="283">
        <f ca="1">IF(ISERROR(OFFSET('HARGA SATUAN'!$I$6,MATCH(RAB!C52,'HARGA SATUAN'!$C$7:$C$1492,0),0)),0,OFFSET('HARGA SATUAN'!$I$6,MATCH(RAB!C52,'HARGA SATUAN'!$C$7:$C$1492,0),0))</f>
        <v>45000</v>
      </c>
      <c r="H52" s="284">
        <f t="shared" ca="1" si="35"/>
        <v>0</v>
      </c>
      <c r="I52" s="284">
        <f t="shared" ca="1" si="36"/>
        <v>720000</v>
      </c>
      <c r="J52" s="284">
        <f t="shared" ca="1" si="37"/>
        <v>0</v>
      </c>
      <c r="K52" s="285">
        <f t="shared" ca="1" si="38"/>
        <v>720000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/>
      <c r="B53" s="499">
        <v>9</v>
      </c>
      <c r="C53" s="500" t="s">
        <v>169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717">
        <f>F44*2</f>
        <v>4</v>
      </c>
      <c r="G53" s="283">
        <f ca="1">IF(ISERROR(OFFSET('HARGA SATUAN'!$I$6,MATCH(RAB!C53,'HARGA SATUAN'!$C$7:$C$1492,0),0)),0,OFFSET('HARGA SATUAN'!$I$6,MATCH(RAB!C53,'HARGA SATUAN'!$C$7:$C$1492,0),0))</f>
        <v>15500</v>
      </c>
      <c r="H53" s="284"/>
      <c r="I53" s="284"/>
      <c r="J53" s="284"/>
      <c r="K53" s="285"/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>
        <f>IF(AND(C54=0,C59=0,C60=0),"BLANKS",1)</f>
        <v>1</v>
      </c>
      <c r="B54" s="499">
        <v>10</v>
      </c>
      <c r="C54" s="500" t="s">
        <v>171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717">
        <f>F44*4</f>
        <v>8</v>
      </c>
      <c r="G54" s="283">
        <f ca="1">IF(ISERROR(OFFSET('HARGA SATUAN'!$I$6,MATCH(RAB!C54,'HARGA SATUAN'!$C$7:$C$1492,0),0)),0,OFFSET('HARGA SATUAN'!$I$6,MATCH(RAB!C54,'HARGA SATUAN'!$C$7:$C$1492,0),0))</f>
        <v>28100</v>
      </c>
      <c r="H54" s="284">
        <f t="shared" ref="H54:H59" ca="1" si="39">IF(OR(D54="MDU",D54="MDU-KD"),(IF($O$3="RAB NON MDU","PLN KD",G54*F54)),0)</f>
        <v>0</v>
      </c>
      <c r="I54" s="284">
        <f t="shared" ref="I54:I59" ca="1" si="40">IF(D54="HDW",G54*F54,0)</f>
        <v>224800</v>
      </c>
      <c r="J54" s="284">
        <f t="shared" ref="J54:J59" ca="1" si="41">IF(D54="JASA",G54*F54,0)</f>
        <v>0</v>
      </c>
      <c r="K54" s="285">
        <f t="shared" ref="K54:K59" ca="1" si="42">SUM(H54:J54)</f>
        <v>224800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499">
        <v>11</v>
      </c>
      <c r="C55" s="500" t="s">
        <v>583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717">
        <f>F44*4</f>
        <v>8</v>
      </c>
      <c r="G55" s="283">
        <f ca="1">IF(ISERROR(OFFSET('HARGA SATUAN'!$I$6,MATCH(RAB!C55,'HARGA SATUAN'!$C$7:$C$1492,0),0)),0,OFFSET('HARGA SATUAN'!$I$6,MATCH(RAB!C55,'HARGA SATUAN'!$C$7:$C$1492,0),0))</f>
        <v>380500</v>
      </c>
      <c r="H55" s="284">
        <f t="shared" ca="1" si="39"/>
        <v>0</v>
      </c>
      <c r="I55" s="284">
        <f t="shared" ca="1" si="40"/>
        <v>3044000</v>
      </c>
      <c r="J55" s="284">
        <f t="shared" ca="1" si="41"/>
        <v>0</v>
      </c>
      <c r="K55" s="285">
        <f t="shared" ca="1" si="42"/>
        <v>3044000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>
        <f t="shared" ref="A56:A57" si="43">IF(AND(C56=0,C57=0,C58=0),"BLANKS",1)</f>
        <v>1</v>
      </c>
      <c r="B56" s="499">
        <v>12</v>
      </c>
      <c r="C56" s="500" t="s">
        <v>208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717">
        <f>F44*4</f>
        <v>8</v>
      </c>
      <c r="G56" s="283">
        <f ca="1">IF(ISERROR(OFFSET('HARGA SATUAN'!$I$6,MATCH(RAB!C56,'HARGA SATUAN'!$C$7:$C$1492,0),0)),0,OFFSET('HARGA SATUAN'!$I$6,MATCH(RAB!C56,'HARGA SATUAN'!$C$7:$C$1492,0),0))</f>
        <v>29600</v>
      </c>
      <c r="H56" s="284">
        <f t="shared" ca="1" si="39"/>
        <v>0</v>
      </c>
      <c r="I56" s="284">
        <f t="shared" ca="1" si="40"/>
        <v>236800</v>
      </c>
      <c r="J56" s="284">
        <f t="shared" ca="1" si="41"/>
        <v>0</v>
      </c>
      <c r="K56" s="285">
        <f t="shared" ca="1" si="42"/>
        <v>236800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>
        <f t="shared" si="43"/>
        <v>1</v>
      </c>
      <c r="B57" s="499">
        <v>13</v>
      </c>
      <c r="C57" s="500" t="s">
        <v>207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717">
        <f>F44*9</f>
        <v>18</v>
      </c>
      <c r="G57" s="283">
        <f ca="1">IF(ISERROR(OFFSET('HARGA SATUAN'!$I$6,MATCH(RAB!C57,'HARGA SATUAN'!$C$7:$C$1492,0),0)),0,OFFSET('HARGA SATUAN'!$I$6,MATCH(RAB!C57,'HARGA SATUAN'!$C$7:$C$1492,0),0))</f>
        <v>11400</v>
      </c>
      <c r="H57" s="284">
        <f t="shared" ca="1" si="39"/>
        <v>0</v>
      </c>
      <c r="I57" s="284">
        <f t="shared" ca="1" si="40"/>
        <v>205200</v>
      </c>
      <c r="J57" s="284">
        <f t="shared" ca="1" si="41"/>
        <v>0</v>
      </c>
      <c r="K57" s="285">
        <f t="shared" ca="1" si="42"/>
        <v>205200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 t="e">
        <f>IF(AND(C58=0,C59=0,#REF!=0),"BLANKS",1)</f>
        <v>#REF!</v>
      </c>
      <c r="B58" s="499">
        <v>14</v>
      </c>
      <c r="C58" s="500" t="s">
        <v>213</v>
      </c>
      <c r="D58" s="281" t="str">
        <f ca="1">IF(ISERROR(OFFSET('HARGA SATUAN'!$D$6,MATCH(RAB!C58,'HARGA SATUAN'!$C$7:$C$1492,0),0)),"",OFFSET('HARGA SATUAN'!$D$6,MATCH(RAB!C58,'HARGA SATUAN'!$C$7:$C$1492,0),0))</f>
        <v>HDW</v>
      </c>
      <c r="E58" s="282" t="str">
        <f ca="1">IF(B58="+","Unit",IF(ISERROR(OFFSET('HARGA SATUAN'!$E$6,MATCH(RAB!C58,'HARGA SATUAN'!$C$7:$C$1492,0),0)),"",OFFSET('HARGA SATUAN'!$E$6,MATCH(RAB!C58,'HARGA SATUAN'!$C$7:$C$1492,0),0)))</f>
        <v>Bh</v>
      </c>
      <c r="F58" s="717">
        <f>F44*2</f>
        <v>4</v>
      </c>
      <c r="G58" s="283">
        <f ca="1">IF(ISERROR(OFFSET('HARGA SATUAN'!$I$6,MATCH(RAB!C58,'HARGA SATUAN'!$C$7:$C$1492,0),0)),0,OFFSET('HARGA SATUAN'!$I$6,MATCH(RAB!C58,'HARGA SATUAN'!$C$7:$C$1492,0),0))</f>
        <v>27815</v>
      </c>
      <c r="H58" s="284">
        <f t="shared" ca="1" si="39"/>
        <v>0</v>
      </c>
      <c r="I58" s="284">
        <f t="shared" ca="1" si="40"/>
        <v>111260</v>
      </c>
      <c r="J58" s="284">
        <f t="shared" ca="1" si="41"/>
        <v>0</v>
      </c>
      <c r="K58" s="285">
        <f t="shared" ca="1" si="42"/>
        <v>111260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IF(AND(C59=0,#REF!=0,#REF!=0),"BLANKS",1)</f>
        <v>#REF!</v>
      </c>
      <c r="B59" s="499">
        <v>15</v>
      </c>
      <c r="C59" s="500" t="s">
        <v>15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717">
        <f>F44*6</f>
        <v>12</v>
      </c>
      <c r="G59" s="283">
        <f ca="1">IF(ISERROR(OFFSET('HARGA SATUAN'!$I$6,MATCH(RAB!C59,'HARGA SATUAN'!$C$7:$C$1492,0),0)),0,OFFSET('HARGA SATUAN'!$I$6,MATCH(RAB!C59,'HARGA SATUAN'!$C$7:$C$1492,0),0))</f>
        <v>23936</v>
      </c>
      <c r="H59" s="284">
        <f t="shared" ca="1" si="39"/>
        <v>0</v>
      </c>
      <c r="I59" s="284">
        <f t="shared" ca="1" si="40"/>
        <v>287232</v>
      </c>
      <c r="J59" s="284">
        <f t="shared" ca="1" si="41"/>
        <v>0</v>
      </c>
      <c r="K59" s="285">
        <f t="shared" ca="1" si="42"/>
        <v>287232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/>
      <c r="B60" s="499">
        <v>16</v>
      </c>
      <c r="C60" s="500" t="s">
        <v>27</v>
      </c>
      <c r="D60" s="281" t="str">
        <f ca="1">IF(ISERROR(OFFSET('HARGA SATUAN'!$D$6,MATCH(RAB!C60,'HARGA SATUAN'!$C$7:$C$1492,0),0)),"",OFFSET('HARGA SATUAN'!$D$6,MATCH(RAB!C60,'HARGA SATUAN'!$C$7:$C$1492,0),0))</f>
        <v>HDW</v>
      </c>
      <c r="E60" s="282" t="str">
        <f ca="1">IF(B60="+","Unit",IF(ISERROR(OFFSET('HARGA SATUAN'!$E$6,MATCH(RAB!C60,'HARGA SATUAN'!$C$7:$C$1492,0),0)),"",OFFSET('HARGA SATUAN'!$E$6,MATCH(RAB!C60,'HARGA SATUAN'!$C$7:$C$1492,0),0)))</f>
        <v>Bh</v>
      </c>
      <c r="F60" s="717">
        <f>F44*3</f>
        <v>6</v>
      </c>
      <c r="G60" s="283">
        <f ca="1">IF(ISERROR(OFFSET('HARGA SATUAN'!$I$6,MATCH(RAB!C60,'HARGA SATUAN'!$C$7:$C$1492,0),0)),0,OFFSET('HARGA SATUAN'!$I$6,MATCH(RAB!C60,'HARGA SATUAN'!$C$7:$C$1492,0),0))</f>
        <v>63500</v>
      </c>
      <c r="H60" s="284"/>
      <c r="I60" s="284"/>
      <c r="J60" s="284"/>
      <c r="K60" s="285"/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>
        <f>IF(AND(C61=0,C66=0,C67=0),"BLANKS",1)</f>
        <v>1</v>
      </c>
      <c r="B61" s="499">
        <v>17</v>
      </c>
      <c r="C61" s="500" t="s">
        <v>237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Bh</v>
      </c>
      <c r="F61" s="717">
        <f>F44*3</f>
        <v>6</v>
      </c>
      <c r="G61" s="283">
        <f ca="1">IF(ISERROR(OFFSET('HARGA SATUAN'!$I$6,MATCH(RAB!C61,'HARGA SATUAN'!$C$7:$C$1492,0),0)),0,OFFSET('HARGA SATUAN'!$I$6,MATCH(RAB!C61,'HARGA SATUAN'!$C$7:$C$1492,0),0))</f>
        <v>57690</v>
      </c>
      <c r="H61" s="284">
        <f t="shared" ref="H61:H69" ca="1" si="44">IF(OR(D61="MDU",D61="MDU-KD"),(IF($O$3="RAB NON MDU","PLN KD",G61*F61)),0)</f>
        <v>0</v>
      </c>
      <c r="I61" s="284">
        <f t="shared" ref="I61:I69" ca="1" si="45">IF(D61="HDW",G61*F61,0)</f>
        <v>346140</v>
      </c>
      <c r="J61" s="284">
        <f t="shared" ref="J61:J69" ca="1" si="46">IF(D61="JASA",G61*F61,0)</f>
        <v>0</v>
      </c>
      <c r="K61" s="285">
        <f t="shared" ref="K61:K69" ca="1" si="47">SUM(H61:J61)</f>
        <v>346140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IF(AND(C62=0,#REF!=0,#REF!=0),"BLANKS",1)</f>
        <v>#REF!</v>
      </c>
      <c r="B62" s="499">
        <v>18</v>
      </c>
      <c r="C62" s="500" t="s">
        <v>17</v>
      </c>
      <c r="D62" s="281" t="str">
        <f ca="1">IF(ISERROR(OFFSET('HARGA SATUAN'!$D$6,MATCH(RAB!C62,'HARGA SATUAN'!$C$7:$C$1492,0),0)),"",OFFSET('HARGA SATUAN'!$D$6,MATCH(RAB!C62,'HARGA SATUAN'!$C$7:$C$1492,0),0))</f>
        <v>HDW</v>
      </c>
      <c r="E62" s="282" t="str">
        <f ca="1">IF(B62="+","Unit",IF(ISERROR(OFFSET('HARGA SATUAN'!$E$6,MATCH(RAB!C62,'HARGA SATUAN'!$C$7:$C$1492,0),0)),"",OFFSET('HARGA SATUAN'!$E$6,MATCH(RAB!C62,'HARGA SATUAN'!$C$7:$C$1492,0),0)))</f>
        <v>Bh</v>
      </c>
      <c r="F62" s="717">
        <f>F44*6</f>
        <v>12</v>
      </c>
      <c r="G62" s="283">
        <f ca="1">IF(ISERROR(OFFSET('HARGA SATUAN'!$I$6,MATCH(RAB!C62,'HARGA SATUAN'!$C$7:$C$1492,0),0)),0,OFFSET('HARGA SATUAN'!$I$6,MATCH(RAB!C62,'HARGA SATUAN'!$C$7:$C$1492,0),0))</f>
        <v>16000</v>
      </c>
      <c r="H62" s="284">
        <f t="shared" ca="1" si="44"/>
        <v>0</v>
      </c>
      <c r="I62" s="284">
        <f t="shared" ca="1" si="45"/>
        <v>192000</v>
      </c>
      <c r="J62" s="284">
        <f t="shared" ca="1" si="46"/>
        <v>0</v>
      </c>
      <c r="K62" s="285">
        <f t="shared" ca="1" si="47"/>
        <v>192000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>
        <f t="shared" ref="A63:A67" si="48">IF(AND(C63=0,C64=0,C65=0),"BLANKS",1)</f>
        <v>1</v>
      </c>
      <c r="B63" s="499">
        <v>19</v>
      </c>
      <c r="C63" s="500" t="s">
        <v>255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717">
        <f>F44*2</f>
        <v>4</v>
      </c>
      <c r="G63" s="283">
        <f ca="1">IF(ISERROR(OFFSET('HARGA SATUAN'!$I$6,MATCH(RAB!C63,'HARGA SATUAN'!$C$7:$C$1492,0),0)),0,OFFSET('HARGA SATUAN'!$I$6,MATCH(RAB!C63,'HARGA SATUAN'!$C$7:$C$1492,0),0))</f>
        <v>33501.866666666669</v>
      </c>
      <c r="H63" s="284">
        <f t="shared" ca="1" si="44"/>
        <v>0</v>
      </c>
      <c r="I63" s="284">
        <f t="shared" ca="1" si="45"/>
        <v>134007.46666666667</v>
      </c>
      <c r="J63" s="284">
        <f t="shared" ca="1" si="46"/>
        <v>0</v>
      </c>
      <c r="K63" s="285">
        <f t="shared" ca="1" si="47"/>
        <v>134007.46666666667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>
        <f t="shared" si="48"/>
        <v>1</v>
      </c>
      <c r="B64" s="499">
        <v>20</v>
      </c>
      <c r="C64" s="500" t="s">
        <v>28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Mtr</v>
      </c>
      <c r="F64" s="717">
        <f>3.6*F44</f>
        <v>7.2</v>
      </c>
      <c r="G64" s="283">
        <f ca="1">IF(ISERROR(OFFSET('HARGA SATUAN'!$I$6,MATCH(RAB!C64,'HARGA SATUAN'!$C$7:$C$1492,0),0)),0,OFFSET('HARGA SATUAN'!$I$6,MATCH(RAB!C64,'HARGA SATUAN'!$C$7:$C$1492,0),0))</f>
        <v>8550</v>
      </c>
      <c r="H64" s="284">
        <f t="shared" ca="1" si="44"/>
        <v>0</v>
      </c>
      <c r="I64" s="284">
        <f t="shared" ca="1" si="45"/>
        <v>61560</v>
      </c>
      <c r="J64" s="284">
        <f t="shared" ca="1" si="46"/>
        <v>0</v>
      </c>
      <c r="K64" s="285">
        <f t="shared" ca="1" si="47"/>
        <v>61560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>
        <f t="shared" si="48"/>
        <v>1</v>
      </c>
      <c r="B65" s="499">
        <v>21</v>
      </c>
      <c r="C65" s="500" t="s">
        <v>16</v>
      </c>
      <c r="D65" s="281" t="str">
        <f ca="1">IF(ISERROR(OFFSET('HARGA SATUAN'!$D$6,MATCH(RAB!C65,'HARGA SATUAN'!$C$7:$C$1492,0),0)),"",OFFSET('HARGA SATUAN'!$D$6,MATCH(RAB!C65,'HARGA SATUAN'!$C$7:$C$1492,0),0))</f>
        <v>HDW</v>
      </c>
      <c r="E65" s="282" t="str">
        <f ca="1">IF(B65="+","Unit",IF(ISERROR(OFFSET('HARGA SATUAN'!$E$6,MATCH(RAB!C65,'HARGA SATUAN'!$C$7:$C$1492,0),0)),"",OFFSET('HARGA SATUAN'!$E$6,MATCH(RAB!C65,'HARGA SATUAN'!$C$7:$C$1492,0),0)))</f>
        <v>Bh</v>
      </c>
      <c r="F65" s="717">
        <f>F44*22</f>
        <v>44</v>
      </c>
      <c r="G65" s="283">
        <f ca="1">IF(ISERROR(OFFSET('HARGA SATUAN'!$I$6,MATCH(RAB!C65,'HARGA SATUAN'!$C$7:$C$1492,0),0)),0,OFFSET('HARGA SATUAN'!$I$6,MATCH(RAB!C65,'HARGA SATUAN'!$C$7:$C$1492,0),0))</f>
        <v>2500</v>
      </c>
      <c r="H65" s="284">
        <f t="shared" ca="1" si="44"/>
        <v>0</v>
      </c>
      <c r="I65" s="284">
        <f t="shared" ca="1" si="45"/>
        <v>110000</v>
      </c>
      <c r="J65" s="284">
        <f t="shared" ca="1" si="46"/>
        <v>0</v>
      </c>
      <c r="K65" s="285">
        <f t="shared" ca="1" si="47"/>
        <v>110000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>
        <f t="shared" si="48"/>
        <v>1</v>
      </c>
      <c r="B66" s="499">
        <v>22</v>
      </c>
      <c r="C66" s="500" t="s">
        <v>700</v>
      </c>
      <c r="D66" s="281" t="str">
        <f ca="1">IF(ISERROR(OFFSET('HARGA SATUAN'!$D$6,MATCH(RAB!C66,'HARGA SATUAN'!$C$7:$C$1492,0),0)),"",OFFSET('HARGA SATUAN'!$D$6,MATCH(RAB!C66,'HARGA SATUAN'!$C$7:$C$1492,0),0))</f>
        <v>JASA</v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717">
        <f>F44*1</f>
        <v>2</v>
      </c>
      <c r="G66" s="283">
        <f ca="1">IF(ISERROR(OFFSET('HARGA SATUAN'!$I$6,MATCH(RAB!C66,'HARGA SATUAN'!$C$7:$C$1492,0),0)),0,OFFSET('HARGA SATUAN'!$I$6,MATCH(RAB!C66,'HARGA SATUAN'!$C$7:$C$1492,0),0))</f>
        <v>261100</v>
      </c>
      <c r="H66" s="284">
        <f t="shared" ca="1" si="44"/>
        <v>0</v>
      </c>
      <c r="I66" s="284">
        <f t="shared" ca="1" si="45"/>
        <v>0</v>
      </c>
      <c r="J66" s="284">
        <f t="shared" ca="1" si="46"/>
        <v>522200</v>
      </c>
      <c r="K66" s="285">
        <f t="shared" ca="1" si="47"/>
        <v>522200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>
        <f t="shared" si="48"/>
        <v>1</v>
      </c>
      <c r="B67" s="499"/>
      <c r="C67" s="500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393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44"/>
        <v>0</v>
      </c>
      <c r="I67" s="284">
        <f t="shared" ca="1" si="45"/>
        <v>0</v>
      </c>
      <c r="J67" s="284">
        <f t="shared" ca="1" si="46"/>
        <v>0</v>
      </c>
      <c r="K67" s="285">
        <f t="shared" ca="1" si="47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 t="e">
        <f>IF(AND(C68=0,C69=0,#REF!=0),"BLANKS",1)</f>
        <v>#REF!</v>
      </c>
      <c r="B68" s="499" t="s">
        <v>1005</v>
      </c>
      <c r="C68" s="500" t="s">
        <v>1643</v>
      </c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>Unit</v>
      </c>
      <c r="F68" s="716">
        <v>3</v>
      </c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44"/>
        <v>0</v>
      </c>
      <c r="I68" s="284">
        <f t="shared" ca="1" si="45"/>
        <v>0</v>
      </c>
      <c r="J68" s="284">
        <f t="shared" ca="1" si="46"/>
        <v>0</v>
      </c>
      <c r="K68" s="285">
        <f t="shared" ca="1" si="47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 t="e">
        <f>IF(AND(C69=0,#REF!=0,#REF!=0),"BLANKS",1)</f>
        <v>#REF!</v>
      </c>
      <c r="B69" s="499">
        <v>1</v>
      </c>
      <c r="C69" s="500" t="s">
        <v>1529</v>
      </c>
      <c r="D69" s="281" t="str">
        <f ca="1">IF(ISERROR(OFFSET('HARGA SATUAN'!$D$6,MATCH(RAB!C69,'HARGA SATUAN'!$C$7:$C$1492,0),0)),"",OFFSET('HARGA SATUAN'!$D$6,MATCH(RAB!C69,'HARGA SATUAN'!$C$7:$C$1492,0),0))</f>
        <v>MDU-KD</v>
      </c>
      <c r="E69" s="282" t="str">
        <f ca="1">IF(B69="+","Unit",IF(ISERROR(OFFSET('HARGA SATUAN'!$E$6,MATCH(RAB!C69,'HARGA SATUAN'!$C$7:$C$1492,0),0)),"",OFFSET('HARGA SATUAN'!$E$6,MATCH(RAB!C69,'HARGA SATUAN'!$C$7:$C$1492,0),0)))</f>
        <v>Bh</v>
      </c>
      <c r="F69" s="716">
        <f>F68*1</f>
        <v>3</v>
      </c>
      <c r="G69" s="283">
        <f ca="1">IF(ISERROR(OFFSET('HARGA SATUAN'!$I$6,MATCH(RAB!C69,'HARGA SATUAN'!$C$7:$C$1492,0),0)),0,OFFSET('HARGA SATUAN'!$I$6,MATCH(RAB!C69,'HARGA SATUAN'!$C$7:$C$1492,0),0))</f>
        <v>235900</v>
      </c>
      <c r="H69" s="284">
        <f t="shared" ca="1" si="44"/>
        <v>707700</v>
      </c>
      <c r="I69" s="284">
        <f t="shared" ca="1" si="45"/>
        <v>0</v>
      </c>
      <c r="J69" s="284">
        <f t="shared" ca="1" si="46"/>
        <v>0</v>
      </c>
      <c r="K69" s="285">
        <f t="shared" ca="1" si="47"/>
        <v>707700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/>
      <c r="B70" s="499">
        <v>2</v>
      </c>
      <c r="C70" s="500" t="s">
        <v>16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Bh</v>
      </c>
      <c r="F70" s="716">
        <f>F68*2</f>
        <v>6</v>
      </c>
      <c r="G70" s="283">
        <f ca="1">IF(ISERROR(OFFSET('HARGA SATUAN'!$I$6,MATCH(RAB!C70,'HARGA SATUAN'!$C$7:$C$1492,0),0)),0,OFFSET('HARGA SATUAN'!$I$6,MATCH(RAB!C70,'HARGA SATUAN'!$C$7:$C$1492,0),0))</f>
        <v>2500</v>
      </c>
      <c r="H70" s="284"/>
      <c r="I70" s="284"/>
      <c r="J70" s="284"/>
      <c r="K70" s="285"/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>
        <f>IF(AND(C71=0,C76=0,C77=0),"BLANKS",1)</f>
        <v>1</v>
      </c>
      <c r="B71" s="499">
        <v>3</v>
      </c>
      <c r="C71" s="500" t="s">
        <v>28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Mtr</v>
      </c>
      <c r="F71" s="716">
        <f>F69*1.8</f>
        <v>5.4</v>
      </c>
      <c r="G71" s="283">
        <f ca="1">IF(ISERROR(OFFSET('HARGA SATUAN'!$I$6,MATCH(RAB!C71,'HARGA SATUAN'!$C$7:$C$1492,0),0)),0,OFFSET('HARGA SATUAN'!$I$6,MATCH(RAB!C71,'HARGA SATUAN'!$C$7:$C$1492,0),0))</f>
        <v>8550</v>
      </c>
      <c r="H71" s="284">
        <f t="shared" ref="H71:H72" ca="1" si="49">IF(OR(D71="MDU",D71="MDU-KD"),(IF($O$3="RAB NON MDU","PLN KD",G71*F71)),0)</f>
        <v>0</v>
      </c>
      <c r="I71" s="284">
        <f t="shared" ref="I71:I72" ca="1" si="50">IF(D71="HDW",G71*F71,0)</f>
        <v>46170</v>
      </c>
      <c r="J71" s="284">
        <f t="shared" ref="J71:J72" ca="1" si="51">IF(D71="JASA",G71*F71,0)</f>
        <v>0</v>
      </c>
      <c r="K71" s="285">
        <f t="shared" ref="K71:K72" ca="1" si="52">SUM(H71:J71)</f>
        <v>46170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e">
        <f>IF(AND(C72=0,#REF!=0,#REF!=0),"BLANKS",1)</f>
        <v>#REF!</v>
      </c>
      <c r="B72" s="499">
        <v>4</v>
      </c>
      <c r="C72" s="500" t="s">
        <v>734</v>
      </c>
      <c r="D72" s="281" t="str">
        <f ca="1">IF(ISERROR(OFFSET('HARGA SATUAN'!$D$6,MATCH(RAB!C72,'HARGA SATUAN'!$C$7:$C$1492,0),0)),"",OFFSET('HARGA SATUAN'!$D$6,MATCH(RAB!C72,'HARGA SATUAN'!$C$7:$C$1492,0),0))</f>
        <v>JASA</v>
      </c>
      <c r="E72" s="282" t="str">
        <f ca="1">IF(B72="+","Unit",IF(ISERROR(OFFSET('HARGA SATUAN'!$E$6,MATCH(RAB!C72,'HARGA SATUAN'!$C$7:$C$1492,0),0)),"",OFFSET('HARGA SATUAN'!$E$6,MATCH(RAB!C72,'HARGA SATUAN'!$C$7:$C$1492,0),0)))</f>
        <v>Unit</v>
      </c>
      <c r="F72" s="716">
        <f>F68*1</f>
        <v>3</v>
      </c>
      <c r="G72" s="283">
        <f ca="1">IF(ISERROR(OFFSET('HARGA SATUAN'!$I$6,MATCH(RAB!C72,'HARGA SATUAN'!$C$7:$C$1492,0),0)),0,OFFSET('HARGA SATUAN'!$I$6,MATCH(RAB!C72,'HARGA SATUAN'!$C$7:$C$1492,0),0))</f>
        <v>31200</v>
      </c>
      <c r="H72" s="284">
        <f t="shared" ca="1" si="49"/>
        <v>0</v>
      </c>
      <c r="I72" s="284">
        <f t="shared" ca="1" si="50"/>
        <v>0</v>
      </c>
      <c r="J72" s="284">
        <f t="shared" ca="1" si="51"/>
        <v>93600</v>
      </c>
      <c r="K72" s="285">
        <f t="shared" ca="1" si="52"/>
        <v>93600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IF(AND(C73=0,#REF!=0,#REF!=0),"BLANKS",1)</f>
        <v>#REF!</v>
      </c>
      <c r="B73" s="499"/>
      <c r="C73" s="500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393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30"/>
        <v>0</v>
      </c>
      <c r="I73" s="284">
        <f t="shared" ca="1" si="31"/>
        <v>0</v>
      </c>
      <c r="J73" s="284">
        <f t="shared" ca="1" si="32"/>
        <v>0</v>
      </c>
      <c r="K73" s="285">
        <f t="shared" ca="1" si="33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>
        <f t="shared" ref="A74:A76" si="53">IF(AND(C74=0,C75=0,C76=0),"BLANKS",1)</f>
        <v>1</v>
      </c>
      <c r="B74" s="499" t="s">
        <v>1005</v>
      </c>
      <c r="C74" s="500" t="s">
        <v>1638</v>
      </c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>Unit</v>
      </c>
      <c r="F74" s="711">
        <v>4</v>
      </c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30"/>
        <v>0</v>
      </c>
      <c r="I74" s="284">
        <f t="shared" ca="1" si="31"/>
        <v>0</v>
      </c>
      <c r="J74" s="284">
        <f t="shared" ca="1" si="32"/>
        <v>0</v>
      </c>
      <c r="K74" s="285">
        <f t="shared" ca="1" si="33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>
        <f t="shared" si="53"/>
        <v>1</v>
      </c>
      <c r="B75" s="499">
        <v>1</v>
      </c>
      <c r="C75" s="500" t="s">
        <v>142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Mtr</v>
      </c>
      <c r="F75" s="711">
        <f>F74*1</f>
        <v>4</v>
      </c>
      <c r="G75" s="283">
        <f ca="1">IF(ISERROR(OFFSET('HARGA SATUAN'!$I$6,MATCH(RAB!C75,'HARGA SATUAN'!$C$7:$C$1492,0),0)),0,OFFSET('HARGA SATUAN'!$I$6,MATCH(RAB!C75,'HARGA SATUAN'!$C$7:$C$1492,0),0))</f>
        <v>7789</v>
      </c>
      <c r="H75" s="284">
        <f t="shared" ca="1" si="30"/>
        <v>0</v>
      </c>
      <c r="I75" s="284">
        <f t="shared" ca="1" si="31"/>
        <v>31156</v>
      </c>
      <c r="J75" s="284">
        <f t="shared" ca="1" si="32"/>
        <v>0</v>
      </c>
      <c r="K75" s="285">
        <f t="shared" ca="1" si="33"/>
        <v>31156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>
        <f t="shared" si="53"/>
        <v>1</v>
      </c>
      <c r="B76" s="499">
        <v>2</v>
      </c>
      <c r="C76" s="500" t="s">
        <v>169</v>
      </c>
      <c r="D76" s="281" t="str">
        <f ca="1">IF(ISERROR(OFFSET('HARGA SATUAN'!$D$6,MATCH(RAB!C76,'HARGA SATUAN'!$C$7:$C$1492,0),0)),"",OFFSET('HARGA SATUAN'!$D$6,MATCH(RAB!C76,'HARGA SATUAN'!$C$7:$C$1492,0),0))</f>
        <v>HDW</v>
      </c>
      <c r="E76" s="282" t="str">
        <f ca="1">IF(B76="+","Unit",IF(ISERROR(OFFSET('HARGA SATUAN'!$E$6,MATCH(RAB!C76,'HARGA SATUAN'!$C$7:$C$1492,0),0)),"",OFFSET('HARGA SATUAN'!$E$6,MATCH(RAB!C76,'HARGA SATUAN'!$C$7:$C$1492,0),0)))</f>
        <v>Bh</v>
      </c>
      <c r="F76" s="711">
        <f>F74*1</f>
        <v>4</v>
      </c>
      <c r="G76" s="283">
        <f ca="1">IF(ISERROR(OFFSET('HARGA SATUAN'!$I$6,MATCH(RAB!C76,'HARGA SATUAN'!$C$7:$C$1492,0),0)),0,OFFSET('HARGA SATUAN'!$I$6,MATCH(RAB!C76,'HARGA SATUAN'!$C$7:$C$1492,0),0))</f>
        <v>15500</v>
      </c>
      <c r="H76" s="284">
        <f t="shared" ca="1" si="30"/>
        <v>0</v>
      </c>
      <c r="I76" s="284">
        <f t="shared" ca="1" si="31"/>
        <v>62000</v>
      </c>
      <c r="J76" s="284">
        <f t="shared" ca="1" si="32"/>
        <v>0</v>
      </c>
      <c r="K76" s="285">
        <f t="shared" ca="1" si="33"/>
        <v>62000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>
        <f>IF(AND(C77=0,C78=0,C116=0),"BLANKS",1)</f>
        <v>1</v>
      </c>
      <c r="B77" s="499">
        <v>3</v>
      </c>
      <c r="C77" s="500" t="s">
        <v>208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711">
        <f>F74*2</f>
        <v>8</v>
      </c>
      <c r="G77" s="283">
        <f ca="1">IF(ISERROR(OFFSET('HARGA SATUAN'!$I$6,MATCH(RAB!C77,'HARGA SATUAN'!$C$7:$C$1492,0),0)),0,OFFSET('HARGA SATUAN'!$I$6,MATCH(RAB!C77,'HARGA SATUAN'!$C$7:$C$1492,0),0))</f>
        <v>29600</v>
      </c>
      <c r="H77" s="284">
        <f t="shared" ca="1" si="30"/>
        <v>0</v>
      </c>
      <c r="I77" s="284">
        <f t="shared" ca="1" si="31"/>
        <v>236800</v>
      </c>
      <c r="J77" s="284">
        <f t="shared" ca="1" si="32"/>
        <v>0</v>
      </c>
      <c r="K77" s="285">
        <f t="shared" ca="1" si="33"/>
        <v>236800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>
        <f>IF(AND(C78=0,C116=0,C117=0),"BLANKS",1)</f>
        <v>1</v>
      </c>
      <c r="B78" s="499">
        <v>4</v>
      </c>
      <c r="C78" s="500" t="s">
        <v>15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Bh</v>
      </c>
      <c r="F78" s="711">
        <f>F74*1</f>
        <v>4</v>
      </c>
      <c r="G78" s="283">
        <f ca="1">IF(ISERROR(OFFSET('HARGA SATUAN'!$I$6,MATCH(RAB!C78,'HARGA SATUAN'!$C$7:$C$1492,0),0)),0,OFFSET('HARGA SATUAN'!$I$6,MATCH(RAB!C78,'HARGA SATUAN'!$C$7:$C$1492,0),0))</f>
        <v>23936</v>
      </c>
      <c r="H78" s="284">
        <f t="shared" ca="1" si="30"/>
        <v>0</v>
      </c>
      <c r="I78" s="284">
        <f t="shared" ca="1" si="31"/>
        <v>95744</v>
      </c>
      <c r="J78" s="284">
        <f t="shared" ca="1" si="32"/>
        <v>0</v>
      </c>
      <c r="K78" s="285">
        <f t="shared" ca="1" si="33"/>
        <v>95744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 t="e">
        <f>IF(AND(C79=0,#REF!=0,#REF!=0),"BLANKS",1)</f>
        <v>#REF!</v>
      </c>
      <c r="B79" s="498">
        <v>5</v>
      </c>
      <c r="C79" s="451" t="s">
        <v>237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Bh</v>
      </c>
      <c r="F79" s="711">
        <f>F74*1</f>
        <v>4</v>
      </c>
      <c r="G79" s="283">
        <f ca="1">IF(ISERROR(OFFSET('HARGA SATUAN'!$I$6,MATCH(RAB!C79,'HARGA SATUAN'!$C$7:$C$1492,0),0)),0,OFFSET('HARGA SATUAN'!$I$6,MATCH(RAB!C79,'HARGA SATUAN'!$C$7:$C$1492,0),0))</f>
        <v>57690</v>
      </c>
      <c r="H79" s="284">
        <f t="shared" ca="1" si="30"/>
        <v>0</v>
      </c>
      <c r="I79" s="284">
        <f t="shared" ca="1" si="31"/>
        <v>230760</v>
      </c>
      <c r="J79" s="284">
        <f t="shared" ca="1" si="32"/>
        <v>0</v>
      </c>
      <c r="K79" s="285">
        <f t="shared" ca="1" si="33"/>
        <v>230760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>
        <f t="shared" ref="A80" si="54">IF(AND(C80=0,C81=0,C82=0),"BLANKS",1)</f>
        <v>1</v>
      </c>
      <c r="B80" s="499">
        <v>6</v>
      </c>
      <c r="C80" s="451" t="s">
        <v>255</v>
      </c>
      <c r="D80" s="281" t="str">
        <f ca="1">IF(ISERROR(OFFSET('HARGA SATUAN'!$D$6,MATCH(RAB!C80,'HARGA SATUAN'!$C$7:$C$1492,0),0)),"",OFFSET('HARGA SATUAN'!$D$6,MATCH(RAB!C80,'HARGA SATUAN'!$C$7:$C$1492,0),0))</f>
        <v>HDW</v>
      </c>
      <c r="E80" s="282" t="str">
        <f ca="1">IF(B80="+","Unit",IF(ISERROR(OFFSET('HARGA SATUAN'!$E$6,MATCH(RAB!C80,'HARGA SATUAN'!$C$7:$C$1492,0),0)),"",OFFSET('HARGA SATUAN'!$E$6,MATCH(RAB!C80,'HARGA SATUAN'!$C$7:$C$1492,0),0)))</f>
        <v>Bh</v>
      </c>
      <c r="F80" s="711">
        <f>F74*1</f>
        <v>4</v>
      </c>
      <c r="G80" s="283">
        <f ca="1">IF(ISERROR(OFFSET('HARGA SATUAN'!$I$6,MATCH(RAB!C80,'HARGA SATUAN'!$C$7:$C$1492,0),0)),0,OFFSET('HARGA SATUAN'!$I$6,MATCH(RAB!C80,'HARGA SATUAN'!$C$7:$C$1492,0),0))</f>
        <v>33501.866666666669</v>
      </c>
      <c r="H80" s="284">
        <f t="shared" ca="1" si="30"/>
        <v>0</v>
      </c>
      <c r="I80" s="284">
        <f t="shared" ca="1" si="31"/>
        <v>134007.46666666667</v>
      </c>
      <c r="J80" s="284">
        <f t="shared" ca="1" si="32"/>
        <v>0</v>
      </c>
      <c r="K80" s="285">
        <f t="shared" ca="1" si="33"/>
        <v>134007.46666666667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 t="e">
        <f>IF(AND(C81=0,C82=0,#REF!=0),"BLANKS",1)</f>
        <v>#REF!</v>
      </c>
      <c r="B81" s="499">
        <v>7</v>
      </c>
      <c r="C81" s="109" t="s">
        <v>614</v>
      </c>
      <c r="D81" s="281" t="str">
        <f ca="1">IF(ISERROR(OFFSET('HARGA SATUAN'!$D$6,MATCH(RAB!C81,'HARGA SATUAN'!$C$7:$C$1492,0),0)),"",OFFSET('HARGA SATUAN'!$D$6,MATCH(RAB!C81,'HARGA SATUAN'!$C$7:$C$1492,0),0))</f>
        <v>JASA</v>
      </c>
      <c r="E81" s="282" t="str">
        <f ca="1">IF(B81="+","Unit",IF(ISERROR(OFFSET('HARGA SATUAN'!$E$6,MATCH(RAB!C81,'HARGA SATUAN'!$C$7:$C$1492,0),0)),"",OFFSET('HARGA SATUAN'!$E$6,MATCH(RAB!C81,'HARGA SATUAN'!$C$7:$C$1492,0),0)))</f>
        <v>Unit</v>
      </c>
      <c r="F81" s="711">
        <f>F74*1</f>
        <v>4</v>
      </c>
      <c r="G81" s="283">
        <f ca="1">IF(ISERROR(OFFSET('HARGA SATUAN'!$I$6,MATCH(RAB!C81,'HARGA SATUAN'!$C$7:$C$1492,0),0)),0,OFFSET('HARGA SATUAN'!$I$6,MATCH(RAB!C81,'HARGA SATUAN'!$C$7:$C$1492,0),0))</f>
        <v>35700</v>
      </c>
      <c r="H81" s="284">
        <f t="shared" ca="1" si="30"/>
        <v>0</v>
      </c>
      <c r="I81" s="284">
        <f t="shared" ca="1" si="31"/>
        <v>0</v>
      </c>
      <c r="J81" s="284">
        <f t="shared" ca="1" si="32"/>
        <v>142800</v>
      </c>
      <c r="K81" s="285">
        <f t="shared" ca="1" si="33"/>
        <v>142800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 t="e">
        <f>IF(AND(C82=0,#REF!=0,#REF!=0),"BLANKS",1)</f>
        <v>#REF!</v>
      </c>
      <c r="B82" s="499"/>
      <c r="C82" s="500"/>
      <c r="D82" s="281" t="str">
        <f ca="1">IF(ISERROR(OFFSET('HARGA SATUAN'!$D$6,MATCH(RAB!C82,'HARGA SATUAN'!$C$7:$C$1492,0),0)),"",OFFSET('HARGA SATUAN'!$D$6,MATCH(RAB!C82,'HARGA SATUAN'!$C$7:$C$1492,0),0))</f>
        <v/>
      </c>
      <c r="E82" s="282" t="str">
        <f ca="1">IF(B82="+","Unit",IF(ISERROR(OFFSET('HARGA SATUAN'!$E$6,MATCH(RAB!C82,'HARGA SATUAN'!$C$7:$C$1492,0),0)),"",OFFSET('HARGA SATUAN'!$E$6,MATCH(RAB!C82,'HARGA SATUAN'!$C$7:$C$1492,0),0)))</f>
        <v/>
      </c>
      <c r="F82" s="711"/>
      <c r="G82" s="283">
        <f ca="1">IF(ISERROR(OFFSET('HARGA SATUAN'!$I$6,MATCH(RAB!C82,'HARGA SATUAN'!$C$7:$C$1492,0),0)),0,OFFSET('HARGA SATUAN'!$I$6,MATCH(RAB!C82,'HARGA SATUAN'!$C$7:$C$1492,0),0))</f>
        <v>0</v>
      </c>
      <c r="H82" s="284">
        <f t="shared" ca="1" si="30"/>
        <v>0</v>
      </c>
      <c r="I82" s="284">
        <f t="shared" ca="1" si="31"/>
        <v>0</v>
      </c>
      <c r="J82" s="284">
        <f t="shared" ca="1" si="32"/>
        <v>0</v>
      </c>
      <c r="K82" s="285">
        <f t="shared" ca="1" si="33"/>
        <v>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 t="e">
        <f>IF(AND(#REF!=0,#REF!=0,#REF!=0),"BLANKS",1)</f>
        <v>#REF!</v>
      </c>
      <c r="B83" s="499" t="s">
        <v>1005</v>
      </c>
      <c r="C83" s="500" t="s">
        <v>1644</v>
      </c>
      <c r="D83" s="281" t="str">
        <f ca="1">IF(ISERROR(OFFSET('HARGA SATUAN'!$D$6,MATCH(RAB!C83,'HARGA SATUAN'!$C$7:$C$1492,0),0)),"",OFFSET('HARGA SATUAN'!$D$6,MATCH(RAB!C83,'HARGA SATUAN'!$C$7:$C$1492,0),0))</f>
        <v/>
      </c>
      <c r="E83" s="282" t="str">
        <f ca="1">IF(B83="+","Unit",IF(ISERROR(OFFSET('HARGA SATUAN'!$E$6,MATCH(RAB!C83,'HARGA SATUAN'!$C$7:$C$1492,0),0)),"",OFFSET('HARGA SATUAN'!$E$6,MATCH(RAB!C83,'HARGA SATUAN'!$C$7:$C$1492,0),0)))</f>
        <v>Unit</v>
      </c>
      <c r="F83" s="711">
        <v>3</v>
      </c>
      <c r="G83" s="283">
        <f ca="1">IF(ISERROR(OFFSET('HARGA SATUAN'!$I$6,MATCH(RAB!C83,'HARGA SATUAN'!$C$7:$C$1492,0),0)),0,OFFSET('HARGA SATUAN'!$I$6,MATCH(RAB!C83,'HARGA SATUAN'!$C$7:$C$1492,0),0))</f>
        <v>0</v>
      </c>
      <c r="H83" s="284">
        <f t="shared" ca="1" si="30"/>
        <v>0</v>
      </c>
      <c r="I83" s="284">
        <f t="shared" ca="1" si="31"/>
        <v>0</v>
      </c>
      <c r="J83" s="284">
        <f t="shared" ca="1" si="32"/>
        <v>0</v>
      </c>
      <c r="K83" s="285">
        <f t="shared" ca="1" si="33"/>
        <v>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 t="e">
        <f>IF(AND(#REF!=0,#REF!=0,#REF!=0),"BLANKS",1)</f>
        <v>#REF!</v>
      </c>
      <c r="B84" s="499">
        <v>1</v>
      </c>
      <c r="C84" s="500" t="s">
        <v>20</v>
      </c>
      <c r="D84" s="281" t="str">
        <f ca="1">IF(ISERROR(OFFSET('HARGA SATUAN'!$D$6,MATCH(RAB!C84,'HARGA SATUAN'!$C$7:$C$1492,0),0)),"",OFFSET('HARGA SATUAN'!$D$6,MATCH(RAB!C84,'HARGA SATUAN'!$C$7:$C$1492,0),0))</f>
        <v>HDW</v>
      </c>
      <c r="E84" s="282" t="str">
        <f ca="1">IF(B84="+","Unit",IF(ISERROR(OFFSET('HARGA SATUAN'!$E$6,MATCH(RAB!C84,'HARGA SATUAN'!$C$7:$C$1492,0),0)),"",OFFSET('HARGA SATUAN'!$E$6,MATCH(RAB!C84,'HARGA SATUAN'!$C$7:$C$1492,0),0)))</f>
        <v>Bh</v>
      </c>
      <c r="F84" s="711">
        <f>F83*1</f>
        <v>3</v>
      </c>
      <c r="G84" s="283">
        <f ca="1">IF(ISERROR(OFFSET('HARGA SATUAN'!$I$6,MATCH(RAB!C84,'HARGA SATUAN'!$C$7:$C$1492,0),0)),0,OFFSET('HARGA SATUAN'!$I$6,MATCH(RAB!C84,'HARGA SATUAN'!$C$7:$C$1492,0),0))</f>
        <v>47459</v>
      </c>
      <c r="H84" s="284">
        <f t="shared" ca="1" si="30"/>
        <v>0</v>
      </c>
      <c r="I84" s="284">
        <f t="shared" ca="1" si="31"/>
        <v>142377</v>
      </c>
      <c r="J84" s="284">
        <f t="shared" ca="1" si="32"/>
        <v>0</v>
      </c>
      <c r="K84" s="285">
        <f t="shared" ca="1" si="33"/>
        <v>142377</v>
      </c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 t="e">
        <f>IF(AND(#REF!=0,#REF!=0,#REF!=0),"BLANKS",1)</f>
        <v>#REF!</v>
      </c>
      <c r="B85" s="499">
        <v>2</v>
      </c>
      <c r="C85" s="500" t="s">
        <v>22</v>
      </c>
      <c r="D85" s="281" t="str">
        <f ca="1">IF(ISERROR(OFFSET('HARGA SATUAN'!$D$6,MATCH(RAB!C85,'HARGA SATUAN'!$C$7:$C$1492,0),0)),"",OFFSET('HARGA SATUAN'!$D$6,MATCH(RAB!C85,'HARGA SATUAN'!$C$7:$C$1492,0),0))</f>
        <v>HDW</v>
      </c>
      <c r="E85" s="282" t="str">
        <f ca="1">IF(B85="+","Unit",IF(ISERROR(OFFSET('HARGA SATUAN'!$E$6,MATCH(RAB!C85,'HARGA SATUAN'!$C$7:$C$1492,0),0)),"",OFFSET('HARGA SATUAN'!$E$6,MATCH(RAB!C85,'HARGA SATUAN'!$C$7:$C$1492,0),0)))</f>
        <v>Mtr</v>
      </c>
      <c r="F85" s="711">
        <f>F83*0.8</f>
        <v>2.4000000000000004</v>
      </c>
      <c r="G85" s="283">
        <f ca="1">IF(ISERROR(OFFSET('HARGA SATUAN'!$I$6,MATCH(RAB!C85,'HARGA SATUAN'!$C$7:$C$1492,0),0)),0,OFFSET('HARGA SATUAN'!$I$6,MATCH(RAB!C85,'HARGA SATUAN'!$C$7:$C$1492,0),0))</f>
        <v>30000</v>
      </c>
      <c r="H85" s="284">
        <f t="shared" ca="1" si="30"/>
        <v>0</v>
      </c>
      <c r="I85" s="284">
        <f t="shared" ca="1" si="31"/>
        <v>72000.000000000015</v>
      </c>
      <c r="J85" s="284">
        <f t="shared" ca="1" si="32"/>
        <v>0</v>
      </c>
      <c r="K85" s="285">
        <f t="shared" ca="1" si="33"/>
        <v>72000.000000000015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>
      <c r="A86" s="259" t="e">
        <f>IF(AND(#REF!=0,#REF!=0,#REF!=0),"BLANKS",1)</f>
        <v>#REF!</v>
      </c>
      <c r="B86" s="499">
        <v>3</v>
      </c>
      <c r="C86" s="500" t="s">
        <v>23</v>
      </c>
      <c r="D86" s="281" t="str">
        <f ca="1">IF(ISERROR(OFFSET('HARGA SATUAN'!$D$6,MATCH(RAB!C86,'HARGA SATUAN'!$C$7:$C$1492,0),0)),"",OFFSET('HARGA SATUAN'!$D$6,MATCH(RAB!C86,'HARGA SATUAN'!$C$7:$C$1492,0),0))</f>
        <v>HDW</v>
      </c>
      <c r="E86" s="282" t="str">
        <f ca="1">IF(B86="+","Unit",IF(ISERROR(OFFSET('HARGA SATUAN'!$E$6,MATCH(RAB!C86,'HARGA SATUAN'!$C$7:$C$1492,0),0)),"",OFFSET('HARGA SATUAN'!$E$6,MATCH(RAB!C86,'HARGA SATUAN'!$C$7:$C$1492,0),0)))</f>
        <v>Bh</v>
      </c>
      <c r="F86" s="711">
        <f>F83*1</f>
        <v>3</v>
      </c>
      <c r="G86" s="283">
        <f ca="1">IF(ISERROR(OFFSET('HARGA SATUAN'!$I$6,MATCH(RAB!C86,'HARGA SATUAN'!$C$7:$C$1492,0),0)),0,OFFSET('HARGA SATUAN'!$I$6,MATCH(RAB!C86,'HARGA SATUAN'!$C$7:$C$1492,0),0))</f>
        <v>9500</v>
      </c>
      <c r="H86" s="284">
        <f t="shared" ca="1" si="30"/>
        <v>0</v>
      </c>
      <c r="I86" s="284">
        <f t="shared" ca="1" si="31"/>
        <v>28500</v>
      </c>
      <c r="J86" s="284">
        <f t="shared" ca="1" si="32"/>
        <v>0</v>
      </c>
      <c r="K86" s="285">
        <f t="shared" ca="1" si="33"/>
        <v>28500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 t="e">
        <f>IF(AND(#REF!=0,#REF!=0,#REF!=0),"BLANKS",1)</f>
        <v>#REF!</v>
      </c>
      <c r="B87" s="499">
        <v>4</v>
      </c>
      <c r="C87" s="500" t="s">
        <v>727</v>
      </c>
      <c r="D87" s="281" t="str">
        <f ca="1">IF(ISERROR(OFFSET('HARGA SATUAN'!$D$6,MATCH(RAB!C87,'HARGA SATUAN'!$C$7:$C$1492,0),0)),"",OFFSET('HARGA SATUAN'!$D$6,MATCH(RAB!C87,'HARGA SATUAN'!$C$7:$C$1492,0),0))</f>
        <v>JASA</v>
      </c>
      <c r="E87" s="282" t="str">
        <f ca="1">IF(B87="+","Unit",IF(ISERROR(OFFSET('HARGA SATUAN'!$E$6,MATCH(RAB!C87,'HARGA SATUAN'!$C$7:$C$1492,0),0)),"",OFFSET('HARGA SATUAN'!$E$6,MATCH(RAB!C87,'HARGA SATUAN'!$C$7:$C$1492,0),0)))</f>
        <v>Unit</v>
      </c>
      <c r="F87" s="711">
        <f>F83*1</f>
        <v>3</v>
      </c>
      <c r="G87" s="283">
        <f ca="1">IF(ISERROR(OFFSET('HARGA SATUAN'!$I$6,MATCH(RAB!C87,'HARGA SATUAN'!$C$7:$C$1492,0),0)),0,OFFSET('HARGA SATUAN'!$I$6,MATCH(RAB!C87,'HARGA SATUAN'!$C$7:$C$1492,0),0))</f>
        <v>16200</v>
      </c>
      <c r="H87" s="284">
        <f t="shared" ca="1" si="30"/>
        <v>0</v>
      </c>
      <c r="I87" s="284">
        <f t="shared" ca="1" si="31"/>
        <v>0</v>
      </c>
      <c r="J87" s="284">
        <f t="shared" ca="1" si="32"/>
        <v>48600</v>
      </c>
      <c r="K87" s="285">
        <f t="shared" ca="1" si="33"/>
        <v>48600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 t="e">
        <f>IF(AND(#REF!=0,#REF!=0,#REF!=0),"BLANKS",1)</f>
        <v>#REF!</v>
      </c>
      <c r="B88" s="499"/>
      <c r="C88" s="500"/>
      <c r="D88" s="281" t="str">
        <f ca="1">IF(ISERROR(OFFSET('HARGA SATUAN'!$D$6,MATCH(RAB!C88,'HARGA SATUAN'!$C$7:$C$1492,0),0)),"",OFFSET('HARGA SATUAN'!$D$6,MATCH(RAB!C88,'HARGA SATUAN'!$C$7:$C$1492,0),0))</f>
        <v/>
      </c>
      <c r="E88" s="282" t="str">
        <f ca="1">IF(B88="+","Unit",IF(ISERROR(OFFSET('HARGA SATUAN'!$E$6,MATCH(RAB!C88,'HARGA SATUAN'!$C$7:$C$1492,0),0)),"",OFFSET('HARGA SATUAN'!$E$6,MATCH(RAB!C88,'HARGA SATUAN'!$C$7:$C$1492,0),0)))</f>
        <v/>
      </c>
      <c r="F88" s="711"/>
      <c r="G88" s="283">
        <f ca="1">IF(ISERROR(OFFSET('HARGA SATUAN'!$I$6,MATCH(RAB!C88,'HARGA SATUAN'!$C$7:$C$1492,0),0)),0,OFFSET('HARGA SATUAN'!$I$6,MATCH(RAB!C88,'HARGA SATUAN'!$C$7:$C$1492,0),0))</f>
        <v>0</v>
      </c>
      <c r="H88" s="284">
        <f t="shared" ca="1" si="30"/>
        <v>0</v>
      </c>
      <c r="I88" s="284">
        <f t="shared" ca="1" si="31"/>
        <v>0</v>
      </c>
      <c r="J88" s="284">
        <f t="shared" ca="1" si="32"/>
        <v>0</v>
      </c>
      <c r="K88" s="285">
        <f t="shared" ca="1" si="33"/>
        <v>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/>
      <c r="B89" s="499" t="s">
        <v>1005</v>
      </c>
      <c r="C89" s="500" t="s">
        <v>1645</v>
      </c>
      <c r="D89" s="281" t="str">
        <f ca="1">IF(ISERROR(OFFSET('HARGA SATUAN'!$D$6,MATCH(RAB!C89,'HARGA SATUAN'!$C$7:$C$1492,0),0)),"",OFFSET('HARGA SATUAN'!$D$6,MATCH(RAB!C89,'HARGA SATUAN'!$C$7:$C$1492,0),0))</f>
        <v/>
      </c>
      <c r="E89" s="282" t="str">
        <f ca="1">IF(B89="+","Unit",IF(ISERROR(OFFSET('HARGA SATUAN'!$E$6,MATCH(RAB!C89,'HARGA SATUAN'!$C$7:$C$1492,0),0)),"",OFFSET('HARGA SATUAN'!$E$6,MATCH(RAB!C89,'HARGA SATUAN'!$C$7:$C$1492,0),0)))</f>
        <v>Unit</v>
      </c>
      <c r="F89" s="711">
        <v>2</v>
      </c>
      <c r="G89" s="283">
        <f ca="1">IF(ISERROR(OFFSET('HARGA SATUAN'!$I$6,MATCH(RAB!C89,'HARGA SATUAN'!$C$7:$C$1492,0),0)),0,OFFSET('HARGA SATUAN'!$I$6,MATCH(RAB!C89,'HARGA SATUAN'!$C$7:$C$1492,0),0))</f>
        <v>0</v>
      </c>
      <c r="H89" s="284">
        <f t="shared" ca="1" si="30"/>
        <v>0</v>
      </c>
      <c r="I89" s="284">
        <f t="shared" ca="1" si="31"/>
        <v>0</v>
      </c>
      <c r="J89" s="284">
        <f t="shared" ca="1" si="32"/>
        <v>0</v>
      </c>
      <c r="K89" s="285">
        <f t="shared" ca="1" si="33"/>
        <v>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>
      <c r="A90" s="259" t="e">
        <f>IF(AND(#REF!=0,#REF!=0,#REF!=0),"BLANKS",1)</f>
        <v>#REF!</v>
      </c>
      <c r="B90" s="499">
        <v>1</v>
      </c>
      <c r="C90" s="500" t="s">
        <v>20</v>
      </c>
      <c r="D90" s="281" t="str">
        <f ca="1">IF(ISERROR(OFFSET('HARGA SATUAN'!$D$6,MATCH(RAB!C90,'HARGA SATUAN'!$C$7:$C$1492,0),0)),"",OFFSET('HARGA SATUAN'!$D$6,MATCH(RAB!C90,'HARGA SATUAN'!$C$7:$C$1492,0),0))</f>
        <v>HDW</v>
      </c>
      <c r="E90" s="282" t="str">
        <f ca="1">IF(B90="+","Unit",IF(ISERROR(OFFSET('HARGA SATUAN'!$E$6,MATCH(RAB!C90,'HARGA SATUAN'!$C$7:$C$1492,0),0)),"",OFFSET('HARGA SATUAN'!$E$6,MATCH(RAB!C90,'HARGA SATUAN'!$C$7:$C$1492,0),0)))</f>
        <v>Bh</v>
      </c>
      <c r="F90" s="711">
        <f>F89*1</f>
        <v>2</v>
      </c>
      <c r="G90" s="283">
        <f ca="1">IF(ISERROR(OFFSET('HARGA SATUAN'!$I$6,MATCH(RAB!C90,'HARGA SATUAN'!$C$7:$C$1492,0),0)),0,OFFSET('HARGA SATUAN'!$I$6,MATCH(RAB!C90,'HARGA SATUAN'!$C$7:$C$1492,0),0))</f>
        <v>47459</v>
      </c>
      <c r="H90" s="284">
        <f t="shared" ca="1" si="30"/>
        <v>0</v>
      </c>
      <c r="I90" s="284">
        <f t="shared" ca="1" si="31"/>
        <v>94918</v>
      </c>
      <c r="J90" s="284">
        <f t="shared" ca="1" si="32"/>
        <v>0</v>
      </c>
      <c r="K90" s="285">
        <f t="shared" ca="1" si="33"/>
        <v>94918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 t="e">
        <f>IF(AND(#REF!=0,#REF!=0,#REF!=0),"BLANKS",1)</f>
        <v>#REF!</v>
      </c>
      <c r="B91" s="499">
        <v>2</v>
      </c>
      <c r="C91" s="500" t="s">
        <v>22</v>
      </c>
      <c r="D91" s="281" t="str">
        <f ca="1">IF(ISERROR(OFFSET('HARGA SATUAN'!$D$6,MATCH(RAB!C91,'HARGA SATUAN'!$C$7:$C$1492,0),0)),"",OFFSET('HARGA SATUAN'!$D$6,MATCH(RAB!C91,'HARGA SATUAN'!$C$7:$C$1492,0),0))</f>
        <v>HDW</v>
      </c>
      <c r="E91" s="282" t="str">
        <f ca="1">IF(B91="+","Unit",IF(ISERROR(OFFSET('HARGA SATUAN'!$E$6,MATCH(RAB!C91,'HARGA SATUAN'!$C$7:$C$1492,0),0)),"",OFFSET('HARGA SATUAN'!$E$6,MATCH(RAB!C91,'HARGA SATUAN'!$C$7:$C$1492,0),0)))</f>
        <v>Mtr</v>
      </c>
      <c r="F91" s="711">
        <f>F89*1</f>
        <v>2</v>
      </c>
      <c r="G91" s="283">
        <f ca="1">IF(ISERROR(OFFSET('HARGA SATUAN'!$I$6,MATCH(RAB!C91,'HARGA SATUAN'!$C$7:$C$1492,0),0)),0,OFFSET('HARGA SATUAN'!$I$6,MATCH(RAB!C91,'HARGA SATUAN'!$C$7:$C$1492,0),0))</f>
        <v>30000</v>
      </c>
      <c r="H91" s="284">
        <f t="shared" ca="1" si="30"/>
        <v>0</v>
      </c>
      <c r="I91" s="284">
        <f t="shared" ca="1" si="31"/>
        <v>60000</v>
      </c>
      <c r="J91" s="284">
        <f t="shared" ca="1" si="32"/>
        <v>0</v>
      </c>
      <c r="K91" s="285">
        <f t="shared" ca="1" si="33"/>
        <v>60000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>
      <c r="A92" s="259" t="e">
        <f>IF(AND(#REF!=0,#REF!=0,#REF!=0),"BLANKS",1)</f>
        <v>#REF!</v>
      </c>
      <c r="B92" s="499">
        <v>3</v>
      </c>
      <c r="C92" s="500" t="s">
        <v>23</v>
      </c>
      <c r="D92" s="281" t="str">
        <f ca="1">IF(ISERROR(OFFSET('HARGA SATUAN'!$D$6,MATCH(RAB!C92,'HARGA SATUAN'!$C$7:$C$1492,0),0)),"",OFFSET('HARGA SATUAN'!$D$6,MATCH(RAB!C92,'HARGA SATUAN'!$C$7:$C$1492,0),0))</f>
        <v>HDW</v>
      </c>
      <c r="E92" s="282" t="str">
        <f ca="1">IF(B92="+","Unit",IF(ISERROR(OFFSET('HARGA SATUAN'!$E$6,MATCH(RAB!C92,'HARGA SATUAN'!$C$7:$C$1492,0),0)),"",OFFSET('HARGA SATUAN'!$E$6,MATCH(RAB!C92,'HARGA SATUAN'!$C$7:$C$1492,0),0)))</f>
        <v>Bh</v>
      </c>
      <c r="F92" s="711">
        <f>F89*1</f>
        <v>2</v>
      </c>
      <c r="G92" s="283">
        <f ca="1">IF(ISERROR(OFFSET('HARGA SATUAN'!$I$6,MATCH(RAB!C92,'HARGA SATUAN'!$C$7:$C$1492,0),0)),0,OFFSET('HARGA SATUAN'!$I$6,MATCH(RAB!C92,'HARGA SATUAN'!$C$7:$C$1492,0),0))</f>
        <v>9500</v>
      </c>
      <c r="H92" s="284">
        <f t="shared" ca="1" si="30"/>
        <v>0</v>
      </c>
      <c r="I92" s="284">
        <f t="shared" ca="1" si="31"/>
        <v>19000</v>
      </c>
      <c r="J92" s="284">
        <f t="shared" ca="1" si="32"/>
        <v>0</v>
      </c>
      <c r="K92" s="285">
        <f t="shared" ca="1" si="33"/>
        <v>19000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>
      <c r="A93" s="259" t="e">
        <f>IF(AND(#REF!=0,#REF!=0,#REF!=0),"BLANKS",1)</f>
        <v>#REF!</v>
      </c>
      <c r="B93" s="499">
        <v>4</v>
      </c>
      <c r="C93" s="500" t="s">
        <v>728</v>
      </c>
      <c r="D93" s="281" t="str">
        <f ca="1">IF(ISERROR(OFFSET('HARGA SATUAN'!$D$6,MATCH(RAB!C93,'HARGA SATUAN'!$C$7:$C$1492,0),0)),"",OFFSET('HARGA SATUAN'!$D$6,MATCH(RAB!C93,'HARGA SATUAN'!$C$7:$C$1492,0),0))</f>
        <v>JASA</v>
      </c>
      <c r="E93" s="282" t="str">
        <f ca="1">IF(B93="+","Unit",IF(ISERROR(OFFSET('HARGA SATUAN'!$E$6,MATCH(RAB!C93,'HARGA SATUAN'!$C$7:$C$1492,0),0)),"",OFFSET('HARGA SATUAN'!$E$6,MATCH(RAB!C93,'HARGA SATUAN'!$C$7:$C$1492,0),0)))</f>
        <v>Unit</v>
      </c>
      <c r="F93" s="711">
        <f>F89*1</f>
        <v>2</v>
      </c>
      <c r="G93" s="283">
        <f ca="1">IF(ISERROR(OFFSET('HARGA SATUAN'!$I$6,MATCH(RAB!C93,'HARGA SATUAN'!$C$7:$C$1492,0),0)),0,OFFSET('HARGA SATUAN'!$I$6,MATCH(RAB!C93,'HARGA SATUAN'!$C$7:$C$1492,0),0))</f>
        <v>21200</v>
      </c>
      <c r="H93" s="284">
        <f t="shared" ca="1" si="30"/>
        <v>0</v>
      </c>
      <c r="I93" s="284">
        <f t="shared" ca="1" si="31"/>
        <v>0</v>
      </c>
      <c r="J93" s="284">
        <f t="shared" ca="1" si="32"/>
        <v>42400</v>
      </c>
      <c r="K93" s="285">
        <f t="shared" ca="1" si="33"/>
        <v>42400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>
      <c r="A94" s="259" t="e">
        <f>IF(AND(#REF!=0,#REF!=0,#REF!=0),"BLANKS",1)</f>
        <v>#REF!</v>
      </c>
      <c r="B94" s="499"/>
      <c r="C94" s="500"/>
      <c r="D94" s="281" t="str">
        <f ca="1">IF(ISERROR(OFFSET('HARGA SATUAN'!$D$6,MATCH(RAB!C94,'HARGA SATUAN'!$C$7:$C$1492,0),0)),"",OFFSET('HARGA SATUAN'!$D$6,MATCH(RAB!C94,'HARGA SATUAN'!$C$7:$C$1492,0),0))</f>
        <v/>
      </c>
      <c r="E94" s="282" t="str">
        <f ca="1">IF(B94="+","Unit",IF(ISERROR(OFFSET('HARGA SATUAN'!$E$6,MATCH(RAB!C94,'HARGA SATUAN'!$C$7:$C$1492,0),0)),"",OFFSET('HARGA SATUAN'!$E$6,MATCH(RAB!C94,'HARGA SATUAN'!$C$7:$C$1492,0),0)))</f>
        <v/>
      </c>
      <c r="F94" s="711"/>
      <c r="G94" s="283">
        <f ca="1">IF(ISERROR(OFFSET('HARGA SATUAN'!$I$6,MATCH(RAB!C94,'HARGA SATUAN'!$C$7:$C$1492,0),0)),0,OFFSET('HARGA SATUAN'!$I$6,MATCH(RAB!C94,'HARGA SATUAN'!$C$7:$C$1492,0),0))</f>
        <v>0</v>
      </c>
      <c r="H94" s="284">
        <f t="shared" ca="1" si="30"/>
        <v>0</v>
      </c>
      <c r="I94" s="284">
        <f t="shared" ca="1" si="31"/>
        <v>0</v>
      </c>
      <c r="J94" s="284">
        <f t="shared" ca="1" si="32"/>
        <v>0</v>
      </c>
      <c r="K94" s="285">
        <f t="shared" ca="1" si="33"/>
        <v>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>
      <c r="A95" s="259" t="e">
        <f>IF(AND(#REF!=0,C191=0,C192=0),"BLANKS",1)</f>
        <v>#REF!</v>
      </c>
      <c r="B95" s="499" t="s">
        <v>1005</v>
      </c>
      <c r="C95" s="500" t="s">
        <v>1514</v>
      </c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>Unit</v>
      </c>
      <c r="F95" s="711">
        <v>3</v>
      </c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ca="1" si="30"/>
        <v>0</v>
      </c>
      <c r="I95" s="284">
        <f t="shared" ca="1" si="31"/>
        <v>0</v>
      </c>
      <c r="J95" s="284">
        <f t="shared" ca="1" si="32"/>
        <v>0</v>
      </c>
      <c r="K95" s="285">
        <f t="shared" ca="1" si="33"/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>
      <c r="A96" s="259" t="e">
        <f>IF(AND(#REF!=0,C183=0,C184=0),"BLANKS",1)</f>
        <v>#REF!</v>
      </c>
      <c r="B96" s="499">
        <v>1</v>
      </c>
      <c r="C96" s="500" t="s">
        <v>19</v>
      </c>
      <c r="D96" s="281" t="str">
        <f ca="1">IF(ISERROR(OFFSET('HARGA SATUAN'!$D$6,MATCH(RAB!C96,'HARGA SATUAN'!$C$7:$C$1492,0),0)),"",OFFSET('HARGA SATUAN'!$D$6,MATCH(RAB!C96,'HARGA SATUAN'!$C$7:$C$1492,0),0))</f>
        <v>HDW</v>
      </c>
      <c r="E96" s="282" t="str">
        <f ca="1">IF(B96="+","Unit",IF(ISERROR(OFFSET('HARGA SATUAN'!$E$6,MATCH(RAB!C96,'HARGA SATUAN'!$C$7:$C$1492,0),0)),"",OFFSET('HARGA SATUAN'!$E$6,MATCH(RAB!C96,'HARGA SATUAN'!$C$7:$C$1492,0),0)))</f>
        <v>Bh</v>
      </c>
      <c r="F96" s="711">
        <f>F95*1</f>
        <v>3</v>
      </c>
      <c r="G96" s="283">
        <f ca="1">IF(ISERROR(OFFSET('HARGA SATUAN'!$I$6,MATCH(RAB!C96,'HARGA SATUAN'!$C$7:$C$1492,0),0)),0,OFFSET('HARGA SATUAN'!$I$6,MATCH(RAB!C96,'HARGA SATUAN'!$C$7:$C$1492,0),0))</f>
        <v>185200</v>
      </c>
      <c r="H96" s="284">
        <f t="shared" ca="1" si="30"/>
        <v>0</v>
      </c>
      <c r="I96" s="284">
        <f t="shared" ca="1" si="31"/>
        <v>555600</v>
      </c>
      <c r="J96" s="284">
        <f t="shared" ca="1" si="32"/>
        <v>0</v>
      </c>
      <c r="K96" s="285">
        <f t="shared" ca="1" si="33"/>
        <v>555600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>
      <c r="A97" s="259" t="e">
        <f>IF(AND(#REF!=0,#REF!=0,#REF!=0),"BLANKS",1)</f>
        <v>#REF!</v>
      </c>
      <c r="B97" s="499">
        <v>2</v>
      </c>
      <c r="C97" s="500" t="s">
        <v>20</v>
      </c>
      <c r="D97" s="281" t="str">
        <f ca="1">IF(ISERROR(OFFSET('HARGA SATUAN'!$D$6,MATCH(RAB!C97,'HARGA SATUAN'!$C$7:$C$1492,0),0)),"",OFFSET('HARGA SATUAN'!$D$6,MATCH(RAB!C97,'HARGA SATUAN'!$C$7:$C$1492,0),0))</f>
        <v>HDW</v>
      </c>
      <c r="E97" s="282" t="str">
        <f ca="1">IF(B97="+","Unit",IF(ISERROR(OFFSET('HARGA SATUAN'!$E$6,MATCH(RAB!C97,'HARGA SATUAN'!$C$7:$C$1492,0),0)),"",OFFSET('HARGA SATUAN'!$E$6,MATCH(RAB!C97,'HARGA SATUAN'!$C$7:$C$1492,0),0)))</f>
        <v>Bh</v>
      </c>
      <c r="F97" s="711">
        <f>F95*1</f>
        <v>3</v>
      </c>
      <c r="G97" s="283">
        <f ca="1">IF(ISERROR(OFFSET('HARGA SATUAN'!$I$6,MATCH(RAB!C97,'HARGA SATUAN'!$C$7:$C$1492,0),0)),0,OFFSET('HARGA SATUAN'!$I$6,MATCH(RAB!C97,'HARGA SATUAN'!$C$7:$C$1492,0),0))</f>
        <v>47459</v>
      </c>
      <c r="H97" s="284">
        <f t="shared" ca="1" si="30"/>
        <v>0</v>
      </c>
      <c r="I97" s="284">
        <f t="shared" ca="1" si="31"/>
        <v>142377</v>
      </c>
      <c r="J97" s="284">
        <f t="shared" ca="1" si="32"/>
        <v>0</v>
      </c>
      <c r="K97" s="285">
        <f t="shared" ca="1" si="33"/>
        <v>142377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>
      <c r="A98" s="259"/>
      <c r="B98" s="499">
        <v>3</v>
      </c>
      <c r="C98" s="500" t="s">
        <v>21</v>
      </c>
      <c r="D98" s="281" t="str">
        <f ca="1">IF(ISERROR(OFFSET('HARGA SATUAN'!$D$6,MATCH(RAB!C98,'HARGA SATUAN'!$C$7:$C$1492,0),0)),"",OFFSET('HARGA SATUAN'!$D$6,MATCH(RAB!C98,'HARGA SATUAN'!$C$7:$C$1492,0),0))</f>
        <v>HDW</v>
      </c>
      <c r="E98" s="282" t="str">
        <f ca="1">IF(B98="+","Unit",IF(ISERROR(OFFSET('HARGA SATUAN'!$E$6,MATCH(RAB!C98,'HARGA SATUAN'!$C$7:$C$1492,0),0)),"",OFFSET('HARGA SATUAN'!$E$6,MATCH(RAB!C98,'HARGA SATUAN'!$C$7:$C$1492,0),0)))</f>
        <v>Bh</v>
      </c>
      <c r="F98" s="711">
        <f>F95*1</f>
        <v>3</v>
      </c>
      <c r="G98" s="283">
        <f ca="1">IF(ISERROR(OFFSET('HARGA SATUAN'!$I$6,MATCH(RAB!C98,'HARGA SATUAN'!$C$7:$C$1492,0),0)),0,OFFSET('HARGA SATUAN'!$I$6,MATCH(RAB!C98,'HARGA SATUAN'!$C$7:$C$1492,0),0))</f>
        <v>4880</v>
      </c>
      <c r="H98" s="284"/>
      <c r="I98" s="284"/>
      <c r="J98" s="284"/>
      <c r="K98" s="285"/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>
      <c r="A99" s="259">
        <f>IF(AND(C83=0,C114=0,C115=0),"BLANKS",1)</f>
        <v>1</v>
      </c>
      <c r="B99" s="499">
        <v>4</v>
      </c>
      <c r="C99" s="500" t="s">
        <v>22</v>
      </c>
      <c r="D99" s="281" t="str">
        <f ca="1">IF(ISERROR(OFFSET('HARGA SATUAN'!$D$6,MATCH(RAB!C99,'HARGA SATUAN'!$C$7:$C$1492,0),0)),"",OFFSET('HARGA SATUAN'!$D$6,MATCH(RAB!C99,'HARGA SATUAN'!$C$7:$C$1492,0),0))</f>
        <v>HDW</v>
      </c>
      <c r="E99" s="282" t="str">
        <f ca="1">IF(B99="+","Unit",IF(ISERROR(OFFSET('HARGA SATUAN'!$E$6,MATCH(RAB!C99,'HARGA SATUAN'!$C$7:$C$1492,0),0)),"",OFFSET('HARGA SATUAN'!$E$6,MATCH(RAB!C99,'HARGA SATUAN'!$C$7:$C$1492,0),0)))</f>
        <v>Mtr</v>
      </c>
      <c r="F99" s="711">
        <f>F95*10</f>
        <v>30</v>
      </c>
      <c r="G99" s="283">
        <f ca="1">IF(ISERROR(OFFSET('HARGA SATUAN'!$I$6,MATCH(RAB!C99,'HARGA SATUAN'!$C$7:$C$1492,0),0)),0,OFFSET('HARGA SATUAN'!$I$6,MATCH(RAB!C99,'HARGA SATUAN'!$C$7:$C$1492,0),0))</f>
        <v>30000</v>
      </c>
      <c r="H99" s="284">
        <f t="shared" ref="H99:H105" ca="1" si="55">IF(OR(D99="MDU",D99="MDU-KD"),(IF($O$3="RAB NON MDU","PLN KD",G99*F99)),0)</f>
        <v>0</v>
      </c>
      <c r="I99" s="284">
        <f t="shared" ref="I99:I105" ca="1" si="56">IF(D99="HDW",G99*F99,0)</f>
        <v>900000</v>
      </c>
      <c r="J99" s="284">
        <f t="shared" ref="J99:J105" ca="1" si="57">IF(D99="JASA",G99*F99,0)</f>
        <v>0</v>
      </c>
      <c r="K99" s="285">
        <f t="shared" ref="K99:K105" ca="1" si="58">SUM(H99:J99)</f>
        <v>900000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>
      <c r="A100" s="259">
        <f>IF(AND(C84=0,C85=0,C86=0),"BLANKS",1)</f>
        <v>1</v>
      </c>
      <c r="B100" s="499">
        <v>5</v>
      </c>
      <c r="C100" s="500" t="s">
        <v>23</v>
      </c>
      <c r="D100" s="281" t="str">
        <f ca="1">IF(ISERROR(OFFSET('HARGA SATUAN'!$D$6,MATCH(RAB!C100,'HARGA SATUAN'!$C$7:$C$1492,0),0)),"",OFFSET('HARGA SATUAN'!$D$6,MATCH(RAB!C100,'HARGA SATUAN'!$C$7:$C$1492,0),0))</f>
        <v>HDW</v>
      </c>
      <c r="E100" s="282" t="str">
        <f ca="1">IF(B100="+","Unit",IF(ISERROR(OFFSET('HARGA SATUAN'!$E$6,MATCH(RAB!C100,'HARGA SATUAN'!$C$7:$C$1492,0),0)),"",OFFSET('HARGA SATUAN'!$E$6,MATCH(RAB!C100,'HARGA SATUAN'!$C$7:$C$1492,0),0)))</f>
        <v>Bh</v>
      </c>
      <c r="F100" s="711">
        <f>F95*2</f>
        <v>6</v>
      </c>
      <c r="G100" s="283">
        <f ca="1">IF(ISERROR(OFFSET('HARGA SATUAN'!$I$6,MATCH(RAB!C100,'HARGA SATUAN'!$C$7:$C$1492,0),0)),0,OFFSET('HARGA SATUAN'!$I$6,MATCH(RAB!C100,'HARGA SATUAN'!$C$7:$C$1492,0),0))</f>
        <v>9500</v>
      </c>
      <c r="H100" s="284">
        <f t="shared" ca="1" si="55"/>
        <v>0</v>
      </c>
      <c r="I100" s="284">
        <f t="shared" ca="1" si="56"/>
        <v>57000</v>
      </c>
      <c r="J100" s="284">
        <f t="shared" ca="1" si="57"/>
        <v>0</v>
      </c>
      <c r="K100" s="285">
        <f t="shared" ca="1" si="58"/>
        <v>57000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>
      <c r="A101" s="259">
        <f>IF(AND(C85=0,C86=0,C87=0),"BLANKS",1)</f>
        <v>1</v>
      </c>
      <c r="B101" s="499">
        <v>6</v>
      </c>
      <c r="C101" s="500" t="s">
        <v>24</v>
      </c>
      <c r="D101" s="281" t="str">
        <f ca="1">IF(ISERROR(OFFSET('HARGA SATUAN'!$D$6,MATCH(RAB!C101,'HARGA SATUAN'!$C$7:$C$1492,0),0)),"",OFFSET('HARGA SATUAN'!$D$6,MATCH(RAB!C101,'HARGA SATUAN'!$C$7:$C$1492,0),0))</f>
        <v>HDW</v>
      </c>
      <c r="E101" s="282" t="str">
        <f ca="1">IF(B101="+","Unit",IF(ISERROR(OFFSET('HARGA SATUAN'!$E$6,MATCH(RAB!C101,'HARGA SATUAN'!$C$7:$C$1492,0),0)),"",OFFSET('HARGA SATUAN'!$E$6,MATCH(RAB!C101,'HARGA SATUAN'!$C$7:$C$1492,0),0)))</f>
        <v>Bh</v>
      </c>
      <c r="F101" s="711">
        <f>F95*5.5</f>
        <v>16.5</v>
      </c>
      <c r="G101" s="283">
        <f ca="1">IF(ISERROR(OFFSET('HARGA SATUAN'!$I$6,MATCH(RAB!C101,'HARGA SATUAN'!$C$7:$C$1492,0),0)),0,OFFSET('HARGA SATUAN'!$I$6,MATCH(RAB!C101,'HARGA SATUAN'!$C$7:$C$1492,0),0))</f>
        <v>6100</v>
      </c>
      <c r="H101" s="284">
        <f t="shared" ca="1" si="55"/>
        <v>0</v>
      </c>
      <c r="I101" s="284">
        <f t="shared" ca="1" si="56"/>
        <v>100650</v>
      </c>
      <c r="J101" s="284">
        <f t="shared" ca="1" si="57"/>
        <v>0</v>
      </c>
      <c r="K101" s="285">
        <f t="shared" ca="1" si="58"/>
        <v>100650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>
      <c r="A102" s="259">
        <f>IF(AND(C86=0,C87=0,C88=0),"BLANKS",1)</f>
        <v>1</v>
      </c>
      <c r="B102" s="499">
        <v>7</v>
      </c>
      <c r="C102" s="500" t="s">
        <v>25</v>
      </c>
      <c r="D102" s="281" t="str">
        <f ca="1">IF(ISERROR(OFFSET('HARGA SATUAN'!$D$6,MATCH(RAB!C102,'HARGA SATUAN'!$C$7:$C$1492,0),0)),"",OFFSET('HARGA SATUAN'!$D$6,MATCH(RAB!C102,'HARGA SATUAN'!$C$7:$C$1492,0),0))</f>
        <v>HDW</v>
      </c>
      <c r="E102" s="282" t="str">
        <f ca="1">IF(B102="+","Unit",IF(ISERROR(OFFSET('HARGA SATUAN'!$E$6,MATCH(RAB!C102,'HARGA SATUAN'!$C$7:$C$1492,0),0)),"",OFFSET('HARGA SATUAN'!$E$6,MATCH(RAB!C102,'HARGA SATUAN'!$C$7:$C$1492,0),0)))</f>
        <v>Bh</v>
      </c>
      <c r="F102" s="711">
        <f>F95*6</f>
        <v>18</v>
      </c>
      <c r="G102" s="283">
        <f ca="1">IF(ISERROR(OFFSET('HARGA SATUAN'!$I$6,MATCH(RAB!C102,'HARGA SATUAN'!$C$7:$C$1492,0),0)),0,OFFSET('HARGA SATUAN'!$I$6,MATCH(RAB!C102,'HARGA SATUAN'!$C$7:$C$1492,0),0))</f>
        <v>2300</v>
      </c>
      <c r="H102" s="284">
        <f t="shared" ca="1" si="55"/>
        <v>0</v>
      </c>
      <c r="I102" s="284">
        <f t="shared" ca="1" si="56"/>
        <v>41400</v>
      </c>
      <c r="J102" s="284">
        <f t="shared" ca="1" si="57"/>
        <v>0</v>
      </c>
      <c r="K102" s="285">
        <f t="shared" ca="1" si="58"/>
        <v>41400</v>
      </c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>
      <c r="A103" s="259">
        <f>IF(AND(C87=0,C88=0,C89=0),"BLANKS",1)</f>
        <v>1</v>
      </c>
      <c r="B103" s="499">
        <v>8</v>
      </c>
      <c r="C103" s="500" t="s">
        <v>1515</v>
      </c>
      <c r="D103" s="281" t="str">
        <f ca="1">IF(ISERROR(OFFSET('HARGA SATUAN'!$D$6,MATCH(RAB!C103,'HARGA SATUAN'!$C$7:$C$1492,0),0)),"",OFFSET('HARGA SATUAN'!$D$6,MATCH(RAB!C103,'HARGA SATUAN'!$C$7:$C$1492,0),0))</f>
        <v>HDW</v>
      </c>
      <c r="E103" s="282" t="str">
        <f ca="1">IF(B103="+","Unit",IF(ISERROR(OFFSET('HARGA SATUAN'!$E$6,MATCH(RAB!C103,'HARGA SATUAN'!$C$7:$C$1492,0),0)),"",OFFSET('HARGA SATUAN'!$E$6,MATCH(RAB!C103,'HARGA SATUAN'!$C$7:$C$1492,0),0)))</f>
        <v>Mtr</v>
      </c>
      <c r="F103" s="711">
        <f>F95*4.8</f>
        <v>14.399999999999999</v>
      </c>
      <c r="G103" s="283">
        <f ca="1">IF(ISERROR(OFFSET('HARGA SATUAN'!$I$6,MATCH(RAB!C103,'HARGA SATUAN'!$C$7:$C$1492,0),0)),0,OFFSET('HARGA SATUAN'!$I$6,MATCH(RAB!C103,'HARGA SATUAN'!$C$7:$C$1492,0),0))</f>
        <v>23310</v>
      </c>
      <c r="H103" s="284">
        <f t="shared" ca="1" si="55"/>
        <v>0</v>
      </c>
      <c r="I103" s="284">
        <f t="shared" ca="1" si="56"/>
        <v>335663.99999999994</v>
      </c>
      <c r="J103" s="284">
        <f t="shared" ca="1" si="57"/>
        <v>0</v>
      </c>
      <c r="K103" s="285">
        <f t="shared" ca="1" si="58"/>
        <v>335663.99999999994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>
      <c r="A104" s="259" t="e">
        <f>IF(AND(C88=0,C89=0,#REF!=0),"BLANKS",1)</f>
        <v>#REF!</v>
      </c>
      <c r="B104" s="499">
        <v>9</v>
      </c>
      <c r="C104" s="500" t="s">
        <v>726</v>
      </c>
      <c r="D104" s="281" t="str">
        <f ca="1">IF(ISERROR(OFFSET('HARGA SATUAN'!$D$6,MATCH(RAB!C104,'HARGA SATUAN'!$C$7:$C$1492,0),0)),"",OFFSET('HARGA SATUAN'!$D$6,MATCH(RAB!C104,'HARGA SATUAN'!$C$7:$C$1492,0),0))</f>
        <v>JASA</v>
      </c>
      <c r="E104" s="282" t="str">
        <f ca="1">IF(B104="+","Unit",IF(ISERROR(OFFSET('HARGA SATUAN'!$E$6,MATCH(RAB!C104,'HARGA SATUAN'!$C$7:$C$1492,0),0)),"",OFFSET('HARGA SATUAN'!$E$6,MATCH(RAB!C104,'HARGA SATUAN'!$C$7:$C$1492,0),0)))</f>
        <v>Unit</v>
      </c>
      <c r="F104" s="711">
        <f>F95*1</f>
        <v>3</v>
      </c>
      <c r="G104" s="283">
        <f ca="1">IF(ISERROR(OFFSET('HARGA SATUAN'!$I$6,MATCH(RAB!C104,'HARGA SATUAN'!$C$7:$C$1492,0),0)),0,OFFSET('HARGA SATUAN'!$I$6,MATCH(RAB!C104,'HARGA SATUAN'!$C$7:$C$1492,0),0))</f>
        <v>65400</v>
      </c>
      <c r="H104" s="284">
        <f t="shared" ca="1" si="55"/>
        <v>0</v>
      </c>
      <c r="I104" s="284">
        <f t="shared" ca="1" si="56"/>
        <v>0</v>
      </c>
      <c r="J104" s="284">
        <f t="shared" ca="1" si="57"/>
        <v>196200</v>
      </c>
      <c r="K104" s="285">
        <f t="shared" ca="1" si="58"/>
        <v>196200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>
      <c r="A105" s="259" t="e">
        <f>IF(AND(C89=0,#REF!=0,#REF!=0),"BLANKS",1)</f>
        <v>#REF!</v>
      </c>
      <c r="B105" s="499"/>
      <c r="C105" s="500"/>
      <c r="D105" s="281" t="str">
        <f ca="1">IF(ISERROR(OFFSET('HARGA SATUAN'!$D$6,MATCH(RAB!C105,'HARGA SATUAN'!$C$7:$C$1492,0),0)),"",OFFSET('HARGA SATUAN'!$D$6,MATCH(RAB!C105,'HARGA SATUAN'!$C$7:$C$1492,0),0))</f>
        <v/>
      </c>
      <c r="E105" s="282" t="str">
        <f ca="1">IF(B105="+","Unit",IF(ISERROR(OFFSET('HARGA SATUAN'!$E$6,MATCH(RAB!C105,'HARGA SATUAN'!$C$7:$C$1492,0),0)),"",OFFSET('HARGA SATUAN'!$E$6,MATCH(RAB!C105,'HARGA SATUAN'!$C$7:$C$1492,0),0)))</f>
        <v/>
      </c>
      <c r="F105" s="711"/>
      <c r="G105" s="283">
        <f ca="1">IF(ISERROR(OFFSET('HARGA SATUAN'!$I$6,MATCH(RAB!C105,'HARGA SATUAN'!$C$7:$C$1492,0),0)),0,OFFSET('HARGA SATUAN'!$I$6,MATCH(RAB!C105,'HARGA SATUAN'!$C$7:$C$1492,0),0))</f>
        <v>0</v>
      </c>
      <c r="H105" s="284">
        <f t="shared" ca="1" si="55"/>
        <v>0</v>
      </c>
      <c r="I105" s="284">
        <f t="shared" ca="1" si="56"/>
        <v>0</v>
      </c>
      <c r="J105" s="284">
        <f t="shared" ca="1" si="57"/>
        <v>0</v>
      </c>
      <c r="K105" s="285">
        <f t="shared" ca="1" si="58"/>
        <v>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>
      <c r="A106" s="259"/>
      <c r="B106" s="499" t="s">
        <v>1005</v>
      </c>
      <c r="C106" s="500" t="s">
        <v>1659</v>
      </c>
      <c r="D106" s="281" t="str">
        <f ca="1">IF(ISERROR(OFFSET('HARGA SATUAN'!$D$6,MATCH(RAB!C106,'HARGA SATUAN'!$C$7:$C$1492,0),0)),"",OFFSET('HARGA SATUAN'!$D$6,MATCH(RAB!C106,'HARGA SATUAN'!$C$7:$C$1492,0),0))</f>
        <v/>
      </c>
      <c r="E106" s="282" t="str">
        <f ca="1">IF(B106="+","Unit",IF(ISERROR(OFFSET('HARGA SATUAN'!$E$6,MATCH(RAB!C106,'HARGA SATUAN'!$C$7:$C$1492,0),0)),"",OFFSET('HARGA SATUAN'!$E$6,MATCH(RAB!C106,'HARGA SATUAN'!$C$7:$C$1492,0),0)))</f>
        <v>Unit</v>
      </c>
      <c r="F106" s="715">
        <v>2</v>
      </c>
      <c r="G106" s="283">
        <f ca="1">IF(ISERROR(OFFSET('HARGA SATUAN'!$I$6,MATCH(RAB!C106,'HARGA SATUAN'!$C$7:$C$1492,0),0)),0,OFFSET('HARGA SATUAN'!$I$6,MATCH(RAB!C106,'HARGA SATUAN'!$C$7:$C$1492,0),0))</f>
        <v>0</v>
      </c>
      <c r="H106" s="284"/>
      <c r="I106" s="284"/>
      <c r="J106" s="284"/>
      <c r="K106" s="285"/>
      <c r="L106" s="290"/>
      <c r="M106" s="290"/>
      <c r="N106" s="290"/>
      <c r="O106" s="286"/>
      <c r="P106" s="286"/>
      <c r="Q106" s="267"/>
      <c r="R106" s="259"/>
      <c r="S106" s="287"/>
      <c r="T106" s="264"/>
      <c r="U106" s="264"/>
      <c r="V106" s="264"/>
    </row>
    <row r="107" spans="1:22" s="291" customFormat="1">
      <c r="A107" s="259">
        <f>IF(AND(C91=0,C96=0,C97=0),"BLANKS",1)</f>
        <v>1</v>
      </c>
      <c r="B107" s="499">
        <v>1</v>
      </c>
      <c r="C107" s="500" t="s">
        <v>252</v>
      </c>
      <c r="D107" s="281" t="str">
        <f ca="1">IF(ISERROR(OFFSET('HARGA SATUAN'!$D$6,MATCH(RAB!C107,'HARGA SATUAN'!$C$7:$C$1492,0),0)),"",OFFSET('HARGA SATUAN'!$D$6,MATCH(RAB!C107,'HARGA SATUAN'!$C$7:$C$1492,0),0))</f>
        <v>HDW</v>
      </c>
      <c r="E107" s="282" t="str">
        <f ca="1">IF(B107="+","Unit",IF(ISERROR(OFFSET('HARGA SATUAN'!$E$6,MATCH(RAB!C107,'HARGA SATUAN'!$C$7:$C$1492,0),0)),"",OFFSET('HARGA SATUAN'!$E$6,MATCH(RAB!C107,'HARGA SATUAN'!$C$7:$C$1492,0),0)))</f>
        <v>Bh</v>
      </c>
      <c r="F107" s="715">
        <f>F106*1</f>
        <v>2</v>
      </c>
      <c r="G107" s="283">
        <f ca="1">IF(ISERROR(OFFSET('HARGA SATUAN'!$I$6,MATCH(RAB!C107,'HARGA SATUAN'!$C$7:$C$1492,0),0)),0,OFFSET('HARGA SATUAN'!$I$6,MATCH(RAB!C107,'HARGA SATUAN'!$C$7:$C$1492,0),0))</f>
        <v>104200</v>
      </c>
      <c r="H107" s="284">
        <f t="shared" ref="H107:H112" ca="1" si="59">IF(OR(D107="MDU",D107="MDU-KD"),(IF($O$3="RAB NON MDU","PLN KD",G107*F107)),0)</f>
        <v>0</v>
      </c>
      <c r="I107" s="284">
        <f t="shared" ref="I107:I112" ca="1" si="60">IF(D107="HDW",G107*F107,0)</f>
        <v>208400</v>
      </c>
      <c r="J107" s="284">
        <f t="shared" ref="J107:J112" ca="1" si="61">IF(D107="JASA",G107*F107,0)</f>
        <v>0</v>
      </c>
      <c r="K107" s="285">
        <f t="shared" ref="K107:K112" ca="1" si="62">SUM(H107:J107)</f>
        <v>208400</v>
      </c>
      <c r="L107" s="290"/>
      <c r="M107" s="290"/>
      <c r="N107" s="290"/>
      <c r="O107" s="286"/>
      <c r="P107" s="286"/>
      <c r="Q107" s="267"/>
      <c r="R107" s="259"/>
      <c r="S107" s="287"/>
      <c r="T107" s="264"/>
      <c r="U107" s="264"/>
      <c r="V107" s="264"/>
    </row>
    <row r="108" spans="1:22" s="291" customFormat="1">
      <c r="A108" s="259" t="e">
        <f>IF(AND(C92=0,#REF!=0,#REF!=0),"BLANKS",1)</f>
        <v>#REF!</v>
      </c>
      <c r="B108" s="499">
        <v>2</v>
      </c>
      <c r="C108" s="500" t="s">
        <v>586</v>
      </c>
      <c r="D108" s="281" t="str">
        <f ca="1">IF(ISERROR(OFFSET('HARGA SATUAN'!$D$6,MATCH(RAB!C108,'HARGA SATUAN'!$C$7:$C$1492,0),0)),"",OFFSET('HARGA SATUAN'!$D$6,MATCH(RAB!C108,'HARGA SATUAN'!$C$7:$C$1492,0),0))</f>
        <v>HDW</v>
      </c>
      <c r="E108" s="282" t="str">
        <f ca="1">IF(B108="+","Unit",IF(ISERROR(OFFSET('HARGA SATUAN'!$E$6,MATCH(RAB!C108,'HARGA SATUAN'!$C$7:$C$1492,0),0)),"",OFFSET('HARGA SATUAN'!$E$6,MATCH(RAB!C108,'HARGA SATUAN'!$C$7:$C$1492,0),0)))</f>
        <v>Bh</v>
      </c>
      <c r="F108" s="715">
        <f>F106*1</f>
        <v>2</v>
      </c>
      <c r="G108" s="283">
        <f ca="1">IF(ISERROR(OFFSET('HARGA SATUAN'!$I$6,MATCH(RAB!C108,'HARGA SATUAN'!$C$7:$C$1492,0),0)),0,OFFSET('HARGA SATUAN'!$I$6,MATCH(RAB!C108,'HARGA SATUAN'!$C$7:$C$1492,0),0))</f>
        <v>120000</v>
      </c>
      <c r="H108" s="284">
        <f t="shared" ca="1" si="59"/>
        <v>0</v>
      </c>
      <c r="I108" s="284">
        <f t="shared" ca="1" si="60"/>
        <v>240000</v>
      </c>
      <c r="J108" s="284">
        <f t="shared" ca="1" si="61"/>
        <v>0</v>
      </c>
      <c r="K108" s="285">
        <f t="shared" ca="1" si="62"/>
        <v>240000</v>
      </c>
      <c r="L108" s="290"/>
      <c r="M108" s="290"/>
      <c r="N108" s="290"/>
      <c r="O108" s="286"/>
      <c r="P108" s="286"/>
      <c r="Q108" s="267"/>
      <c r="R108" s="259"/>
      <c r="S108" s="287"/>
      <c r="T108" s="264"/>
      <c r="U108" s="264"/>
      <c r="V108" s="264"/>
    </row>
    <row r="109" spans="1:22" s="291" customFormat="1">
      <c r="A109" s="259">
        <f>IF(AND(C93=0,C94=0,C95=0),"BLANKS",1)</f>
        <v>1</v>
      </c>
      <c r="B109" s="499">
        <v>3</v>
      </c>
      <c r="C109" s="500" t="s">
        <v>204</v>
      </c>
      <c r="D109" s="281" t="str">
        <f ca="1">IF(ISERROR(OFFSET('HARGA SATUAN'!$D$6,MATCH(RAB!C109,'HARGA SATUAN'!$C$7:$C$1492,0),0)),"",OFFSET('HARGA SATUAN'!$D$6,MATCH(RAB!C109,'HARGA SATUAN'!$C$7:$C$1492,0),0))</f>
        <v>HDW</v>
      </c>
      <c r="E109" s="282" t="str">
        <f ca="1">IF(B109="+","Unit",IF(ISERROR(OFFSET('HARGA SATUAN'!$E$6,MATCH(RAB!C109,'HARGA SATUAN'!$C$7:$C$1492,0),0)),"",OFFSET('HARGA SATUAN'!$E$6,MATCH(RAB!C109,'HARGA SATUAN'!$C$7:$C$1492,0),0)))</f>
        <v>Bh</v>
      </c>
      <c r="F109" s="711">
        <f>F106*1</f>
        <v>2</v>
      </c>
      <c r="G109" s="283">
        <f ca="1">IF(ISERROR(OFFSET('HARGA SATUAN'!$I$6,MATCH(RAB!C109,'HARGA SATUAN'!$C$7:$C$1492,0),0)),0,OFFSET('HARGA SATUAN'!$I$6,MATCH(RAB!C109,'HARGA SATUAN'!$C$7:$C$1492,0),0))</f>
        <v>4500</v>
      </c>
      <c r="H109" s="284">
        <f t="shared" ca="1" si="59"/>
        <v>0</v>
      </c>
      <c r="I109" s="284">
        <f t="shared" ca="1" si="60"/>
        <v>9000</v>
      </c>
      <c r="J109" s="284">
        <f t="shared" ca="1" si="61"/>
        <v>0</v>
      </c>
      <c r="K109" s="285">
        <f t="shared" ca="1" si="62"/>
        <v>9000</v>
      </c>
      <c r="L109" s="290"/>
      <c r="M109" s="290"/>
      <c r="N109" s="290"/>
      <c r="O109" s="286"/>
      <c r="P109" s="286"/>
      <c r="Q109" s="267"/>
      <c r="R109" s="259"/>
      <c r="S109" s="287"/>
      <c r="T109" s="264"/>
      <c r="U109" s="264"/>
      <c r="V109" s="264"/>
    </row>
    <row r="110" spans="1:22" s="291" customFormat="1">
      <c r="A110" s="259">
        <f>IF(AND(C94=0,C95=0,C96=0),"BLANKS",1)</f>
        <v>1</v>
      </c>
      <c r="B110" s="499">
        <v>4</v>
      </c>
      <c r="C110" s="500" t="s">
        <v>757</v>
      </c>
      <c r="D110" s="281" t="str">
        <f ca="1">IF(ISERROR(OFFSET('HARGA SATUAN'!$D$6,MATCH(RAB!C110,'HARGA SATUAN'!$C$7:$C$1492,0),0)),"",OFFSET('HARGA SATUAN'!$D$6,MATCH(RAB!C110,'HARGA SATUAN'!$C$7:$C$1492,0),0))</f>
        <v>JASA</v>
      </c>
      <c r="E110" s="282" t="str">
        <f ca="1">IF(B110="+","Unit",IF(ISERROR(OFFSET('HARGA SATUAN'!$E$6,MATCH(RAB!C110,'HARGA SATUAN'!$C$7:$C$1492,0),0)),"",OFFSET('HARGA SATUAN'!$E$6,MATCH(RAB!C110,'HARGA SATUAN'!$C$7:$C$1492,0),0)))</f>
        <v>Unit</v>
      </c>
      <c r="F110" s="715">
        <f>F106*1</f>
        <v>2</v>
      </c>
      <c r="G110" s="283">
        <f ca="1">IF(ISERROR(OFFSET('HARGA SATUAN'!$I$6,MATCH(RAB!C110,'HARGA SATUAN'!$C$7:$C$1492,0),0)),0,OFFSET('HARGA SATUAN'!$I$6,MATCH(RAB!C110,'HARGA SATUAN'!$C$7:$C$1492,0),0))</f>
        <v>55500</v>
      </c>
      <c r="H110" s="284">
        <f t="shared" ca="1" si="59"/>
        <v>0</v>
      </c>
      <c r="I110" s="284">
        <f t="shared" ca="1" si="60"/>
        <v>0</v>
      </c>
      <c r="J110" s="284">
        <f t="shared" ca="1" si="61"/>
        <v>111000</v>
      </c>
      <c r="K110" s="285">
        <f t="shared" ca="1" si="62"/>
        <v>111000</v>
      </c>
      <c r="L110" s="290"/>
      <c r="M110" s="290"/>
      <c r="N110" s="290"/>
      <c r="O110" s="286"/>
      <c r="P110" s="286"/>
      <c r="Q110" s="267"/>
      <c r="R110" s="259"/>
      <c r="S110" s="287"/>
      <c r="T110" s="264"/>
      <c r="U110" s="264"/>
      <c r="V110" s="264"/>
    </row>
    <row r="111" spans="1:22" s="291" customFormat="1">
      <c r="A111" s="259" t="e">
        <f>IF(AND(C95=0,C96=0,#REF!=0),"BLANKS",1)</f>
        <v>#REF!</v>
      </c>
      <c r="B111" s="499"/>
      <c r="C111" s="500"/>
      <c r="D111" s="281" t="str">
        <f ca="1">IF(ISERROR(OFFSET('HARGA SATUAN'!$D$6,MATCH(RAB!C111,'HARGA SATUAN'!$C$7:$C$1492,0),0)),"",OFFSET('HARGA SATUAN'!$D$6,MATCH(RAB!C111,'HARGA SATUAN'!$C$7:$C$1492,0),0))</f>
        <v/>
      </c>
      <c r="E111" s="282" t="str">
        <f ca="1">IF(B111="+","Unit",IF(ISERROR(OFFSET('HARGA SATUAN'!$E$6,MATCH(RAB!C111,'HARGA SATUAN'!$C$7:$C$1492,0),0)),"",OFFSET('HARGA SATUAN'!$E$6,MATCH(RAB!C111,'HARGA SATUAN'!$C$7:$C$1492,0),0)))</f>
        <v/>
      </c>
      <c r="F111" s="711"/>
      <c r="G111" s="283">
        <f ca="1">IF(ISERROR(OFFSET('HARGA SATUAN'!$I$6,MATCH(RAB!C111,'HARGA SATUAN'!$C$7:$C$1492,0),0)),0,OFFSET('HARGA SATUAN'!$I$6,MATCH(RAB!C111,'HARGA SATUAN'!$C$7:$C$1492,0),0))</f>
        <v>0</v>
      </c>
      <c r="H111" s="284">
        <f t="shared" ca="1" si="59"/>
        <v>0</v>
      </c>
      <c r="I111" s="284">
        <f t="shared" ca="1" si="60"/>
        <v>0</v>
      </c>
      <c r="J111" s="284">
        <f t="shared" ca="1" si="61"/>
        <v>0</v>
      </c>
      <c r="K111" s="285">
        <f t="shared" ca="1" si="62"/>
        <v>0</v>
      </c>
      <c r="L111" s="290"/>
      <c r="M111" s="290"/>
      <c r="N111" s="290"/>
      <c r="O111" s="286"/>
      <c r="P111" s="286"/>
      <c r="Q111" s="267"/>
      <c r="R111" s="259"/>
      <c r="S111" s="287"/>
      <c r="T111" s="264"/>
      <c r="U111" s="264"/>
      <c r="V111" s="264"/>
    </row>
    <row r="112" spans="1:22" s="291" customFormat="1">
      <c r="A112" s="259" t="e">
        <f>IF(AND(C96=0,#REF!=0,#REF!=0),"BLANKS",1)</f>
        <v>#REF!</v>
      </c>
      <c r="B112" s="499" t="s">
        <v>1005</v>
      </c>
      <c r="C112" s="500" t="s">
        <v>1660</v>
      </c>
      <c r="D112" s="281" t="str">
        <f ca="1">IF(ISERROR(OFFSET('HARGA SATUAN'!$D$6,MATCH(RAB!C112,'HARGA SATUAN'!$C$7:$C$1492,0),0)),"",OFFSET('HARGA SATUAN'!$D$6,MATCH(RAB!C112,'HARGA SATUAN'!$C$7:$C$1492,0),0))</f>
        <v/>
      </c>
      <c r="E112" s="282" t="str">
        <f ca="1">IF(B112="+","Unit",IF(ISERROR(OFFSET('HARGA SATUAN'!$E$6,MATCH(RAB!C112,'HARGA SATUAN'!$C$7:$C$1492,0),0)),"",OFFSET('HARGA SATUAN'!$E$6,MATCH(RAB!C112,'HARGA SATUAN'!$C$7:$C$1492,0),0)))</f>
        <v>Unit</v>
      </c>
      <c r="F112" s="711">
        <v>2</v>
      </c>
      <c r="G112" s="283">
        <f ca="1">IF(ISERROR(OFFSET('HARGA SATUAN'!$I$6,MATCH(RAB!C112,'HARGA SATUAN'!$C$7:$C$1492,0),0)),0,OFFSET('HARGA SATUAN'!$I$6,MATCH(RAB!C112,'HARGA SATUAN'!$C$7:$C$1492,0),0))</f>
        <v>0</v>
      </c>
      <c r="H112" s="284">
        <f t="shared" ca="1" si="59"/>
        <v>0</v>
      </c>
      <c r="I112" s="284">
        <f t="shared" ca="1" si="60"/>
        <v>0</v>
      </c>
      <c r="J112" s="284">
        <f t="shared" ca="1" si="61"/>
        <v>0</v>
      </c>
      <c r="K112" s="285">
        <f t="shared" ca="1" si="62"/>
        <v>0</v>
      </c>
      <c r="L112" s="290"/>
      <c r="M112" s="290"/>
      <c r="N112" s="290"/>
      <c r="O112" s="286"/>
      <c r="P112" s="286"/>
      <c r="Q112" s="267"/>
      <c r="R112" s="259"/>
      <c r="S112" s="287"/>
      <c r="T112" s="264"/>
      <c r="U112" s="264"/>
      <c r="V112" s="264"/>
    </row>
    <row r="113" spans="1:22" s="291" customFormat="1">
      <c r="A113" s="259"/>
      <c r="B113" s="499">
        <v>1</v>
      </c>
      <c r="C113" s="500" t="s">
        <v>18</v>
      </c>
      <c r="D113" s="281" t="str">
        <f ca="1">IF(ISERROR(OFFSET('HARGA SATUAN'!$D$6,MATCH(RAB!C113,'HARGA SATUAN'!$C$7:$C$1492,0),0)),"",OFFSET('HARGA SATUAN'!$D$6,MATCH(RAB!C113,'HARGA SATUAN'!$C$7:$C$1492,0),0))</f>
        <v>HDW</v>
      </c>
      <c r="E113" s="282" t="str">
        <f ca="1">IF(B113="+","Unit",IF(ISERROR(OFFSET('HARGA SATUAN'!$E$6,MATCH(RAB!C113,'HARGA SATUAN'!$C$7:$C$1492,0),0)),"",OFFSET('HARGA SATUAN'!$E$6,MATCH(RAB!C113,'HARGA SATUAN'!$C$7:$C$1492,0),0)))</f>
        <v>Bh</v>
      </c>
      <c r="F113" s="711">
        <f>F112*1</f>
        <v>2</v>
      </c>
      <c r="G113" s="283">
        <f ca="1">IF(ISERROR(OFFSET('HARGA SATUAN'!$I$6,MATCH(RAB!C113,'HARGA SATUAN'!$C$7:$C$1492,0),0)),0,OFFSET('HARGA SATUAN'!$I$6,MATCH(RAB!C113,'HARGA SATUAN'!$C$7:$C$1492,0),0))</f>
        <v>26500</v>
      </c>
      <c r="H113" s="284"/>
      <c r="I113" s="284"/>
      <c r="J113" s="284"/>
      <c r="K113" s="285"/>
      <c r="L113" s="290"/>
      <c r="M113" s="290"/>
      <c r="N113" s="290"/>
      <c r="O113" s="286"/>
      <c r="P113" s="286"/>
      <c r="Q113" s="267"/>
      <c r="R113" s="259"/>
      <c r="S113" s="287"/>
      <c r="T113" s="264"/>
      <c r="U113" s="264"/>
      <c r="V113" s="264"/>
    </row>
    <row r="114" spans="1:22" s="291" customFormat="1">
      <c r="A114" s="259">
        <f>IF(AND(C98=0,C103=0,C104=0),"BLANKS",1)</f>
        <v>1</v>
      </c>
      <c r="B114" s="499">
        <v>2</v>
      </c>
      <c r="C114" s="500" t="s">
        <v>193</v>
      </c>
      <c r="D114" s="281" t="str">
        <f ca="1">IF(ISERROR(OFFSET('HARGA SATUAN'!$D$6,MATCH(RAB!C114,'HARGA SATUAN'!$C$7:$C$1492,0),0)),"",OFFSET('HARGA SATUAN'!$D$6,MATCH(RAB!C114,'HARGA SATUAN'!$C$7:$C$1492,0),0))</f>
        <v>HDW</v>
      </c>
      <c r="E114" s="282" t="str">
        <f ca="1">IF(B114="+","Unit",IF(ISERROR(OFFSET('HARGA SATUAN'!$E$6,MATCH(RAB!C114,'HARGA SATUAN'!$C$7:$C$1492,0),0)),"",OFFSET('HARGA SATUAN'!$E$6,MATCH(RAB!C114,'HARGA SATUAN'!$C$7:$C$1492,0),0)))</f>
        <v>Bh</v>
      </c>
      <c r="F114" s="711">
        <f>F112*1</f>
        <v>2</v>
      </c>
      <c r="G114" s="283">
        <f ca="1">IF(ISERROR(OFFSET('HARGA SATUAN'!$I$6,MATCH(RAB!C114,'HARGA SATUAN'!$C$7:$C$1492,0),0)),0,OFFSET('HARGA SATUAN'!$I$6,MATCH(RAB!C114,'HARGA SATUAN'!$C$7:$C$1492,0),0))</f>
        <v>12500</v>
      </c>
      <c r="H114" s="284">
        <f t="shared" ref="H114:H122" ca="1" si="63">IF(OR(D114="MDU",D114="MDU-KD"),(IF($O$3="RAB NON MDU","PLN KD",G114*F114)),0)</f>
        <v>0</v>
      </c>
      <c r="I114" s="284">
        <f t="shared" ref="I114:I122" ca="1" si="64">IF(D114="HDW",G114*F114,0)</f>
        <v>25000</v>
      </c>
      <c r="J114" s="284">
        <f t="shared" ref="J114:J122" ca="1" si="65">IF(D114="JASA",G114*F114,0)</f>
        <v>0</v>
      </c>
      <c r="K114" s="285">
        <f t="shared" ref="K114:K122" ca="1" si="66">SUM(H114:J114)</f>
        <v>25000</v>
      </c>
      <c r="L114" s="290"/>
      <c r="M114" s="290"/>
      <c r="N114" s="290"/>
      <c r="O114" s="286"/>
      <c r="P114" s="286"/>
      <c r="Q114" s="267"/>
      <c r="R114" s="259"/>
      <c r="S114" s="287"/>
      <c r="T114" s="264"/>
      <c r="U114" s="264"/>
      <c r="V114" s="264"/>
    </row>
    <row r="115" spans="1:22" s="291" customFormat="1">
      <c r="A115" s="259" t="e">
        <f>IF(AND(C99=0,#REF!=0,#REF!=0),"BLANKS",1)</f>
        <v>#REF!</v>
      </c>
      <c r="B115" s="499">
        <v>3</v>
      </c>
      <c r="C115" s="500" t="s">
        <v>195</v>
      </c>
      <c r="D115" s="281" t="str">
        <f ca="1">IF(ISERROR(OFFSET('HARGA SATUAN'!$D$6,MATCH(RAB!C115,'HARGA SATUAN'!$C$7:$C$1492,0),0)),"",OFFSET('HARGA SATUAN'!$D$6,MATCH(RAB!C115,'HARGA SATUAN'!$C$7:$C$1492,0),0))</f>
        <v>HDW</v>
      </c>
      <c r="E115" s="282" t="str">
        <f ca="1">IF(B115="+","Unit",IF(ISERROR(OFFSET('HARGA SATUAN'!$E$6,MATCH(RAB!C115,'HARGA SATUAN'!$C$7:$C$1492,0),0)),"",OFFSET('HARGA SATUAN'!$E$6,MATCH(RAB!C115,'HARGA SATUAN'!$C$7:$C$1492,0),0)))</f>
        <v>Mtr</v>
      </c>
      <c r="F115" s="711">
        <f>F112*12</f>
        <v>24</v>
      </c>
      <c r="G115" s="283">
        <f ca="1">IF(ISERROR(OFFSET('HARGA SATUAN'!$I$6,MATCH(RAB!C115,'HARGA SATUAN'!$C$7:$C$1492,0),0)),0,OFFSET('HARGA SATUAN'!$I$6,MATCH(RAB!C115,'HARGA SATUAN'!$C$7:$C$1492,0),0))</f>
        <v>24300</v>
      </c>
      <c r="H115" s="284">
        <f t="shared" ca="1" si="63"/>
        <v>0</v>
      </c>
      <c r="I115" s="284">
        <f t="shared" ca="1" si="64"/>
        <v>583200</v>
      </c>
      <c r="J115" s="284">
        <f t="shared" ca="1" si="65"/>
        <v>0</v>
      </c>
      <c r="K115" s="285">
        <f t="shared" ca="1" si="66"/>
        <v>583200</v>
      </c>
      <c r="L115" s="290"/>
      <c r="M115" s="290"/>
      <c r="N115" s="290"/>
      <c r="O115" s="286"/>
      <c r="P115" s="286"/>
      <c r="Q115" s="267"/>
      <c r="R115" s="259"/>
      <c r="S115" s="287"/>
      <c r="T115" s="264"/>
      <c r="U115" s="264"/>
      <c r="V115" s="264"/>
    </row>
    <row r="116" spans="1:22" s="291" customFormat="1">
      <c r="A116" s="259">
        <f>IF(AND(C100=0,C101=0,C102=0),"BLANKS",1)</f>
        <v>1</v>
      </c>
      <c r="B116" s="499">
        <v>4</v>
      </c>
      <c r="C116" s="500" t="s">
        <v>277</v>
      </c>
      <c r="D116" s="281" t="str">
        <f ca="1">IF(ISERROR(OFFSET('HARGA SATUAN'!$D$6,MATCH(RAB!C116,'HARGA SATUAN'!$C$7:$C$1492,0),0)),"",OFFSET('HARGA SATUAN'!$D$6,MATCH(RAB!C116,'HARGA SATUAN'!$C$7:$C$1492,0),0))</f>
        <v>HDW</v>
      </c>
      <c r="E116" s="282" t="str">
        <f ca="1">IF(B116="+","Unit",IF(ISERROR(OFFSET('HARGA SATUAN'!$E$6,MATCH(RAB!C116,'HARGA SATUAN'!$C$7:$C$1492,0),0)),"",OFFSET('HARGA SATUAN'!$E$6,MATCH(RAB!C116,'HARGA SATUAN'!$C$7:$C$1492,0),0)))</f>
        <v>Bh</v>
      </c>
      <c r="F116" s="711">
        <f>F112*2</f>
        <v>4</v>
      </c>
      <c r="G116" s="283">
        <f ca="1">IF(ISERROR(OFFSET('HARGA SATUAN'!$I$6,MATCH(RAB!C116,'HARGA SATUAN'!$C$7:$C$1492,0),0)),0,OFFSET('HARGA SATUAN'!$I$6,MATCH(RAB!C116,'HARGA SATUAN'!$C$7:$C$1492,0),0))</f>
        <v>40000</v>
      </c>
      <c r="H116" s="284">
        <f t="shared" ca="1" si="63"/>
        <v>0</v>
      </c>
      <c r="I116" s="284">
        <f t="shared" ca="1" si="64"/>
        <v>160000</v>
      </c>
      <c r="J116" s="284">
        <f t="shared" ca="1" si="65"/>
        <v>0</v>
      </c>
      <c r="K116" s="285">
        <f t="shared" ca="1" si="66"/>
        <v>160000</v>
      </c>
      <c r="L116" s="290"/>
      <c r="M116" s="290"/>
      <c r="N116" s="290"/>
      <c r="O116" s="286"/>
      <c r="P116" s="286"/>
      <c r="Q116" s="267"/>
      <c r="R116" s="259"/>
      <c r="S116" s="287"/>
      <c r="T116" s="264"/>
      <c r="U116" s="264"/>
      <c r="V116" s="264"/>
    </row>
    <row r="117" spans="1:22" s="291" customFormat="1">
      <c r="A117" s="259">
        <f>IF(AND(C101=0,C102=0,C103=0),"BLANKS",1)</f>
        <v>1</v>
      </c>
      <c r="B117" s="499">
        <v>5</v>
      </c>
      <c r="C117" s="500" t="s">
        <v>16</v>
      </c>
      <c r="D117" s="281" t="str">
        <f ca="1">IF(ISERROR(OFFSET('HARGA SATUAN'!$D$6,MATCH(RAB!C117,'HARGA SATUAN'!$C$7:$C$1492,0),0)),"",OFFSET('HARGA SATUAN'!$D$6,MATCH(RAB!C117,'HARGA SATUAN'!$C$7:$C$1492,0),0))</f>
        <v>HDW</v>
      </c>
      <c r="E117" s="282" t="str">
        <f ca="1">IF(B117="+","Unit",IF(ISERROR(OFFSET('HARGA SATUAN'!$E$6,MATCH(RAB!C117,'HARGA SATUAN'!$C$7:$C$1492,0),0)),"",OFFSET('HARGA SATUAN'!$E$6,MATCH(RAB!C117,'HARGA SATUAN'!$C$7:$C$1492,0),0)))</f>
        <v>Bh</v>
      </c>
      <c r="F117" s="711">
        <f>F112*1</f>
        <v>2</v>
      </c>
      <c r="G117" s="283">
        <f ca="1">IF(ISERROR(OFFSET('HARGA SATUAN'!$I$6,MATCH(RAB!C117,'HARGA SATUAN'!$C$7:$C$1492,0),0)),0,OFFSET('HARGA SATUAN'!$I$6,MATCH(RAB!C117,'HARGA SATUAN'!$C$7:$C$1492,0),0))</f>
        <v>2500</v>
      </c>
      <c r="H117" s="284">
        <f t="shared" ca="1" si="63"/>
        <v>0</v>
      </c>
      <c r="I117" s="284">
        <f t="shared" ca="1" si="64"/>
        <v>5000</v>
      </c>
      <c r="J117" s="284">
        <f t="shared" ca="1" si="65"/>
        <v>0</v>
      </c>
      <c r="K117" s="285">
        <f t="shared" ca="1" si="66"/>
        <v>5000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>
      <c r="A118" s="259">
        <f>IF(AND(C102=0,C103=0,C104=0),"BLANKS",1)</f>
        <v>1</v>
      </c>
      <c r="B118" s="499">
        <v>6</v>
      </c>
      <c r="C118" s="500" t="s">
        <v>750</v>
      </c>
      <c r="D118" s="281" t="str">
        <f ca="1">IF(ISERROR(OFFSET('HARGA SATUAN'!$D$6,MATCH(RAB!C118,'HARGA SATUAN'!$C$7:$C$1492,0),0)),"",OFFSET('HARGA SATUAN'!$D$6,MATCH(RAB!C118,'HARGA SATUAN'!$C$7:$C$1492,0),0))</f>
        <v>JASA</v>
      </c>
      <c r="E118" s="282" t="str">
        <f ca="1">IF(B118="+","Unit",IF(ISERROR(OFFSET('HARGA SATUAN'!$E$6,MATCH(RAB!C118,'HARGA SATUAN'!$C$7:$C$1492,0),0)),"",OFFSET('HARGA SATUAN'!$E$6,MATCH(RAB!C118,'HARGA SATUAN'!$C$7:$C$1492,0),0)))</f>
        <v>Unit</v>
      </c>
      <c r="F118" s="711">
        <f>F112*1</f>
        <v>2</v>
      </c>
      <c r="G118" s="283">
        <f ca="1">IF(ISERROR(OFFSET('HARGA SATUAN'!$I$6,MATCH(RAB!C118,'HARGA SATUAN'!$C$7:$C$1492,0),0)),0,OFFSET('HARGA SATUAN'!$I$6,MATCH(RAB!C118,'HARGA SATUAN'!$C$7:$C$1492,0),0))</f>
        <v>36600</v>
      </c>
      <c r="H118" s="284">
        <f t="shared" ca="1" si="63"/>
        <v>0</v>
      </c>
      <c r="I118" s="284">
        <f t="shared" ca="1" si="64"/>
        <v>0</v>
      </c>
      <c r="J118" s="284">
        <f t="shared" ca="1" si="65"/>
        <v>73200</v>
      </c>
      <c r="K118" s="285">
        <f t="shared" ca="1" si="66"/>
        <v>73200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>
      <c r="A119" s="259">
        <f>IF(AND(C103=0,C104=0,C105=0),"BLANKS",1)</f>
        <v>1</v>
      </c>
      <c r="B119" s="499"/>
      <c r="C119" s="500"/>
      <c r="D119" s="281" t="str">
        <f ca="1">IF(ISERROR(OFFSET('HARGA SATUAN'!$D$6,MATCH(RAB!C119,'HARGA SATUAN'!$C$7:$C$1492,0),0)),"",OFFSET('HARGA SATUAN'!$D$6,MATCH(RAB!C119,'HARGA SATUAN'!$C$7:$C$1492,0),0))</f>
        <v/>
      </c>
      <c r="E119" s="282" t="str">
        <f ca="1">IF(B119="+","Unit",IF(ISERROR(OFFSET('HARGA SATUAN'!$E$6,MATCH(RAB!C119,'HARGA SATUAN'!$C$7:$C$1492,0),0)),"",OFFSET('HARGA SATUAN'!$E$6,MATCH(RAB!C119,'HARGA SATUAN'!$C$7:$C$1492,0),0)))</f>
        <v/>
      </c>
      <c r="F119" s="393"/>
      <c r="G119" s="283">
        <f ca="1">IF(ISERROR(OFFSET('HARGA SATUAN'!$I$6,MATCH(RAB!C119,'HARGA SATUAN'!$C$7:$C$1492,0),0)),0,OFFSET('HARGA SATUAN'!$I$6,MATCH(RAB!C119,'HARGA SATUAN'!$C$7:$C$1492,0),0))</f>
        <v>0</v>
      </c>
      <c r="H119" s="284">
        <f t="shared" ca="1" si="63"/>
        <v>0</v>
      </c>
      <c r="I119" s="284">
        <f t="shared" ca="1" si="64"/>
        <v>0</v>
      </c>
      <c r="J119" s="284">
        <f t="shared" ca="1" si="65"/>
        <v>0</v>
      </c>
      <c r="K119" s="285">
        <f t="shared" ca="1" si="66"/>
        <v>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>
      <c r="A120" s="259">
        <f>IF(AND(C104=0,C105=0,C106=0),"BLANKS",1)</f>
        <v>1</v>
      </c>
      <c r="B120" s="499" t="s">
        <v>1005</v>
      </c>
      <c r="C120" s="500" t="s">
        <v>1658</v>
      </c>
      <c r="D120" s="281" t="str">
        <f ca="1">IF(ISERROR(OFFSET('HARGA SATUAN'!$D$6,MATCH(RAB!C120,'HARGA SATUAN'!$C$7:$C$1492,0),0)),"",OFFSET('HARGA SATUAN'!$D$6,MATCH(RAB!C120,'HARGA SATUAN'!$C$7:$C$1492,0),0))</f>
        <v/>
      </c>
      <c r="E120" s="282" t="str">
        <f ca="1">IF(B120="+","Unit",IF(ISERROR(OFFSET('HARGA SATUAN'!$E$6,MATCH(RAB!C120,'HARGA SATUAN'!$C$7:$C$1492,0),0)),"",OFFSET('HARGA SATUAN'!$E$6,MATCH(RAB!C120,'HARGA SATUAN'!$C$7:$C$1492,0),0)))</f>
        <v>Unit</v>
      </c>
      <c r="F120" s="711">
        <v>1</v>
      </c>
      <c r="G120" s="283">
        <f ca="1">IF(ISERROR(OFFSET('HARGA SATUAN'!$I$6,MATCH(RAB!C120,'HARGA SATUAN'!$C$7:$C$1492,0),0)),0,OFFSET('HARGA SATUAN'!$I$6,MATCH(RAB!C120,'HARGA SATUAN'!$C$7:$C$1492,0),0))</f>
        <v>0</v>
      </c>
      <c r="H120" s="284">
        <f t="shared" ca="1" si="63"/>
        <v>0</v>
      </c>
      <c r="I120" s="284">
        <f t="shared" ca="1" si="64"/>
        <v>0</v>
      </c>
      <c r="J120" s="284">
        <f t="shared" ca="1" si="65"/>
        <v>0</v>
      </c>
      <c r="K120" s="285">
        <f t="shared" ca="1" si="66"/>
        <v>0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>
      <c r="A121" s="259" t="e">
        <f>IF(AND(C105=0,C106=0,#REF!=0),"BLANKS",1)</f>
        <v>#REF!</v>
      </c>
      <c r="B121" s="499">
        <v>1</v>
      </c>
      <c r="C121" s="109" t="s">
        <v>1118</v>
      </c>
      <c r="D121" s="281" t="str">
        <f ca="1">IF(ISERROR(OFFSET('HARGA SATUAN'!$D$6,MATCH(RAB!C121,'HARGA SATUAN'!$C$7:$C$1492,0),0)),"",OFFSET('HARGA SATUAN'!$D$6,MATCH(RAB!C121,'HARGA SATUAN'!$C$7:$C$1492,0),0))</f>
        <v>MDU-KD</v>
      </c>
      <c r="E121" s="282" t="str">
        <f ca="1">IF(B121="+","Unit",IF(ISERROR(OFFSET('HARGA SATUAN'!$E$6,MATCH(RAB!C121,'HARGA SATUAN'!$C$7:$C$1492,0),0)),"",OFFSET('HARGA SATUAN'!$E$6,MATCH(RAB!C121,'HARGA SATUAN'!$C$7:$C$1492,0),0)))</f>
        <v>Bh</v>
      </c>
      <c r="F121" s="711">
        <f>F120*1</f>
        <v>1</v>
      </c>
      <c r="G121" s="283">
        <f ca="1">IF(ISERROR(OFFSET('HARGA SATUAN'!$I$6,MATCH(RAB!C121,'HARGA SATUAN'!$C$7:$C$1492,0),0)),0,OFFSET('HARGA SATUAN'!$I$6,MATCH(RAB!C121,'HARGA SATUAN'!$C$7:$C$1492,0),0))</f>
        <v>77674900</v>
      </c>
      <c r="H121" s="284">
        <f t="shared" ca="1" si="63"/>
        <v>77674900</v>
      </c>
      <c r="I121" s="284">
        <f t="shared" ca="1" si="64"/>
        <v>0</v>
      </c>
      <c r="J121" s="284">
        <f t="shared" ca="1" si="65"/>
        <v>0</v>
      </c>
      <c r="K121" s="285">
        <f t="shared" ca="1" si="66"/>
        <v>77674900</v>
      </c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 s="291" customFormat="1">
      <c r="A122" s="259" t="e">
        <f>IF(AND(C106=0,#REF!=0,#REF!=0),"BLANKS",1)</f>
        <v>#REF!</v>
      </c>
      <c r="B122" s="498">
        <v>2</v>
      </c>
      <c r="C122" s="451" t="s">
        <v>1513</v>
      </c>
      <c r="D122" s="281" t="str">
        <f ca="1">IF(ISERROR(OFFSET('HARGA SATUAN'!$D$6,MATCH(RAB!C122,'HARGA SATUAN'!$C$7:$C$1492,0),0)),"",OFFSET('HARGA SATUAN'!$D$6,MATCH(RAB!C122,'HARGA SATUAN'!$C$7:$C$1492,0),0))</f>
        <v/>
      </c>
      <c r="E122" s="282" t="str">
        <f ca="1">IF(B122="+","Unit",IF(ISERROR(OFFSET('HARGA SATUAN'!$E$6,MATCH(RAB!C122,'HARGA SATUAN'!$C$7:$C$1492,0),0)),"",OFFSET('HARGA SATUAN'!$E$6,MATCH(RAB!C122,'HARGA SATUAN'!$C$7:$C$1492,0),0)))</f>
        <v/>
      </c>
      <c r="F122" s="712"/>
      <c r="G122" s="283">
        <f ca="1">IF(ISERROR(OFFSET('HARGA SATUAN'!$I$6,MATCH(RAB!C122,'HARGA SATUAN'!$C$7:$C$1492,0),0)),0,OFFSET('HARGA SATUAN'!$I$6,MATCH(RAB!C122,'HARGA SATUAN'!$C$7:$C$1492,0),0))</f>
        <v>0</v>
      </c>
      <c r="H122" s="284">
        <f t="shared" ca="1" si="63"/>
        <v>0</v>
      </c>
      <c r="I122" s="284">
        <f t="shared" ca="1" si="64"/>
        <v>0</v>
      </c>
      <c r="J122" s="284">
        <f t="shared" ca="1" si="65"/>
        <v>0</v>
      </c>
      <c r="K122" s="285">
        <f t="shared" ca="1" si="66"/>
        <v>0</v>
      </c>
      <c r="L122" s="290"/>
      <c r="M122" s="290"/>
      <c r="N122" s="290"/>
      <c r="O122" s="286"/>
      <c r="P122" s="286"/>
      <c r="Q122" s="267"/>
      <c r="R122" s="259"/>
      <c r="S122" s="287"/>
      <c r="T122" s="264"/>
      <c r="U122" s="264"/>
      <c r="V122" s="264"/>
    </row>
    <row r="123" spans="1:22" s="291" customFormat="1">
      <c r="A123" s="259"/>
      <c r="B123" s="499"/>
      <c r="C123" s="451" t="s">
        <v>55</v>
      </c>
      <c r="D123" s="281" t="str">
        <f ca="1">IF(ISERROR(OFFSET('HARGA SATUAN'!$D$6,MATCH(RAB!C123,'HARGA SATUAN'!$C$7:$C$1492,0),0)),"",OFFSET('HARGA SATUAN'!$D$6,MATCH(RAB!C123,'HARGA SATUAN'!$C$7:$C$1492,0),0))</f>
        <v>MDU-KD</v>
      </c>
      <c r="E123" s="282" t="str">
        <f ca="1">IF(B123="+","Unit",IF(ISERROR(OFFSET('HARGA SATUAN'!$E$6,MATCH(RAB!C123,'HARGA SATUAN'!$C$7:$C$1492,0),0)),"",OFFSET('HARGA SATUAN'!$E$6,MATCH(RAB!C123,'HARGA SATUAN'!$C$7:$C$1492,0),0)))</f>
        <v>Mtr</v>
      </c>
      <c r="F123" s="711">
        <f>F120*(3*3)</f>
        <v>9</v>
      </c>
      <c r="G123" s="283">
        <f ca="1">IF(ISERROR(OFFSET('HARGA SATUAN'!$I$6,MATCH(RAB!C123,'HARGA SATUAN'!$C$7:$C$1492,0),0)),0,OFFSET('HARGA SATUAN'!$I$6,MATCH(RAB!C123,'HARGA SATUAN'!$C$7:$C$1492,0),0))</f>
        <v>14200</v>
      </c>
      <c r="H123" s="284"/>
      <c r="I123" s="284"/>
      <c r="J123" s="284"/>
      <c r="K123" s="285"/>
      <c r="L123" s="290"/>
      <c r="M123" s="290"/>
      <c r="N123" s="290"/>
      <c r="O123" s="286"/>
      <c r="P123" s="286"/>
      <c r="Q123" s="267"/>
      <c r="R123" s="259"/>
      <c r="S123" s="287"/>
      <c r="T123" s="264"/>
      <c r="U123" s="264"/>
      <c r="V123" s="264"/>
    </row>
    <row r="124" spans="1:22" s="291" customFormat="1">
      <c r="A124" s="259">
        <f>IF(AND(C108=0,C113=0,C114=0),"BLANKS",1)</f>
        <v>1</v>
      </c>
      <c r="B124" s="499"/>
      <c r="C124" s="109" t="s">
        <v>1428</v>
      </c>
      <c r="D124" s="281" t="str">
        <f ca="1">IF(ISERROR(OFFSET('HARGA SATUAN'!$D$6,MATCH(RAB!C124,'HARGA SATUAN'!$C$7:$C$1492,0),0)),"",OFFSET('HARGA SATUAN'!$D$6,MATCH(RAB!C124,'HARGA SATUAN'!$C$7:$C$1492,0),0))</f>
        <v>MDU-KD</v>
      </c>
      <c r="E124" s="282" t="str">
        <f ca="1">IF(B124="+","Unit",IF(ISERROR(OFFSET('HARGA SATUAN'!$E$6,MATCH(RAB!C124,'HARGA SATUAN'!$C$7:$C$1492,0),0)),"",OFFSET('HARGA SATUAN'!$E$6,MATCH(RAB!C124,'HARGA SATUAN'!$C$7:$C$1492,0),0)))</f>
        <v>Mtr</v>
      </c>
      <c r="F124" s="711">
        <f>F120*3</f>
        <v>3</v>
      </c>
      <c r="G124" s="283">
        <f ca="1">IF(ISERROR(OFFSET('HARGA SATUAN'!$I$6,MATCH(RAB!C124,'HARGA SATUAN'!$C$7:$C$1492,0),0)),0,OFFSET('HARGA SATUAN'!$I$6,MATCH(RAB!C124,'HARGA SATUAN'!$C$7:$C$1492,0),0))</f>
        <v>54500</v>
      </c>
      <c r="H124" s="284">
        <f t="shared" ref="H124:H131" ca="1" si="67">IF(OR(D124="MDU",D124="MDU-KD"),(IF($O$3="RAB NON MDU","PLN KD",G124*F124)),0)</f>
        <v>163500</v>
      </c>
      <c r="I124" s="284">
        <f t="shared" ref="I124:I131" ca="1" si="68">IF(D124="HDW",G124*F124,0)</f>
        <v>0</v>
      </c>
      <c r="J124" s="284">
        <f t="shared" ref="J124:J131" ca="1" si="69">IF(D124="JASA",G124*F124,0)</f>
        <v>0</v>
      </c>
      <c r="K124" s="285">
        <f t="shared" ref="K124:K131" ca="1" si="70">SUM(H124:J124)</f>
        <v>163500</v>
      </c>
      <c r="L124" s="290"/>
      <c r="M124" s="290"/>
      <c r="N124" s="290"/>
      <c r="O124" s="286"/>
      <c r="P124" s="286"/>
      <c r="Q124" s="267"/>
      <c r="R124" s="259"/>
      <c r="S124" s="287"/>
      <c r="T124" s="264"/>
      <c r="U124" s="264"/>
      <c r="V124" s="264"/>
    </row>
    <row r="125" spans="1:22" s="291" customFormat="1">
      <c r="A125" s="259" t="e">
        <f>IF(AND(C109=0,#REF!=0,#REF!=0),"BLANKS",1)</f>
        <v>#REF!</v>
      </c>
      <c r="B125" s="499">
        <v>3</v>
      </c>
      <c r="C125" s="500" t="s">
        <v>549</v>
      </c>
      <c r="D125" s="281" t="str">
        <f ca="1">IF(ISERROR(OFFSET('HARGA SATUAN'!$D$6,MATCH(RAB!C125,'HARGA SATUAN'!$C$7:$C$1492,0),0)),"",OFFSET('HARGA SATUAN'!$D$6,MATCH(RAB!C125,'HARGA SATUAN'!$C$7:$C$1492,0),0))</f>
        <v>MDU-KD</v>
      </c>
      <c r="E125" s="282" t="str">
        <f ca="1">IF(B125="+","Unit",IF(ISERROR(OFFSET('HARGA SATUAN'!$E$6,MATCH(RAB!C125,'HARGA SATUAN'!$C$7:$C$1492,0),0)),"",OFFSET('HARGA SATUAN'!$E$6,MATCH(RAB!C125,'HARGA SATUAN'!$C$7:$C$1492,0),0)))</f>
        <v>Bh</v>
      </c>
      <c r="F125" s="711">
        <f>F120*3</f>
        <v>3</v>
      </c>
      <c r="G125" s="283">
        <f ca="1">IF(ISERROR(OFFSET('HARGA SATUAN'!$I$6,MATCH(RAB!C125,'HARGA SATUAN'!$C$7:$C$1492,0),0)),0,OFFSET('HARGA SATUAN'!$I$6,MATCH(RAB!C125,'HARGA SATUAN'!$C$7:$C$1492,0),0))</f>
        <v>725900</v>
      </c>
      <c r="H125" s="284">
        <f t="shared" ca="1" si="67"/>
        <v>2177700</v>
      </c>
      <c r="I125" s="284">
        <f t="shared" ca="1" si="68"/>
        <v>0</v>
      </c>
      <c r="J125" s="284">
        <f t="shared" ca="1" si="69"/>
        <v>0</v>
      </c>
      <c r="K125" s="285">
        <f t="shared" ca="1" si="70"/>
        <v>2177700</v>
      </c>
      <c r="L125" s="290"/>
      <c r="M125" s="290"/>
      <c r="N125" s="290"/>
      <c r="O125" s="286"/>
      <c r="P125" s="286"/>
      <c r="Q125" s="267"/>
      <c r="R125" s="259"/>
      <c r="S125" s="287"/>
      <c r="T125" s="264"/>
      <c r="U125" s="264"/>
      <c r="V125" s="264"/>
    </row>
    <row r="126" spans="1:22" s="291" customFormat="1">
      <c r="A126" s="259" t="e">
        <f>IF(AND(C110=0,#REF!=0,#REF!=0),"BLANKS",1)</f>
        <v>#REF!</v>
      </c>
      <c r="B126" s="499">
        <v>4</v>
      </c>
      <c r="C126" s="500" t="s">
        <v>525</v>
      </c>
      <c r="D126" s="281" t="str">
        <f ca="1">IF(ISERROR(OFFSET('HARGA SATUAN'!$D$6,MATCH(RAB!C126,'HARGA SATUAN'!$C$7:$C$1492,0),0)),"",OFFSET('HARGA SATUAN'!$D$6,MATCH(RAB!C126,'HARGA SATUAN'!$C$7:$C$1492,0),0))</f>
        <v>MDU-KD</v>
      </c>
      <c r="E126" s="282" t="str">
        <f ca="1">IF(B126="+","Unit",IF(ISERROR(OFFSET('HARGA SATUAN'!$E$6,MATCH(RAB!C126,'HARGA SATUAN'!$C$7:$C$1492,0),0)),"",OFFSET('HARGA SATUAN'!$E$6,MATCH(RAB!C126,'HARGA SATUAN'!$C$7:$C$1492,0),0)))</f>
        <v>Bh</v>
      </c>
      <c r="F126" s="711">
        <f>F120*3</f>
        <v>3</v>
      </c>
      <c r="G126" s="283">
        <f ca="1">IF(ISERROR(OFFSET('HARGA SATUAN'!$I$6,MATCH(RAB!C126,'HARGA SATUAN'!$C$7:$C$1492,0),0)),0,OFFSET('HARGA SATUAN'!$I$6,MATCH(RAB!C126,'HARGA SATUAN'!$C$7:$C$1492,0),0))</f>
        <v>848250</v>
      </c>
      <c r="H126" s="284">
        <f t="shared" ca="1" si="67"/>
        <v>2544750</v>
      </c>
      <c r="I126" s="284">
        <f t="shared" ca="1" si="68"/>
        <v>0</v>
      </c>
      <c r="J126" s="284">
        <f t="shared" ca="1" si="69"/>
        <v>0</v>
      </c>
      <c r="K126" s="285">
        <f t="shared" ca="1" si="70"/>
        <v>2544750</v>
      </c>
      <c r="L126" s="290"/>
      <c r="M126" s="290"/>
      <c r="N126" s="290"/>
      <c r="O126" s="286"/>
      <c r="P126" s="286"/>
      <c r="Q126" s="267"/>
      <c r="R126" s="259"/>
      <c r="S126" s="287"/>
      <c r="T126" s="264"/>
      <c r="U126" s="264"/>
      <c r="V126" s="264"/>
    </row>
    <row r="127" spans="1:22" s="291" customFormat="1">
      <c r="A127" s="259">
        <f>IF(AND(C111=0,C112=0,C113=0),"BLANKS",1)</f>
        <v>1</v>
      </c>
      <c r="B127" s="499">
        <v>5</v>
      </c>
      <c r="C127" s="506" t="s">
        <v>45</v>
      </c>
      <c r="D127" s="281" t="str">
        <f ca="1">IF(ISERROR(OFFSET('HARGA SATUAN'!$D$6,MATCH(RAB!C127,'HARGA SATUAN'!$C$7:$C$1492,0),0)),"",OFFSET('HARGA SATUAN'!$D$6,MATCH(RAB!C127,'HARGA SATUAN'!$C$7:$C$1492,0),0))</f>
        <v>HDW</v>
      </c>
      <c r="E127" s="282" t="str">
        <f ca="1">IF(B127="+","Unit",IF(ISERROR(OFFSET('HARGA SATUAN'!$E$6,MATCH(RAB!C127,'HARGA SATUAN'!$C$7:$C$1492,0),0)),"",OFFSET('HARGA SATUAN'!$E$6,MATCH(RAB!C127,'HARGA SATUAN'!$C$7:$C$1492,0),0)))</f>
        <v>Bh</v>
      </c>
      <c r="F127" s="711">
        <f>F120*3</f>
        <v>3</v>
      </c>
      <c r="G127" s="283">
        <f ca="1">IF(ISERROR(OFFSET('HARGA SATUAN'!$I$6,MATCH(RAB!C127,'HARGA SATUAN'!$C$7:$C$1492,0),0)),0,OFFSET('HARGA SATUAN'!$I$6,MATCH(RAB!C127,'HARGA SATUAN'!$C$7:$C$1492,0),0))</f>
        <v>18000</v>
      </c>
      <c r="H127" s="284">
        <f t="shared" ca="1" si="67"/>
        <v>0</v>
      </c>
      <c r="I127" s="284">
        <f t="shared" ca="1" si="68"/>
        <v>54000</v>
      </c>
      <c r="J127" s="284">
        <f t="shared" ca="1" si="69"/>
        <v>0</v>
      </c>
      <c r="K127" s="285">
        <f t="shared" ca="1" si="70"/>
        <v>54000</v>
      </c>
      <c r="L127" s="290"/>
      <c r="M127" s="290"/>
      <c r="N127" s="290"/>
      <c r="O127" s="286"/>
      <c r="P127" s="286"/>
      <c r="Q127" s="267"/>
      <c r="R127" s="259"/>
      <c r="S127" s="287"/>
      <c r="T127" s="264"/>
      <c r="U127" s="264"/>
      <c r="V127" s="264"/>
    </row>
    <row r="128" spans="1:22" s="291" customFormat="1">
      <c r="A128" s="259">
        <f>IF(AND(C112=0,C113=0,C114=0),"BLANKS",1)</f>
        <v>1</v>
      </c>
      <c r="B128" s="499">
        <v>6</v>
      </c>
      <c r="C128" s="713" t="s">
        <v>1543</v>
      </c>
      <c r="D128" s="281" t="str">
        <f ca="1">IF(ISERROR(OFFSET('HARGA SATUAN'!$D$6,MATCH(RAB!C128,'HARGA SATUAN'!$C$7:$C$1492,0),0)),"",OFFSET('HARGA SATUAN'!$D$6,MATCH(RAB!C128,'HARGA SATUAN'!$C$7:$C$1492,0),0))</f>
        <v>HDW</v>
      </c>
      <c r="E128" s="282" t="str">
        <f ca="1">IF(B128="+","Unit",IF(ISERROR(OFFSET('HARGA SATUAN'!$E$6,MATCH(RAB!C128,'HARGA SATUAN'!$C$7:$C$1492,0),0)),"",OFFSET('HARGA SATUAN'!$E$6,MATCH(RAB!C128,'HARGA SATUAN'!$C$7:$C$1492,0),0)))</f>
        <v>Bh</v>
      </c>
      <c r="F128" s="711">
        <f>F120*13</f>
        <v>13</v>
      </c>
      <c r="G128" s="283">
        <f ca="1">IF(ISERROR(OFFSET('HARGA SATUAN'!$I$6,MATCH(RAB!C128,'HARGA SATUAN'!$C$7:$C$1492,0),0)),0,OFFSET('HARGA SATUAN'!$I$6,MATCH(RAB!C128,'HARGA SATUAN'!$C$7:$C$1492,0),0))</f>
        <v>73300</v>
      </c>
      <c r="H128" s="284">
        <f t="shared" ca="1" si="67"/>
        <v>0</v>
      </c>
      <c r="I128" s="284">
        <f t="shared" ca="1" si="68"/>
        <v>952900</v>
      </c>
      <c r="J128" s="284">
        <f t="shared" ca="1" si="69"/>
        <v>0</v>
      </c>
      <c r="K128" s="285">
        <f t="shared" ca="1" si="70"/>
        <v>952900</v>
      </c>
      <c r="L128" s="290"/>
      <c r="M128" s="290"/>
      <c r="N128" s="290"/>
      <c r="O128" s="286"/>
      <c r="P128" s="286"/>
      <c r="Q128" s="267"/>
      <c r="R128" s="259"/>
      <c r="S128" s="287"/>
      <c r="T128" s="264"/>
      <c r="U128" s="264"/>
      <c r="V128" s="264"/>
    </row>
    <row r="129" spans="1:22" s="291" customFormat="1">
      <c r="A129" s="259">
        <f>IF(AND(C113=0,C114=0,C115=0),"BLANKS",1)</f>
        <v>1</v>
      </c>
      <c r="B129" s="499">
        <v>7</v>
      </c>
      <c r="C129" s="500" t="s">
        <v>153</v>
      </c>
      <c r="D129" s="281" t="str">
        <f ca="1">IF(ISERROR(OFFSET('HARGA SATUAN'!$D$6,MATCH(RAB!C129,'HARGA SATUAN'!$C$7:$C$1492,0),0)),"",OFFSET('HARGA SATUAN'!$D$6,MATCH(RAB!C129,'HARGA SATUAN'!$C$7:$C$1492,0),0))</f>
        <v>HDW</v>
      </c>
      <c r="E129" s="282" t="str">
        <f ca="1">IF(B129="+","Unit",IF(ISERROR(OFFSET('HARGA SATUAN'!$E$6,MATCH(RAB!C129,'HARGA SATUAN'!$C$7:$C$1492,0),0)),"",OFFSET('HARGA SATUAN'!$E$6,MATCH(RAB!C129,'HARGA SATUAN'!$C$7:$C$1492,0),0)))</f>
        <v>Bh</v>
      </c>
      <c r="F129" s="711">
        <f>F120*28</f>
        <v>28</v>
      </c>
      <c r="G129" s="283">
        <f ca="1">IF(ISERROR(OFFSET('HARGA SATUAN'!$I$6,MATCH(RAB!C129,'HARGA SATUAN'!$C$7:$C$1492,0),0)),0,OFFSET('HARGA SATUAN'!$I$6,MATCH(RAB!C129,'HARGA SATUAN'!$C$7:$C$1492,0),0))</f>
        <v>7938</v>
      </c>
      <c r="H129" s="284">
        <f t="shared" ca="1" si="67"/>
        <v>0</v>
      </c>
      <c r="I129" s="284">
        <f t="shared" ca="1" si="68"/>
        <v>222264</v>
      </c>
      <c r="J129" s="284">
        <f t="shared" ca="1" si="69"/>
        <v>0</v>
      </c>
      <c r="K129" s="285">
        <f t="shared" ca="1" si="70"/>
        <v>222264</v>
      </c>
      <c r="L129" s="290"/>
      <c r="M129" s="290"/>
      <c r="N129" s="290"/>
      <c r="O129" s="286"/>
      <c r="P129" s="286"/>
      <c r="Q129" s="267"/>
      <c r="R129" s="259"/>
      <c r="S129" s="287"/>
      <c r="T129" s="264"/>
      <c r="U129" s="264"/>
      <c r="V129" s="264"/>
    </row>
    <row r="130" spans="1:22" s="291" customFormat="1" ht="30">
      <c r="A130" s="259">
        <f>IF(AND(C114=0,C115=0,C174=0),"BLANKS",1)</f>
        <v>1</v>
      </c>
      <c r="B130" s="499">
        <v>8</v>
      </c>
      <c r="C130" s="500" t="s">
        <v>166</v>
      </c>
      <c r="D130" s="281" t="str">
        <f ca="1">IF(ISERROR(OFFSET('HARGA SATUAN'!$D$6,MATCH(RAB!C130,'HARGA SATUAN'!$C$7:$C$1492,0),0)),"",OFFSET('HARGA SATUAN'!$D$6,MATCH(RAB!C130,'HARGA SATUAN'!$C$7:$C$1492,0),0))</f>
        <v>HDW</v>
      </c>
      <c r="E130" s="282" t="str">
        <f ca="1">IF(B130="+","Unit",IF(ISERROR(OFFSET('HARGA SATUAN'!$E$6,MATCH(RAB!C130,'HARGA SATUAN'!$C$7:$C$1492,0),0)),"",OFFSET('HARGA SATUAN'!$E$6,MATCH(RAB!C130,'HARGA SATUAN'!$C$7:$C$1492,0),0)))</f>
        <v>Bh</v>
      </c>
      <c r="F130" s="711">
        <f>F120*2</f>
        <v>2</v>
      </c>
      <c r="G130" s="283">
        <f ca="1">IF(ISERROR(OFFSET('HARGA SATUAN'!$I$6,MATCH(RAB!C130,'HARGA SATUAN'!$C$7:$C$1492,0),0)),0,OFFSET('HARGA SATUAN'!$I$6,MATCH(RAB!C130,'HARGA SATUAN'!$C$7:$C$1492,0),0))</f>
        <v>404600</v>
      </c>
      <c r="H130" s="284">
        <f t="shared" ca="1" si="67"/>
        <v>0</v>
      </c>
      <c r="I130" s="284">
        <f t="shared" ca="1" si="68"/>
        <v>809200</v>
      </c>
      <c r="J130" s="284">
        <f t="shared" ca="1" si="69"/>
        <v>0</v>
      </c>
      <c r="K130" s="285">
        <f t="shared" ca="1" si="70"/>
        <v>809200</v>
      </c>
      <c r="L130" s="290"/>
      <c r="M130" s="290"/>
      <c r="N130" s="290"/>
      <c r="O130" s="286"/>
      <c r="P130" s="286"/>
      <c r="Q130" s="267"/>
      <c r="R130" s="259"/>
      <c r="S130" s="287"/>
      <c r="T130" s="264"/>
      <c r="U130" s="264"/>
      <c r="V130" s="264"/>
    </row>
    <row r="131" spans="1:22" s="291" customFormat="1">
      <c r="A131" s="259">
        <f>IF(AND(C115=0,C174=0,C177=0),"BLANKS",1)</f>
        <v>1</v>
      </c>
      <c r="B131" s="499">
        <v>9</v>
      </c>
      <c r="C131" s="500" t="s">
        <v>174</v>
      </c>
      <c r="D131" s="281" t="str">
        <f ca="1">IF(ISERROR(OFFSET('HARGA SATUAN'!$D$6,MATCH(RAB!C131,'HARGA SATUAN'!$C$7:$C$1492,0),0)),"",OFFSET('HARGA SATUAN'!$D$6,MATCH(RAB!C131,'HARGA SATUAN'!$C$7:$C$1492,0),0))</f>
        <v>HDW</v>
      </c>
      <c r="E131" s="282" t="str">
        <f ca="1">IF(B131="+","Unit",IF(ISERROR(OFFSET('HARGA SATUAN'!$E$6,MATCH(RAB!C131,'HARGA SATUAN'!$C$7:$C$1492,0),0)),"",OFFSET('HARGA SATUAN'!$E$6,MATCH(RAB!C131,'HARGA SATUAN'!$C$7:$C$1492,0),0)))</f>
        <v>Bh</v>
      </c>
      <c r="F131" s="711">
        <f>F120*3</f>
        <v>3</v>
      </c>
      <c r="G131" s="283">
        <f ca="1">IF(ISERROR(OFFSET('HARGA SATUAN'!$I$6,MATCH(RAB!C131,'HARGA SATUAN'!$C$7:$C$1492,0),0)),0,OFFSET('HARGA SATUAN'!$I$6,MATCH(RAB!C131,'HARGA SATUAN'!$C$7:$C$1492,0),0))</f>
        <v>15900</v>
      </c>
      <c r="H131" s="284">
        <f t="shared" ca="1" si="67"/>
        <v>0</v>
      </c>
      <c r="I131" s="284">
        <f t="shared" ca="1" si="68"/>
        <v>47700</v>
      </c>
      <c r="J131" s="284">
        <f t="shared" ca="1" si="69"/>
        <v>0</v>
      </c>
      <c r="K131" s="285">
        <f t="shared" ca="1" si="70"/>
        <v>47700</v>
      </c>
      <c r="L131" s="290"/>
      <c r="M131" s="290"/>
      <c r="N131" s="290"/>
      <c r="O131" s="286"/>
      <c r="P131" s="286"/>
      <c r="Q131" s="267"/>
      <c r="R131" s="259"/>
      <c r="S131" s="287"/>
      <c r="T131" s="264"/>
      <c r="U131" s="264"/>
      <c r="V131" s="264"/>
    </row>
    <row r="132" spans="1:22" s="291" customFormat="1">
      <c r="A132" s="259" t="e">
        <f>IF(AND(C116=0,C117=0,#REF!=0),"BLANKS",1)</f>
        <v>#REF!</v>
      </c>
      <c r="B132" s="499">
        <v>10</v>
      </c>
      <c r="C132" s="451" t="s">
        <v>583</v>
      </c>
      <c r="D132" s="281" t="str">
        <f ca="1">IF(ISERROR(OFFSET('HARGA SATUAN'!$D$6,MATCH(RAB!C132,'HARGA SATUAN'!$C$7:$C$1492,0),0)),"",OFFSET('HARGA SATUAN'!$D$6,MATCH(RAB!C132,'HARGA SATUAN'!$C$7:$C$1492,0),0))</f>
        <v>HDW</v>
      </c>
      <c r="E132" s="282" t="str">
        <f ca="1">IF(B132="+","Unit",IF(ISERROR(OFFSET('HARGA SATUAN'!$E$6,MATCH(RAB!C132,'HARGA SATUAN'!$C$7:$C$1492,0),0)),"",OFFSET('HARGA SATUAN'!$E$6,MATCH(RAB!C132,'HARGA SATUAN'!$C$7:$C$1492,0),0)))</f>
        <v>Bh</v>
      </c>
      <c r="F132" s="711">
        <f>F120*5</f>
        <v>5</v>
      </c>
      <c r="G132" s="283">
        <f ca="1">IF(ISERROR(OFFSET('HARGA SATUAN'!$I$6,MATCH(RAB!C132,'HARGA SATUAN'!$C$7:$C$1492,0),0)),0,OFFSET('HARGA SATUAN'!$I$6,MATCH(RAB!C132,'HARGA SATUAN'!$C$7:$C$1492,0),0))</f>
        <v>380500</v>
      </c>
      <c r="H132" s="284">
        <f t="shared" ca="1" si="30"/>
        <v>0</v>
      </c>
      <c r="I132" s="284">
        <f t="shared" ca="1" si="31"/>
        <v>1902500</v>
      </c>
      <c r="J132" s="284">
        <f t="shared" ca="1" si="32"/>
        <v>0</v>
      </c>
      <c r="K132" s="285">
        <f t="shared" ca="1" si="33"/>
        <v>1902500</v>
      </c>
      <c r="L132" s="290"/>
      <c r="M132" s="290"/>
      <c r="N132" s="290"/>
      <c r="O132" s="286"/>
      <c r="P132" s="286"/>
      <c r="Q132" s="267"/>
      <c r="R132" s="259"/>
      <c r="S132" s="287"/>
      <c r="T132" s="264"/>
      <c r="U132" s="264"/>
      <c r="V132" s="264"/>
    </row>
    <row r="133" spans="1:22" s="291" customFormat="1">
      <c r="A133" s="259" t="e">
        <f>IF(AND(C117=0,#REF!=0,#REF!=0),"BLANKS",1)</f>
        <v>#REF!</v>
      </c>
      <c r="B133" s="499">
        <v>11</v>
      </c>
      <c r="C133" s="451" t="s">
        <v>584</v>
      </c>
      <c r="D133" s="281" t="str">
        <f ca="1">IF(ISERROR(OFFSET('HARGA SATUAN'!$D$6,MATCH(RAB!C133,'HARGA SATUAN'!$C$7:$C$1492,0),0)),"",OFFSET('HARGA SATUAN'!$D$6,MATCH(RAB!C133,'HARGA SATUAN'!$C$7:$C$1492,0),0))</f>
        <v>HDW</v>
      </c>
      <c r="E133" s="282" t="str">
        <f ca="1">IF(B133="+","Unit",IF(ISERROR(OFFSET('HARGA SATUAN'!$E$6,MATCH(RAB!C133,'HARGA SATUAN'!$C$7:$C$1492,0),0)),"",OFFSET('HARGA SATUAN'!$E$6,MATCH(RAB!C133,'HARGA SATUAN'!$C$7:$C$1492,0),0)))</f>
        <v>Bh</v>
      </c>
      <c r="F133" s="711">
        <f>F120*4</f>
        <v>4</v>
      </c>
      <c r="G133" s="283">
        <f ca="1">IF(ISERROR(OFFSET('HARGA SATUAN'!$I$6,MATCH(RAB!C133,'HARGA SATUAN'!$C$7:$C$1492,0),0)),0,OFFSET('HARGA SATUAN'!$I$6,MATCH(RAB!C133,'HARGA SATUAN'!$C$7:$C$1492,0),0))</f>
        <v>559200</v>
      </c>
      <c r="H133" s="284">
        <f t="shared" ca="1" si="30"/>
        <v>0</v>
      </c>
      <c r="I133" s="284">
        <f t="shared" ca="1" si="31"/>
        <v>2236800</v>
      </c>
      <c r="J133" s="284">
        <f t="shared" ca="1" si="32"/>
        <v>0</v>
      </c>
      <c r="K133" s="285">
        <f t="shared" ca="1" si="33"/>
        <v>2236800</v>
      </c>
      <c r="L133" s="290"/>
      <c r="M133" s="290"/>
      <c r="N133" s="290"/>
      <c r="O133" s="286"/>
      <c r="P133" s="286"/>
      <c r="Q133" s="267"/>
      <c r="R133" s="259"/>
      <c r="S133" s="287"/>
      <c r="T133" s="264"/>
      <c r="U133" s="264"/>
      <c r="V133" s="264"/>
    </row>
    <row r="134" spans="1:22" s="291" customFormat="1">
      <c r="A134" s="259"/>
      <c r="B134" s="499">
        <v>12</v>
      </c>
      <c r="C134" s="109" t="s">
        <v>198</v>
      </c>
      <c r="D134" s="281" t="str">
        <f ca="1">IF(ISERROR(OFFSET('HARGA SATUAN'!$D$6,MATCH(RAB!C134,'HARGA SATUAN'!$C$7:$C$1492,0),0)),"",OFFSET('HARGA SATUAN'!$D$6,MATCH(RAB!C134,'HARGA SATUAN'!$C$7:$C$1492,0),0))</f>
        <v>HDW</v>
      </c>
      <c r="E134" s="282" t="str">
        <f ca="1">IF(B134="+","Unit",IF(ISERROR(OFFSET('HARGA SATUAN'!$E$6,MATCH(RAB!C134,'HARGA SATUAN'!$C$7:$C$1492,0),0)),"",OFFSET('HARGA SATUAN'!$E$6,MATCH(RAB!C134,'HARGA SATUAN'!$C$7:$C$1492,0),0)))</f>
        <v>Bh</v>
      </c>
      <c r="F134" s="711">
        <f>F120*3</f>
        <v>3</v>
      </c>
      <c r="G134" s="283">
        <f ca="1">IF(ISERROR(OFFSET('HARGA SATUAN'!$I$6,MATCH(RAB!C134,'HARGA SATUAN'!$C$7:$C$1492,0),0)),0,OFFSET('HARGA SATUAN'!$I$6,MATCH(RAB!C134,'HARGA SATUAN'!$C$7:$C$1492,0),0))</f>
        <v>173400</v>
      </c>
      <c r="H134" s="284"/>
      <c r="I134" s="284"/>
      <c r="J134" s="284"/>
      <c r="K134" s="285"/>
      <c r="L134" s="290"/>
      <c r="M134" s="290"/>
      <c r="N134" s="290"/>
      <c r="O134" s="286"/>
      <c r="P134" s="286"/>
      <c r="Q134" s="267"/>
      <c r="R134" s="259"/>
      <c r="S134" s="287"/>
      <c r="T134" s="264"/>
      <c r="U134" s="264"/>
      <c r="V134" s="264"/>
    </row>
    <row r="135" spans="1:22" s="291" customFormat="1">
      <c r="A135" s="259">
        <f>IF(AND(C119=0,C124=0,C125=0),"BLANKS",1)</f>
        <v>1</v>
      </c>
      <c r="B135" s="499">
        <v>13</v>
      </c>
      <c r="C135" s="500" t="s">
        <v>237</v>
      </c>
      <c r="D135" s="281" t="str">
        <f ca="1">IF(ISERROR(OFFSET('HARGA SATUAN'!$D$6,MATCH(RAB!C135,'HARGA SATUAN'!$C$7:$C$1492,0),0)),"",OFFSET('HARGA SATUAN'!$D$6,MATCH(RAB!C135,'HARGA SATUAN'!$C$7:$C$1492,0),0))</f>
        <v>HDW</v>
      </c>
      <c r="E135" s="282" t="str">
        <f ca="1">IF(B135="+","Unit",IF(ISERROR(OFFSET('HARGA SATUAN'!$E$6,MATCH(RAB!C135,'HARGA SATUAN'!$C$7:$C$1492,0),0)),"",OFFSET('HARGA SATUAN'!$E$6,MATCH(RAB!C135,'HARGA SATUAN'!$C$7:$C$1492,0),0)))</f>
        <v>Bh</v>
      </c>
      <c r="F135" s="711">
        <f>F120*2</f>
        <v>2</v>
      </c>
      <c r="G135" s="283">
        <f ca="1">IF(ISERROR(OFFSET('HARGA SATUAN'!$I$6,MATCH(RAB!C135,'HARGA SATUAN'!$C$7:$C$1492,0),0)),0,OFFSET('HARGA SATUAN'!$I$6,MATCH(RAB!C135,'HARGA SATUAN'!$C$7:$C$1492,0),0))</f>
        <v>57690</v>
      </c>
      <c r="H135" s="284">
        <f t="shared" ref="H135:H138" ca="1" si="71">IF(OR(D135="MDU",D135="MDU-KD"),(IF($O$3="RAB NON MDU","PLN KD",G135*F135)),0)</f>
        <v>0</v>
      </c>
      <c r="I135" s="284">
        <f t="shared" ref="I135:I138" ca="1" si="72">IF(D135="HDW",G135*F135,0)</f>
        <v>115380</v>
      </c>
      <c r="J135" s="284">
        <f t="shared" ref="J135:J138" ca="1" si="73">IF(D135="JASA",G135*F135,0)</f>
        <v>0</v>
      </c>
      <c r="K135" s="285">
        <f t="shared" ref="K135:K138" ca="1" si="74">SUM(H135:J135)</f>
        <v>115380</v>
      </c>
      <c r="L135" s="290"/>
      <c r="M135" s="290"/>
      <c r="N135" s="290"/>
      <c r="O135" s="286"/>
      <c r="P135" s="286"/>
      <c r="Q135" s="267"/>
      <c r="R135" s="259"/>
      <c r="S135" s="287"/>
      <c r="T135" s="264"/>
      <c r="U135" s="264"/>
      <c r="V135" s="264"/>
    </row>
    <row r="136" spans="1:22" s="291" customFormat="1">
      <c r="A136" s="259" t="e">
        <f>IF(AND(C120=0,#REF!=0,#REF!=0),"BLANKS",1)</f>
        <v>#REF!</v>
      </c>
      <c r="B136" s="499">
        <v>14</v>
      </c>
      <c r="C136" s="500" t="s">
        <v>238</v>
      </c>
      <c r="D136" s="281" t="str">
        <f ca="1">IF(ISERROR(OFFSET('HARGA SATUAN'!$D$6,MATCH(RAB!C136,'HARGA SATUAN'!$C$7:$C$1492,0),0)),"",OFFSET('HARGA SATUAN'!$D$6,MATCH(RAB!C136,'HARGA SATUAN'!$C$7:$C$1492,0),0))</f>
        <v>HDW</v>
      </c>
      <c r="E136" s="282" t="str">
        <f ca="1">IF(B136="+","Unit",IF(ISERROR(OFFSET('HARGA SATUAN'!$E$6,MATCH(RAB!C136,'HARGA SATUAN'!$C$7:$C$1492,0),0)),"",OFFSET('HARGA SATUAN'!$E$6,MATCH(RAB!C136,'HARGA SATUAN'!$C$7:$C$1492,0),0)))</f>
        <v>Bh</v>
      </c>
      <c r="F136" s="711">
        <f>F120*2</f>
        <v>2</v>
      </c>
      <c r="G136" s="283">
        <f ca="1">IF(ISERROR(OFFSET('HARGA SATUAN'!$I$6,MATCH(RAB!C136,'HARGA SATUAN'!$C$7:$C$1492,0),0)),0,OFFSET('HARGA SATUAN'!$I$6,MATCH(RAB!C136,'HARGA SATUAN'!$C$7:$C$1492,0),0))</f>
        <v>60300</v>
      </c>
      <c r="H136" s="284">
        <f t="shared" ca="1" si="71"/>
        <v>0</v>
      </c>
      <c r="I136" s="284">
        <f t="shared" ca="1" si="72"/>
        <v>120600</v>
      </c>
      <c r="J136" s="284">
        <f t="shared" ca="1" si="73"/>
        <v>0</v>
      </c>
      <c r="K136" s="285">
        <f t="shared" ca="1" si="74"/>
        <v>120600</v>
      </c>
      <c r="L136" s="290"/>
      <c r="M136" s="290"/>
      <c r="N136" s="290"/>
      <c r="O136" s="286"/>
      <c r="P136" s="286"/>
      <c r="Q136" s="267"/>
      <c r="R136" s="259"/>
      <c r="S136" s="287"/>
      <c r="T136" s="264"/>
      <c r="U136" s="264"/>
      <c r="V136" s="264"/>
    </row>
    <row r="137" spans="1:22" s="291" customFormat="1">
      <c r="A137" s="259">
        <f>IF(AND(C121=0,C122=0,C123=0),"BLANKS",1)</f>
        <v>1</v>
      </c>
      <c r="B137" s="499">
        <v>15</v>
      </c>
      <c r="C137" s="506" t="s">
        <v>257</v>
      </c>
      <c r="D137" s="281" t="str">
        <f ca="1">IF(ISERROR(OFFSET('HARGA SATUAN'!$D$6,MATCH(RAB!C137,'HARGA SATUAN'!$C$7:$C$1492,0),0)),"",OFFSET('HARGA SATUAN'!$D$6,MATCH(RAB!C137,'HARGA SATUAN'!$C$7:$C$1492,0),0))</f>
        <v>HDW</v>
      </c>
      <c r="E137" s="282" t="str">
        <f ca="1">IF(B137="+","Unit",IF(ISERROR(OFFSET('HARGA SATUAN'!$E$6,MATCH(RAB!C137,'HARGA SATUAN'!$C$7:$C$1492,0),0)),"",OFFSET('HARGA SATUAN'!$E$6,MATCH(RAB!C137,'HARGA SATUAN'!$C$7:$C$1492,0),0)))</f>
        <v>Bh</v>
      </c>
      <c r="F137" s="711">
        <f>F120*4</f>
        <v>4</v>
      </c>
      <c r="G137" s="283">
        <f ca="1">IF(ISERROR(OFFSET('HARGA SATUAN'!$I$6,MATCH(RAB!C137,'HARGA SATUAN'!$C$7:$C$1492,0),0)),0,OFFSET('HARGA SATUAN'!$I$6,MATCH(RAB!C137,'HARGA SATUAN'!$C$7:$C$1492,0),0))</f>
        <v>129000</v>
      </c>
      <c r="H137" s="284">
        <f t="shared" ca="1" si="71"/>
        <v>0</v>
      </c>
      <c r="I137" s="284">
        <f t="shared" ca="1" si="72"/>
        <v>516000</v>
      </c>
      <c r="J137" s="284">
        <f t="shared" ca="1" si="73"/>
        <v>0</v>
      </c>
      <c r="K137" s="285">
        <f t="shared" ca="1" si="74"/>
        <v>516000</v>
      </c>
      <c r="L137" s="290"/>
      <c r="M137" s="290"/>
      <c r="N137" s="290"/>
      <c r="O137" s="286"/>
      <c r="P137" s="286"/>
      <c r="Q137" s="267"/>
      <c r="R137" s="259"/>
      <c r="S137" s="287"/>
      <c r="T137" s="264"/>
      <c r="U137" s="264"/>
      <c r="V137" s="264"/>
    </row>
    <row r="138" spans="1:22" s="291" customFormat="1">
      <c r="A138" s="259">
        <f>IF(AND(C122=0,C123=0,C124=0),"BLANKS",1)</f>
        <v>1</v>
      </c>
      <c r="B138" s="499">
        <v>16</v>
      </c>
      <c r="C138" s="500" t="s">
        <v>777</v>
      </c>
      <c r="D138" s="281" t="str">
        <f ca="1">IF(ISERROR(OFFSET('HARGA SATUAN'!$D$6,MATCH(RAB!C138,'HARGA SATUAN'!$C$7:$C$1492,0),0)),"",OFFSET('HARGA SATUAN'!$D$6,MATCH(RAB!C138,'HARGA SATUAN'!$C$7:$C$1492,0),0))</f>
        <v>JASA</v>
      </c>
      <c r="E138" s="282" t="str">
        <f ca="1">IF(B138="+","Unit",IF(ISERROR(OFFSET('HARGA SATUAN'!$E$6,MATCH(RAB!C138,'HARGA SATUAN'!$C$7:$C$1492,0),0)),"",OFFSET('HARGA SATUAN'!$E$6,MATCH(RAB!C138,'HARGA SATUAN'!$C$7:$C$1492,0),0)))</f>
        <v>Unit</v>
      </c>
      <c r="F138" s="711">
        <f>F120*1</f>
        <v>1</v>
      </c>
      <c r="G138" s="283">
        <f ca="1">IF(ISERROR(OFFSET('HARGA SATUAN'!$I$6,MATCH(RAB!C138,'HARGA SATUAN'!$C$7:$C$1492,0),0)),0,OFFSET('HARGA SATUAN'!$I$6,MATCH(RAB!C138,'HARGA SATUAN'!$C$7:$C$1492,0),0))</f>
        <v>3784400</v>
      </c>
      <c r="H138" s="284">
        <f t="shared" ca="1" si="71"/>
        <v>0</v>
      </c>
      <c r="I138" s="284">
        <f t="shared" ca="1" si="72"/>
        <v>0</v>
      </c>
      <c r="J138" s="284">
        <f t="shared" ca="1" si="73"/>
        <v>3784400</v>
      </c>
      <c r="K138" s="285">
        <f t="shared" ca="1" si="74"/>
        <v>3784400</v>
      </c>
      <c r="L138" s="290"/>
      <c r="M138" s="290"/>
      <c r="N138" s="290"/>
      <c r="O138" s="286"/>
      <c r="P138" s="286"/>
      <c r="Q138" s="267"/>
      <c r="R138" s="259"/>
      <c r="S138" s="287"/>
      <c r="T138" s="264"/>
      <c r="U138" s="264"/>
      <c r="V138" s="264"/>
    </row>
    <row r="139" spans="1:22" s="291" customFormat="1">
      <c r="A139" s="259" t="e">
        <f>IF(AND(C123=0,C124=0,#REF!=0),"BLANKS",1)</f>
        <v>#REF!</v>
      </c>
      <c r="B139" s="499"/>
      <c r="C139" s="500"/>
      <c r="D139" s="281" t="str">
        <f ca="1">IF(ISERROR(OFFSET('HARGA SATUAN'!$D$6,MATCH(RAB!C139,'HARGA SATUAN'!$C$7:$C$1492,0),0)),"",OFFSET('HARGA SATUAN'!$D$6,MATCH(RAB!C139,'HARGA SATUAN'!$C$7:$C$1492,0),0))</f>
        <v/>
      </c>
      <c r="E139" s="282" t="str">
        <f ca="1">IF(B139="+","Unit",IF(ISERROR(OFFSET('HARGA SATUAN'!$E$6,MATCH(RAB!C139,'HARGA SATUAN'!$C$7:$C$1492,0),0)),"",OFFSET('HARGA SATUAN'!$E$6,MATCH(RAB!C139,'HARGA SATUAN'!$C$7:$C$1492,0),0)))</f>
        <v/>
      </c>
      <c r="F139" s="393"/>
      <c r="G139" s="283">
        <f ca="1">IF(ISERROR(OFFSET('HARGA SATUAN'!$I$6,MATCH(RAB!C139,'HARGA SATUAN'!$C$7:$C$1492,0),0)),0,OFFSET('HARGA SATUAN'!$I$6,MATCH(RAB!C139,'HARGA SATUAN'!$C$7:$C$1492,0),0))</f>
        <v>0</v>
      </c>
      <c r="H139" s="284">
        <f t="shared" ca="1" si="22"/>
        <v>0</v>
      </c>
      <c r="I139" s="284">
        <f t="shared" ca="1" si="23"/>
        <v>0</v>
      </c>
      <c r="J139" s="284">
        <f t="shared" ca="1" si="24"/>
        <v>0</v>
      </c>
      <c r="K139" s="285">
        <f t="shared" ca="1" si="25"/>
        <v>0</v>
      </c>
      <c r="L139" s="290"/>
      <c r="M139" s="290"/>
      <c r="N139" s="290"/>
      <c r="O139" s="286"/>
      <c r="P139" s="286"/>
      <c r="Q139" s="267"/>
      <c r="R139" s="259"/>
      <c r="S139" s="287"/>
      <c r="T139" s="264"/>
      <c r="U139" s="264"/>
      <c r="V139" s="264"/>
    </row>
    <row r="140" spans="1:22" s="291" customFormat="1">
      <c r="A140" s="259" t="e">
        <f>IF(AND(C124=0,#REF!=0,#REF!=0),"BLANKS",1)</f>
        <v>#REF!</v>
      </c>
      <c r="B140" s="499">
        <v>1</v>
      </c>
      <c r="C140" s="501" t="s">
        <v>1381</v>
      </c>
      <c r="D140" s="281" t="str">
        <f ca="1">IF(ISERROR(OFFSET('HARGA SATUAN'!$D$6,MATCH(RAB!C140,'HARGA SATUAN'!$C$7:$C$1492,0),0)),"",OFFSET('HARGA SATUAN'!$D$6,MATCH(RAB!C140,'HARGA SATUAN'!$C$7:$C$1492,0),0))</f>
        <v>HDW</v>
      </c>
      <c r="E140" s="282" t="str">
        <f ca="1">IF(B140="+","Unit",IF(ISERROR(OFFSET('HARGA SATUAN'!$E$6,MATCH(RAB!C140,'HARGA SATUAN'!$C$7:$C$1492,0),0)),"",OFFSET('HARGA SATUAN'!$E$6,MATCH(RAB!C140,'HARGA SATUAN'!$C$7:$C$1492,0),0)))</f>
        <v>Bh</v>
      </c>
      <c r="F140" s="504">
        <v>3</v>
      </c>
      <c r="G140" s="283">
        <f ca="1">IF(ISERROR(OFFSET('HARGA SATUAN'!$I$6,MATCH(RAB!C140,'HARGA SATUAN'!$C$7:$C$1492,0),0)),0,OFFSET('HARGA SATUAN'!$I$6,MATCH(RAB!C140,'HARGA SATUAN'!$C$7:$C$1492,0),0))</f>
        <v>85000</v>
      </c>
      <c r="H140" s="284">
        <f t="shared" ca="1" si="22"/>
        <v>0</v>
      </c>
      <c r="I140" s="284">
        <f t="shared" ca="1" si="23"/>
        <v>255000</v>
      </c>
      <c r="J140" s="284">
        <f t="shared" ca="1" si="24"/>
        <v>0</v>
      </c>
      <c r="K140" s="285">
        <f t="shared" ca="1" si="25"/>
        <v>255000</v>
      </c>
      <c r="L140" s="290"/>
      <c r="M140" s="290"/>
      <c r="N140" s="290"/>
      <c r="O140" s="286"/>
      <c r="P140" s="286"/>
      <c r="Q140" s="267"/>
      <c r="R140" s="259"/>
      <c r="S140" s="287"/>
      <c r="T140" s="264"/>
      <c r="U140" s="264"/>
      <c r="V140" s="264"/>
    </row>
    <row r="141" spans="1:22" s="291" customFormat="1">
      <c r="A141" s="259"/>
      <c r="B141" s="499">
        <v>2</v>
      </c>
      <c r="C141" s="501" t="s">
        <v>1382</v>
      </c>
      <c r="D141" s="281" t="str">
        <f ca="1">IF(ISERROR(OFFSET('HARGA SATUAN'!$D$6,MATCH(RAB!C141,'HARGA SATUAN'!$C$7:$C$1492,0),0)),"",OFFSET('HARGA SATUAN'!$D$6,MATCH(RAB!C141,'HARGA SATUAN'!$C$7:$C$1492,0),0))</f>
        <v>JASA</v>
      </c>
      <c r="E141" s="282" t="str">
        <f ca="1">IF(B141="+","Unit",IF(ISERROR(OFFSET('HARGA SATUAN'!$E$6,MATCH(RAB!C141,'HARGA SATUAN'!$C$7:$C$1492,0),0)),"",OFFSET('HARGA SATUAN'!$E$6,MATCH(RAB!C141,'HARGA SATUAN'!$C$7:$C$1492,0),0)))</f>
        <v>Set</v>
      </c>
      <c r="F141" s="504">
        <v>3</v>
      </c>
      <c r="G141" s="283">
        <f ca="1">IF(ISERROR(OFFSET('HARGA SATUAN'!$I$6,MATCH(RAB!C141,'HARGA SATUAN'!$C$7:$C$1492,0),0)),0,OFFSET('HARGA SATUAN'!$I$6,MATCH(RAB!C141,'HARGA SATUAN'!$C$7:$C$1492,0),0))</f>
        <v>15000</v>
      </c>
      <c r="H141" s="284"/>
      <c r="I141" s="284"/>
      <c r="J141" s="284"/>
      <c r="K141" s="285"/>
      <c r="L141" s="290"/>
      <c r="M141" s="290"/>
      <c r="N141" s="290"/>
      <c r="O141" s="286"/>
      <c r="P141" s="286"/>
      <c r="Q141" s="267"/>
      <c r="R141" s="259"/>
      <c r="S141" s="287"/>
      <c r="T141" s="264"/>
      <c r="U141" s="264"/>
      <c r="V141" s="264"/>
    </row>
    <row r="142" spans="1:22" s="291" customFormat="1">
      <c r="A142" s="259">
        <f>IF(AND(C126=0,C131=0,C132=0),"BLANKS",1)</f>
        <v>1</v>
      </c>
      <c r="B142" s="499">
        <v>3</v>
      </c>
      <c r="C142" s="501" t="s">
        <v>1391</v>
      </c>
      <c r="D142" s="281" t="str">
        <f ca="1">IF(ISERROR(OFFSET('HARGA SATUAN'!$D$6,MATCH(RAB!C142,'HARGA SATUAN'!$C$7:$C$1492,0),0)),"",OFFSET('HARGA SATUAN'!$D$6,MATCH(RAB!C142,'HARGA SATUAN'!$C$7:$C$1492,0),0))</f>
        <v>HDW</v>
      </c>
      <c r="E142" s="282" t="str">
        <f ca="1">IF(B142="+","Unit",IF(ISERROR(OFFSET('HARGA SATUAN'!$E$6,MATCH(RAB!C142,'HARGA SATUAN'!$C$7:$C$1492,0),0)),"",OFFSET('HARGA SATUAN'!$E$6,MATCH(RAB!C142,'HARGA SATUAN'!$C$7:$C$1492,0),0)))</f>
        <v>Bh</v>
      </c>
      <c r="F142" s="504">
        <v>3</v>
      </c>
      <c r="G142" s="283">
        <f ca="1">IF(ISERROR(OFFSET('HARGA SATUAN'!$I$6,MATCH(RAB!C142,'HARGA SATUAN'!$C$7:$C$1492,0),0)),0,OFFSET('HARGA SATUAN'!$I$6,MATCH(RAB!C142,'HARGA SATUAN'!$C$7:$C$1492,0),0))</f>
        <v>105000</v>
      </c>
      <c r="H142" s="284">
        <f t="shared" ref="H142:H146" ca="1" si="75">IF(OR(D142="MDU",D142="MDU-KD"),(IF($O$3="RAB NON MDU","PLN KD",G142*F142)),0)</f>
        <v>0</v>
      </c>
      <c r="I142" s="284">
        <f t="shared" ref="I142:I146" ca="1" si="76">IF(D142="HDW",G142*F142,0)</f>
        <v>315000</v>
      </c>
      <c r="J142" s="284">
        <f t="shared" ref="J142:J146" ca="1" si="77">IF(D142="JASA",G142*F142,0)</f>
        <v>0</v>
      </c>
      <c r="K142" s="285">
        <f t="shared" ref="K142:K146" ca="1" si="78">SUM(H142:J142)</f>
        <v>315000</v>
      </c>
      <c r="L142" s="290"/>
      <c r="M142" s="290"/>
      <c r="N142" s="290"/>
      <c r="O142" s="286"/>
      <c r="P142" s="286"/>
      <c r="Q142" s="267"/>
      <c r="R142" s="259"/>
      <c r="S142" s="287"/>
      <c r="T142" s="264"/>
      <c r="U142" s="264"/>
      <c r="V142" s="264"/>
    </row>
    <row r="143" spans="1:22" s="291" customFormat="1">
      <c r="A143" s="259" t="e">
        <f>IF(AND(C127=0,#REF!=0,#REF!=0),"BLANKS",1)</f>
        <v>#REF!</v>
      </c>
      <c r="B143" s="499">
        <v>4</v>
      </c>
      <c r="C143" s="501" t="s">
        <v>1392</v>
      </c>
      <c r="D143" s="281" t="str">
        <f ca="1">IF(ISERROR(OFFSET('HARGA SATUAN'!$D$6,MATCH(RAB!C143,'HARGA SATUAN'!$C$7:$C$1492,0),0)),"",OFFSET('HARGA SATUAN'!$D$6,MATCH(RAB!C143,'HARGA SATUAN'!$C$7:$C$1492,0),0))</f>
        <v>JASA</v>
      </c>
      <c r="E143" s="282" t="str">
        <f ca="1">IF(B143="+","Unit",IF(ISERROR(OFFSET('HARGA SATUAN'!$E$6,MATCH(RAB!C143,'HARGA SATUAN'!$C$7:$C$1492,0),0)),"",OFFSET('HARGA SATUAN'!$E$6,MATCH(RAB!C143,'HARGA SATUAN'!$C$7:$C$1492,0),0)))</f>
        <v>Unit</v>
      </c>
      <c r="F143" s="504">
        <v>3</v>
      </c>
      <c r="G143" s="283">
        <f ca="1">IF(ISERROR(OFFSET('HARGA SATUAN'!$I$6,MATCH(RAB!C143,'HARGA SATUAN'!$C$7:$C$1492,0),0)),0,OFFSET('HARGA SATUAN'!$I$6,MATCH(RAB!C143,'HARGA SATUAN'!$C$7:$C$1492,0),0))</f>
        <v>15000</v>
      </c>
      <c r="H143" s="284">
        <f t="shared" ca="1" si="75"/>
        <v>0</v>
      </c>
      <c r="I143" s="284">
        <f t="shared" ca="1" si="76"/>
        <v>0</v>
      </c>
      <c r="J143" s="284">
        <f t="shared" ca="1" si="77"/>
        <v>45000</v>
      </c>
      <c r="K143" s="285">
        <f t="shared" ca="1" si="78"/>
        <v>45000</v>
      </c>
      <c r="L143" s="290"/>
      <c r="M143" s="290"/>
      <c r="N143" s="290"/>
      <c r="O143" s="286"/>
      <c r="P143" s="286"/>
      <c r="Q143" s="267"/>
      <c r="R143" s="259"/>
      <c r="S143" s="287"/>
      <c r="T143" s="264"/>
      <c r="U143" s="264"/>
      <c r="V143" s="264"/>
    </row>
    <row r="144" spans="1:22" s="291" customFormat="1">
      <c r="A144" s="259">
        <f>IF(AND(C128=0,C129=0,C130=0),"BLANKS",1)</f>
        <v>1</v>
      </c>
      <c r="B144" s="499">
        <v>5</v>
      </c>
      <c r="C144" s="501" t="s">
        <v>1393</v>
      </c>
      <c r="D144" s="281" t="str">
        <f ca="1">IF(ISERROR(OFFSET('HARGA SATUAN'!$D$6,MATCH(RAB!C144,'HARGA SATUAN'!$C$7:$C$1492,0),0)),"",OFFSET('HARGA SATUAN'!$D$6,MATCH(RAB!C144,'HARGA SATUAN'!$C$7:$C$1492,0),0))</f>
        <v>HDW</v>
      </c>
      <c r="E144" s="282" t="str">
        <f ca="1">IF(B144="+","Unit",IF(ISERROR(OFFSET('HARGA SATUAN'!$E$6,MATCH(RAB!C144,'HARGA SATUAN'!$C$7:$C$1492,0),0)),"",OFFSET('HARGA SATUAN'!$E$6,MATCH(RAB!C144,'HARGA SATUAN'!$C$7:$C$1492,0),0)))</f>
        <v>Bh</v>
      </c>
      <c r="F144" s="504">
        <v>3</v>
      </c>
      <c r="G144" s="283">
        <f ca="1">IF(ISERROR(OFFSET('HARGA SATUAN'!$I$6,MATCH(RAB!C144,'HARGA SATUAN'!$C$7:$C$1492,0),0)),0,OFFSET('HARGA SATUAN'!$I$6,MATCH(RAB!C144,'HARGA SATUAN'!$C$7:$C$1492,0),0))</f>
        <v>180000</v>
      </c>
      <c r="H144" s="284">
        <f t="shared" ca="1" si="75"/>
        <v>0</v>
      </c>
      <c r="I144" s="284">
        <f t="shared" ca="1" si="76"/>
        <v>540000</v>
      </c>
      <c r="J144" s="284">
        <f t="shared" ca="1" si="77"/>
        <v>0</v>
      </c>
      <c r="K144" s="285">
        <f t="shared" ca="1" si="78"/>
        <v>540000</v>
      </c>
      <c r="L144" s="290"/>
      <c r="M144" s="290"/>
      <c r="N144" s="290"/>
      <c r="O144" s="286"/>
      <c r="P144" s="286"/>
      <c r="Q144" s="267"/>
      <c r="R144" s="259"/>
      <c r="S144" s="287"/>
      <c r="T144" s="264"/>
      <c r="U144" s="264"/>
      <c r="V144" s="264"/>
    </row>
    <row r="145" spans="1:22" s="291" customFormat="1">
      <c r="A145" s="259">
        <f>IF(AND(C129=0,C130=0,C131=0),"BLANKS",1)</f>
        <v>1</v>
      </c>
      <c r="B145" s="499">
        <v>6</v>
      </c>
      <c r="C145" s="501" t="s">
        <v>1394</v>
      </c>
      <c r="D145" s="281" t="str">
        <f ca="1">IF(ISERROR(OFFSET('HARGA SATUAN'!$D$6,MATCH(RAB!C145,'HARGA SATUAN'!$C$7:$C$1492,0),0)),"",OFFSET('HARGA SATUAN'!$D$6,MATCH(RAB!C145,'HARGA SATUAN'!$C$7:$C$1492,0),0))</f>
        <v>JASA</v>
      </c>
      <c r="E145" s="282" t="str">
        <f ca="1">IF(B145="+","Unit",IF(ISERROR(OFFSET('HARGA SATUAN'!$E$6,MATCH(RAB!C145,'HARGA SATUAN'!$C$7:$C$1492,0),0)),"",OFFSET('HARGA SATUAN'!$E$6,MATCH(RAB!C145,'HARGA SATUAN'!$C$7:$C$1492,0),0)))</f>
        <v>Set</v>
      </c>
      <c r="F145" s="504">
        <v>3</v>
      </c>
      <c r="G145" s="283">
        <f ca="1">IF(ISERROR(OFFSET('HARGA SATUAN'!$I$6,MATCH(RAB!C145,'HARGA SATUAN'!$C$7:$C$1492,0),0)),0,OFFSET('HARGA SATUAN'!$I$6,MATCH(RAB!C145,'HARGA SATUAN'!$C$7:$C$1492,0),0))</f>
        <v>15000</v>
      </c>
      <c r="H145" s="284">
        <f t="shared" ca="1" si="75"/>
        <v>0</v>
      </c>
      <c r="I145" s="284">
        <f t="shared" ca="1" si="76"/>
        <v>0</v>
      </c>
      <c r="J145" s="284">
        <f t="shared" ca="1" si="77"/>
        <v>45000</v>
      </c>
      <c r="K145" s="285">
        <f t="shared" ca="1" si="78"/>
        <v>45000</v>
      </c>
      <c r="L145" s="290"/>
      <c r="M145" s="290"/>
      <c r="N145" s="290"/>
      <c r="O145" s="286"/>
      <c r="P145" s="286"/>
      <c r="Q145" s="267"/>
      <c r="R145" s="259"/>
      <c r="S145" s="287"/>
      <c r="T145" s="264"/>
      <c r="U145" s="264"/>
      <c r="V145" s="264"/>
    </row>
    <row r="146" spans="1:22" s="291" customFormat="1">
      <c r="A146" s="259">
        <f>IF(AND(C130=0,C131=0,C132=0),"BLANKS",1)</f>
        <v>1</v>
      </c>
      <c r="D146" s="281" t="str">
        <f ca="1">IF(ISERROR(OFFSET('HARGA SATUAN'!$D$6,MATCH(RAB!C146,'HARGA SATUAN'!$C$7:$C$1492,0),0)),"",OFFSET('HARGA SATUAN'!$D$6,MATCH(RAB!C146,'HARGA SATUAN'!$C$7:$C$1492,0),0))</f>
        <v/>
      </c>
      <c r="E146" s="282" t="str">
        <f ca="1">IF(B146="+","Unit",IF(ISERROR(OFFSET('HARGA SATUAN'!$E$6,MATCH(RAB!C146,'HARGA SATUAN'!$C$7:$C$1492,0),0)),"",OFFSET('HARGA SATUAN'!$E$6,MATCH(RAB!C146,'HARGA SATUAN'!$C$7:$C$1492,0),0)))</f>
        <v/>
      </c>
      <c r="F146" s="711"/>
      <c r="G146" s="283">
        <f ca="1">IF(ISERROR(OFFSET('HARGA SATUAN'!$I$6,MATCH(RAB!C146,'HARGA SATUAN'!$C$7:$C$1492,0),0)),0,OFFSET('HARGA SATUAN'!$I$6,MATCH(RAB!C146,'HARGA SATUAN'!$C$7:$C$1492,0),0))</f>
        <v>0</v>
      </c>
      <c r="H146" s="284">
        <f t="shared" ca="1" si="75"/>
        <v>0</v>
      </c>
      <c r="I146" s="284">
        <f t="shared" ca="1" si="76"/>
        <v>0</v>
      </c>
      <c r="J146" s="284">
        <f t="shared" ca="1" si="77"/>
        <v>0</v>
      </c>
      <c r="K146" s="285">
        <f t="shared" ca="1" si="78"/>
        <v>0</v>
      </c>
      <c r="L146" s="290"/>
      <c r="M146" s="290"/>
      <c r="N146" s="290"/>
      <c r="O146" s="286"/>
      <c r="P146" s="286"/>
      <c r="Q146" s="267"/>
      <c r="R146" s="259"/>
      <c r="S146" s="287"/>
      <c r="T146" s="264"/>
      <c r="U146" s="264"/>
      <c r="V146" s="264"/>
    </row>
    <row r="147" spans="1:22" s="291" customFormat="1">
      <c r="A147" s="259">
        <f>IF(AND(C131=0,C132=0,C133=0),"BLANKS",1)</f>
        <v>1</v>
      </c>
      <c r="B147" s="714" t="s">
        <v>1005</v>
      </c>
      <c r="C147" s="713" t="s">
        <v>1661</v>
      </c>
      <c r="D147" s="281" t="str">
        <f ca="1">IF(ISERROR(OFFSET('HARGA SATUAN'!$D$6,MATCH(RAB!C147,'HARGA SATUAN'!$C$7:$C$1492,0),0)),"",OFFSET('HARGA SATUAN'!$D$6,MATCH(RAB!C147,'HARGA SATUAN'!$C$7:$C$1492,0),0))</f>
        <v/>
      </c>
      <c r="E147" s="282" t="str">
        <f ca="1">IF(B147="+","Unit",IF(ISERROR(OFFSET('HARGA SATUAN'!$E$6,MATCH(RAB!C147,'HARGA SATUAN'!$C$7:$C$1492,0),0)),"",OFFSET('HARGA SATUAN'!$E$6,MATCH(RAB!C147,'HARGA SATUAN'!$C$7:$C$1492,0),0)))</f>
        <v>Unit</v>
      </c>
      <c r="F147" s="711">
        <v>1</v>
      </c>
      <c r="G147" s="283">
        <f ca="1">IF(ISERROR(OFFSET('HARGA SATUAN'!$I$6,MATCH(RAB!C147,'HARGA SATUAN'!$C$7:$C$1492,0),0)),0,OFFSET('HARGA SATUAN'!$I$6,MATCH(RAB!C147,'HARGA SATUAN'!$C$7:$C$1492,0),0))</f>
        <v>0</v>
      </c>
      <c r="H147" s="284">
        <f t="shared" ca="1" si="11"/>
        <v>0</v>
      </c>
      <c r="I147" s="284">
        <f t="shared" ca="1" si="12"/>
        <v>0</v>
      </c>
      <c r="J147" s="284">
        <f t="shared" ca="1" si="13"/>
        <v>0</v>
      </c>
      <c r="K147" s="285">
        <f t="shared" ca="1" si="14"/>
        <v>0</v>
      </c>
      <c r="L147" s="290"/>
      <c r="M147" s="290"/>
      <c r="N147" s="290"/>
      <c r="O147" s="286"/>
      <c r="P147" s="286"/>
      <c r="Q147" s="267"/>
      <c r="R147" s="259"/>
      <c r="S147" s="287"/>
      <c r="T147" s="264"/>
      <c r="U147" s="264"/>
      <c r="V147" s="264"/>
    </row>
    <row r="148" spans="1:22" s="291" customFormat="1">
      <c r="A148" s="259">
        <f>IF(AND(C132=0,C133=0,C134=0),"BLANKS",1)</f>
        <v>1</v>
      </c>
      <c r="B148" s="714">
        <v>1</v>
      </c>
      <c r="C148" s="718" t="s">
        <v>1014</v>
      </c>
      <c r="D148" s="281" t="str">
        <f ca="1">IF(ISERROR(OFFSET('HARGA SATUAN'!$D$6,MATCH(RAB!C148,'HARGA SATUAN'!$C$7:$C$1492,0),0)),"",OFFSET('HARGA SATUAN'!$D$6,MATCH(RAB!C148,'HARGA SATUAN'!$C$7:$C$1492,0),0))</f>
        <v>MDU-KD</v>
      </c>
      <c r="E148" s="282" t="str">
        <f ca="1">IF(B148="+","Unit",IF(ISERROR(OFFSET('HARGA SATUAN'!$E$6,MATCH(RAB!C148,'HARGA SATUAN'!$C$7:$C$1492,0),0)),"",OFFSET('HARGA SATUAN'!$E$6,MATCH(RAB!C148,'HARGA SATUAN'!$C$7:$C$1492,0),0)))</f>
        <v>Bh</v>
      </c>
      <c r="F148" s="711">
        <f>F147*1</f>
        <v>1</v>
      </c>
      <c r="G148" s="283">
        <f ca="1">IF(ISERROR(OFFSET('HARGA SATUAN'!$I$6,MATCH(RAB!C148,'HARGA SATUAN'!$C$7:$C$1492,0),0)),0,OFFSET('HARGA SATUAN'!$I$6,MATCH(RAB!C148,'HARGA SATUAN'!$C$7:$C$1492,0),0))</f>
        <v>9994500</v>
      </c>
      <c r="H148" s="284">
        <f t="shared" ca="1" si="11"/>
        <v>9994500</v>
      </c>
      <c r="I148" s="284">
        <f t="shared" ca="1" si="12"/>
        <v>0</v>
      </c>
      <c r="J148" s="284">
        <f t="shared" ca="1" si="13"/>
        <v>0</v>
      </c>
      <c r="K148" s="285">
        <f t="shared" ca="1" si="14"/>
        <v>9994500</v>
      </c>
      <c r="L148" s="290"/>
      <c r="M148" s="290"/>
      <c r="N148" s="290"/>
      <c r="O148" s="286"/>
      <c r="P148" s="286"/>
      <c r="Q148" s="267"/>
      <c r="R148" s="259"/>
      <c r="S148" s="287"/>
      <c r="T148" s="264"/>
      <c r="U148" s="264"/>
      <c r="V148" s="264"/>
    </row>
    <row r="149" spans="1:22" s="291" customFormat="1">
      <c r="A149" s="259" t="e">
        <f>IF(AND(C133=0,C134=0,#REF!=0),"BLANKS",1)</f>
        <v>#REF!</v>
      </c>
      <c r="B149" s="714">
        <v>2</v>
      </c>
      <c r="C149" s="718" t="s">
        <v>70</v>
      </c>
      <c r="D149" s="281" t="str">
        <f ca="1">IF(ISERROR(OFFSET('HARGA SATUAN'!$D$6,MATCH(RAB!C149,'HARGA SATUAN'!$C$7:$C$1492,0),0)),"",OFFSET('HARGA SATUAN'!$D$6,MATCH(RAB!C149,'HARGA SATUAN'!$C$7:$C$1492,0),0))</f>
        <v>MDU-KD</v>
      </c>
      <c r="E149" s="282" t="str">
        <f ca="1">IF(B149="+","Unit",IF(ISERROR(OFFSET('HARGA SATUAN'!$E$6,MATCH(RAB!C149,'HARGA SATUAN'!$C$7:$C$1492,0),0)),"",OFFSET('HARGA SATUAN'!$E$6,MATCH(RAB!C149,'HARGA SATUAN'!$C$7:$C$1492,0),0)))</f>
        <v>Mtr</v>
      </c>
      <c r="F149" s="711">
        <f>F147*23*4</f>
        <v>92</v>
      </c>
      <c r="G149" s="283">
        <f ca="1">IF(ISERROR(OFFSET('HARGA SATUAN'!$I$6,MATCH(RAB!C149,'HARGA SATUAN'!$C$7:$C$1492,0),0)),0,OFFSET('HARGA SATUAN'!$I$6,MATCH(RAB!C149,'HARGA SATUAN'!$C$7:$C$1492,0),0))</f>
        <v>94700</v>
      </c>
      <c r="H149" s="284">
        <f t="shared" ca="1" si="11"/>
        <v>8712400</v>
      </c>
      <c r="I149" s="284">
        <f t="shared" ca="1" si="12"/>
        <v>0</v>
      </c>
      <c r="J149" s="284">
        <f t="shared" ca="1" si="13"/>
        <v>0</v>
      </c>
      <c r="K149" s="285">
        <f t="shared" ca="1" si="14"/>
        <v>8712400</v>
      </c>
      <c r="L149" s="290"/>
      <c r="M149" s="290"/>
      <c r="N149" s="290"/>
      <c r="O149" s="286"/>
      <c r="P149" s="286"/>
      <c r="Q149" s="267"/>
      <c r="R149" s="259"/>
      <c r="S149" s="287"/>
      <c r="T149" s="264"/>
      <c r="U149" s="264"/>
      <c r="V149" s="264"/>
    </row>
    <row r="150" spans="1:22" s="291" customFormat="1">
      <c r="A150" s="259" t="e">
        <f>IF(AND(C134=0,#REF!=0,#REF!=0),"BLANKS",1)</f>
        <v>#REF!</v>
      </c>
      <c r="B150" s="714">
        <v>3</v>
      </c>
      <c r="C150" s="718" t="s">
        <v>153</v>
      </c>
      <c r="D150" s="281" t="str">
        <f ca="1">IF(ISERROR(OFFSET('HARGA SATUAN'!$D$6,MATCH(RAB!C150,'HARGA SATUAN'!$C$7:$C$1492,0),0)),"",OFFSET('HARGA SATUAN'!$D$6,MATCH(RAB!C150,'HARGA SATUAN'!$C$7:$C$1492,0),0))</f>
        <v>HDW</v>
      </c>
      <c r="E150" s="282" t="str">
        <f ca="1">IF(B150="+","Unit",IF(ISERROR(OFFSET('HARGA SATUAN'!$E$6,MATCH(RAB!C150,'HARGA SATUAN'!$C$7:$C$1492,0),0)),"",OFFSET('HARGA SATUAN'!$E$6,MATCH(RAB!C150,'HARGA SATUAN'!$C$7:$C$1492,0),0)))</f>
        <v>Bh</v>
      </c>
      <c r="F150" s="711">
        <f>F147*4</f>
        <v>4</v>
      </c>
      <c r="G150" s="283">
        <f ca="1">IF(ISERROR(OFFSET('HARGA SATUAN'!$I$6,MATCH(RAB!C150,'HARGA SATUAN'!$C$7:$C$1492,0),0)),0,OFFSET('HARGA SATUAN'!$I$6,MATCH(RAB!C150,'HARGA SATUAN'!$C$7:$C$1492,0),0))</f>
        <v>7938</v>
      </c>
      <c r="H150" s="284">
        <f t="shared" ca="1" si="11"/>
        <v>0</v>
      </c>
      <c r="I150" s="284">
        <f t="shared" ca="1" si="12"/>
        <v>31752</v>
      </c>
      <c r="J150" s="284">
        <f t="shared" ca="1" si="13"/>
        <v>0</v>
      </c>
      <c r="K150" s="285">
        <f t="shared" ca="1" si="14"/>
        <v>31752</v>
      </c>
      <c r="L150" s="290"/>
      <c r="M150" s="290"/>
      <c r="N150" s="290"/>
      <c r="O150" s="286"/>
      <c r="P150" s="286"/>
      <c r="Q150" s="267"/>
      <c r="R150" s="259"/>
      <c r="S150" s="287"/>
      <c r="T150" s="264"/>
      <c r="U150" s="264"/>
      <c r="V150" s="264"/>
    </row>
    <row r="151" spans="1:22" s="291" customFormat="1">
      <c r="A151" s="259"/>
      <c r="B151" s="714">
        <v>4</v>
      </c>
      <c r="C151" s="713" t="s">
        <v>156</v>
      </c>
      <c r="D151" s="281" t="str">
        <f ca="1">IF(ISERROR(OFFSET('HARGA SATUAN'!$D$6,MATCH(RAB!C151,'HARGA SATUAN'!$C$7:$C$1492,0),0)),"",OFFSET('HARGA SATUAN'!$D$6,MATCH(RAB!C151,'HARGA SATUAN'!$C$7:$C$1492,0),0))</f>
        <v>HDW</v>
      </c>
      <c r="E151" s="282" t="str">
        <f ca="1">IF(B151="+","Unit",IF(ISERROR(OFFSET('HARGA SATUAN'!$E$6,MATCH(RAB!C151,'HARGA SATUAN'!$C$7:$C$1492,0),0)),"",OFFSET('HARGA SATUAN'!$E$6,MATCH(RAB!C151,'HARGA SATUAN'!$C$7:$C$1492,0),0)))</f>
        <v>Bh</v>
      </c>
      <c r="F151" s="711">
        <f>F147*10</f>
        <v>10</v>
      </c>
      <c r="G151" s="283">
        <f ca="1">IF(ISERROR(OFFSET('HARGA SATUAN'!$I$6,MATCH(RAB!C151,'HARGA SATUAN'!$C$7:$C$1492,0),0)),0,OFFSET('HARGA SATUAN'!$I$6,MATCH(RAB!C151,'HARGA SATUAN'!$C$7:$C$1492,0),0))</f>
        <v>26500</v>
      </c>
      <c r="H151" s="284"/>
      <c r="I151" s="284"/>
      <c r="J151" s="284"/>
      <c r="K151" s="285"/>
      <c r="L151" s="290"/>
      <c r="M151" s="290"/>
      <c r="N151" s="290"/>
      <c r="O151" s="286"/>
      <c r="P151" s="286"/>
      <c r="Q151" s="267"/>
      <c r="R151" s="259"/>
      <c r="S151" s="287"/>
      <c r="T151" s="264"/>
      <c r="U151" s="264"/>
      <c r="V151" s="264"/>
    </row>
    <row r="152" spans="1:22" s="291" customFormat="1">
      <c r="A152" s="259">
        <f>IF(AND(C136=0,C139=0,C140=0),"BLANKS",1)</f>
        <v>1</v>
      </c>
      <c r="B152" s="714">
        <v>5</v>
      </c>
      <c r="C152" s="718" t="s">
        <v>582</v>
      </c>
      <c r="D152" s="281" t="str">
        <f ca="1">IF(ISERROR(OFFSET('HARGA SATUAN'!$D$6,MATCH(RAB!C152,'HARGA SATUAN'!$C$7:$C$1492,0),0)),"",OFFSET('HARGA SATUAN'!$D$6,MATCH(RAB!C152,'HARGA SATUAN'!$C$7:$C$1492,0),0))</f>
        <v>HDW</v>
      </c>
      <c r="E152" s="282" t="str">
        <f ca="1">IF(B152="+","Unit",IF(ISERROR(OFFSET('HARGA SATUAN'!$E$6,MATCH(RAB!C152,'HARGA SATUAN'!$C$7:$C$1492,0),0)),"",OFFSET('HARGA SATUAN'!$E$6,MATCH(RAB!C152,'HARGA SATUAN'!$C$7:$C$1492,0),0)))</f>
        <v>Bh</v>
      </c>
      <c r="F152" s="711">
        <f>F147*1</f>
        <v>1</v>
      </c>
      <c r="G152" s="283">
        <f ca="1">IF(ISERROR(OFFSET('HARGA SATUAN'!$I$6,MATCH(RAB!C152,'HARGA SATUAN'!$C$7:$C$1492,0),0)),0,OFFSET('HARGA SATUAN'!$I$6,MATCH(RAB!C152,'HARGA SATUAN'!$C$7:$C$1492,0),0))</f>
        <v>283100</v>
      </c>
      <c r="H152" s="284">
        <f t="shared" ref="H152:H153" ca="1" si="79">IF(OR(D152="MDU",D152="MDU-KD"),(IF($O$3="RAB NON MDU","PLN KD",G152*F152)),0)</f>
        <v>0</v>
      </c>
      <c r="I152" s="284">
        <f t="shared" ref="I152:I153" ca="1" si="80">IF(D152="HDW",G152*F152,0)</f>
        <v>283100</v>
      </c>
      <c r="J152" s="284">
        <f t="shared" ref="J152:J153" ca="1" si="81">IF(D152="JASA",G152*F152,0)</f>
        <v>0</v>
      </c>
      <c r="K152" s="285">
        <f t="shared" ref="K152:K153" ca="1" si="82">SUM(H152:J152)</f>
        <v>283100</v>
      </c>
      <c r="L152" s="290"/>
      <c r="M152" s="290"/>
      <c r="N152" s="290"/>
      <c r="O152" s="286"/>
      <c r="P152" s="286"/>
      <c r="Q152" s="267"/>
      <c r="R152" s="259"/>
      <c r="S152" s="287"/>
      <c r="T152" s="264"/>
      <c r="U152" s="264"/>
      <c r="V152" s="264"/>
    </row>
    <row r="153" spans="1:22" s="291" customFormat="1">
      <c r="A153" s="259" t="e">
        <f>IF(AND(C137=0,#REF!=0,#REF!=0),"BLANKS",1)</f>
        <v>#REF!</v>
      </c>
      <c r="B153" s="714">
        <v>6</v>
      </c>
      <c r="C153" s="718" t="s">
        <v>583</v>
      </c>
      <c r="D153" s="281" t="str">
        <f ca="1">IF(ISERROR(OFFSET('HARGA SATUAN'!$D$6,MATCH(RAB!C153,'HARGA SATUAN'!$C$7:$C$1492,0),0)),"",OFFSET('HARGA SATUAN'!$D$6,MATCH(RAB!C153,'HARGA SATUAN'!$C$7:$C$1492,0),0))</f>
        <v>HDW</v>
      </c>
      <c r="E153" s="282" t="str">
        <f ca="1">IF(B153="+","Unit",IF(ISERROR(OFFSET('HARGA SATUAN'!$E$6,MATCH(RAB!C153,'HARGA SATUAN'!$C$7:$C$1492,0),0)),"",OFFSET('HARGA SATUAN'!$E$6,MATCH(RAB!C153,'HARGA SATUAN'!$C$7:$C$1492,0),0)))</f>
        <v>Bh</v>
      </c>
      <c r="F153" s="711">
        <f>F147*1</f>
        <v>1</v>
      </c>
      <c r="G153" s="283">
        <f ca="1">IF(ISERROR(OFFSET('HARGA SATUAN'!$I$6,MATCH(RAB!C153,'HARGA SATUAN'!$C$7:$C$1492,0),0)),0,OFFSET('HARGA SATUAN'!$I$6,MATCH(RAB!C153,'HARGA SATUAN'!$C$7:$C$1492,0),0))</f>
        <v>380500</v>
      </c>
      <c r="H153" s="284">
        <f t="shared" ca="1" si="79"/>
        <v>0</v>
      </c>
      <c r="I153" s="284">
        <f t="shared" ca="1" si="80"/>
        <v>380500</v>
      </c>
      <c r="J153" s="284">
        <f t="shared" ca="1" si="81"/>
        <v>0</v>
      </c>
      <c r="K153" s="285">
        <f t="shared" ca="1" si="82"/>
        <v>380500</v>
      </c>
      <c r="L153" s="290"/>
      <c r="M153" s="290"/>
      <c r="N153" s="290"/>
      <c r="O153" s="286"/>
      <c r="P153" s="286"/>
      <c r="Q153" s="267"/>
      <c r="R153" s="259"/>
      <c r="S153" s="287"/>
      <c r="T153" s="264"/>
      <c r="U153" s="264"/>
      <c r="V153" s="264"/>
    </row>
    <row r="154" spans="1:22" s="291" customFormat="1">
      <c r="A154" s="259" t="e">
        <f>IF(AND(C138=0,#REF!=0,#REF!=0),"BLANKS",1)</f>
        <v>#REF!</v>
      </c>
      <c r="B154" s="714">
        <v>7</v>
      </c>
      <c r="C154" s="718" t="s">
        <v>220</v>
      </c>
      <c r="D154" s="281" t="str">
        <f ca="1">IF(ISERROR(OFFSET('HARGA SATUAN'!$D$6,MATCH(RAB!C154,'HARGA SATUAN'!$C$7:$C$1492,0),0)),"",OFFSET('HARGA SATUAN'!$D$6,MATCH(RAB!C154,'HARGA SATUAN'!$C$7:$C$1492,0),0))</f>
        <v>HDW</v>
      </c>
      <c r="E154" s="282" t="str">
        <f ca="1">IF(B154="+","Unit",IF(ISERROR(OFFSET('HARGA SATUAN'!$E$6,MATCH(RAB!C154,'HARGA SATUAN'!$C$7:$C$1492,0),0)),"",OFFSET('HARGA SATUAN'!$E$6,MATCH(RAB!C154,'HARGA SATUAN'!$C$7:$C$1492,0),0)))</f>
        <v>Bh</v>
      </c>
      <c r="F154" s="711">
        <f>F147*(3*3)</f>
        <v>9</v>
      </c>
      <c r="G154" s="283">
        <f ca="1">IF(ISERROR(OFFSET('HARGA SATUAN'!$I$6,MATCH(RAB!C154,'HARGA SATUAN'!$C$7:$C$1492,0),0)),0,OFFSET('HARGA SATUAN'!$I$6,MATCH(RAB!C154,'HARGA SATUAN'!$C$7:$C$1492,0),0))</f>
        <v>32500</v>
      </c>
      <c r="H154" s="284">
        <f t="shared" ref="H154:H165" ca="1" si="83">IF(OR(D154="MDU",D154="MDU-KD"),(IF($O$3="RAB NON MDU","PLN KD",G154*F154)),0)</f>
        <v>0</v>
      </c>
      <c r="I154" s="284">
        <f t="shared" ref="I154:I165" ca="1" si="84">IF(D154="HDW",G154*F154,0)</f>
        <v>292500</v>
      </c>
      <c r="J154" s="284">
        <f t="shared" ref="J154:J165" ca="1" si="85">IF(D154="JASA",G154*F154,0)</f>
        <v>0</v>
      </c>
      <c r="K154" s="285">
        <f t="shared" ref="K154:K165" ca="1" si="86">SUM(H154:J154)</f>
        <v>292500</v>
      </c>
      <c r="L154" s="290"/>
      <c r="M154" s="290"/>
      <c r="N154" s="290"/>
      <c r="O154" s="286"/>
      <c r="P154" s="286"/>
      <c r="Q154" s="267"/>
      <c r="R154" s="259"/>
      <c r="S154" s="287"/>
      <c r="T154" s="264"/>
      <c r="U154" s="264"/>
      <c r="V154" s="264"/>
    </row>
    <row r="155" spans="1:22" s="291" customFormat="1">
      <c r="A155" s="259" t="e">
        <f>IF(AND(C139=0,C140=0,#REF!=0),"BLANKS",1)</f>
        <v>#REF!</v>
      </c>
      <c r="B155" s="714">
        <v>8</v>
      </c>
      <c r="C155" s="718" t="s">
        <v>27</v>
      </c>
      <c r="D155" s="281" t="str">
        <f ca="1">IF(ISERROR(OFFSET('HARGA SATUAN'!$D$6,MATCH(RAB!C155,'HARGA SATUAN'!$C$7:$C$1492,0),0)),"",OFFSET('HARGA SATUAN'!$D$6,MATCH(RAB!C155,'HARGA SATUAN'!$C$7:$C$1492,0),0))</f>
        <v>HDW</v>
      </c>
      <c r="E155" s="282" t="str">
        <f ca="1">IF(B155="+","Unit",IF(ISERROR(OFFSET('HARGA SATUAN'!$E$6,MATCH(RAB!C155,'HARGA SATUAN'!$C$7:$C$1492,0),0)),"",OFFSET('HARGA SATUAN'!$E$6,MATCH(RAB!C155,'HARGA SATUAN'!$C$7:$C$1492,0),0)))</f>
        <v>Bh</v>
      </c>
      <c r="F155" s="711">
        <f>F147*1</f>
        <v>1</v>
      </c>
      <c r="G155" s="283">
        <f ca="1">IF(ISERROR(OFFSET('HARGA SATUAN'!$I$6,MATCH(RAB!C155,'HARGA SATUAN'!$C$7:$C$1492,0),0)),0,OFFSET('HARGA SATUAN'!$I$6,MATCH(RAB!C155,'HARGA SATUAN'!$C$7:$C$1492,0),0))</f>
        <v>63500</v>
      </c>
      <c r="H155" s="284">
        <f t="shared" ca="1" si="83"/>
        <v>0</v>
      </c>
      <c r="I155" s="284">
        <f t="shared" ca="1" si="84"/>
        <v>63500</v>
      </c>
      <c r="J155" s="284">
        <f t="shared" ca="1" si="85"/>
        <v>0</v>
      </c>
      <c r="K155" s="285">
        <f t="shared" ca="1" si="86"/>
        <v>63500</v>
      </c>
      <c r="L155" s="290"/>
      <c r="M155" s="290"/>
      <c r="N155" s="290"/>
      <c r="O155" s="286"/>
      <c r="P155" s="286"/>
      <c r="Q155" s="267"/>
      <c r="R155" s="259"/>
      <c r="S155" s="287"/>
      <c r="T155" s="264"/>
      <c r="U155" s="264"/>
      <c r="V155" s="264"/>
    </row>
    <row r="156" spans="1:22" s="291" customFormat="1">
      <c r="A156" s="259" t="e">
        <f>IF(AND(C140=0,#REF!=0,#REF!=0),"BLANKS",1)</f>
        <v>#REF!</v>
      </c>
      <c r="B156" s="714">
        <v>9</v>
      </c>
      <c r="C156" s="718" t="s">
        <v>224</v>
      </c>
      <c r="D156" s="281" t="str">
        <f ca="1">IF(ISERROR(OFFSET('HARGA SATUAN'!$D$6,MATCH(RAB!C156,'HARGA SATUAN'!$C$7:$C$1492,0),0)),"",OFFSET('HARGA SATUAN'!$D$6,MATCH(RAB!C156,'HARGA SATUAN'!$C$7:$C$1492,0),0))</f>
        <v>HDW</v>
      </c>
      <c r="E156" s="282" t="str">
        <f ca="1">IF(B156="+","Unit",IF(ISERROR(OFFSET('HARGA SATUAN'!$E$6,MATCH(RAB!C156,'HARGA SATUAN'!$C$7:$C$1492,0),0)),"",OFFSET('HARGA SATUAN'!$E$6,MATCH(RAB!C156,'HARGA SATUAN'!$C$7:$C$1492,0),0)))</f>
        <v>Bh</v>
      </c>
      <c r="F156" s="711">
        <f>F147*2</f>
        <v>2</v>
      </c>
      <c r="G156" s="283">
        <f ca="1">IF(ISERROR(OFFSET('HARGA SATUAN'!$I$6,MATCH(RAB!C156,'HARGA SATUAN'!$C$7:$C$1492,0),0)),0,OFFSET('HARGA SATUAN'!$I$6,MATCH(RAB!C156,'HARGA SATUAN'!$C$7:$C$1492,0),0))</f>
        <v>67500</v>
      </c>
      <c r="H156" s="284">
        <f t="shared" ca="1" si="83"/>
        <v>0</v>
      </c>
      <c r="I156" s="284">
        <f t="shared" ca="1" si="84"/>
        <v>135000</v>
      </c>
      <c r="J156" s="284">
        <f t="shared" ca="1" si="85"/>
        <v>0</v>
      </c>
      <c r="K156" s="285">
        <f t="shared" ca="1" si="86"/>
        <v>135000</v>
      </c>
      <c r="L156" s="290"/>
      <c r="M156" s="290"/>
      <c r="N156" s="290"/>
      <c r="O156" s="286"/>
      <c r="P156" s="286"/>
      <c r="Q156" s="267"/>
      <c r="R156" s="259"/>
      <c r="S156" s="287"/>
      <c r="T156" s="264"/>
      <c r="U156" s="264"/>
      <c r="V156" s="264"/>
    </row>
    <row r="157" spans="1:22" s="291" customFormat="1">
      <c r="A157" s="259"/>
      <c r="B157" s="714">
        <v>10</v>
      </c>
      <c r="C157" s="718" t="s">
        <v>1018</v>
      </c>
      <c r="D157" s="281" t="str">
        <f ca="1">IF(ISERROR(OFFSET('HARGA SATUAN'!$D$6,MATCH(RAB!C157,'HARGA SATUAN'!$C$7:$C$1492,0),0)),"",OFFSET('HARGA SATUAN'!$D$6,MATCH(RAB!C157,'HARGA SATUAN'!$C$7:$C$1492,0),0))</f>
        <v>HDW</v>
      </c>
      <c r="E157" s="282" t="str">
        <f ca="1">IF(B157="+","Unit",IF(ISERROR(OFFSET('HARGA SATUAN'!$E$6,MATCH(RAB!C157,'HARGA SATUAN'!$C$7:$C$1492,0),0)),"",OFFSET('HARGA SATUAN'!$E$6,MATCH(RAB!C157,'HARGA SATUAN'!$C$7:$C$1492,0),0)))</f>
        <v>Bh</v>
      </c>
      <c r="F157" s="711">
        <f>F147*2</f>
        <v>2</v>
      </c>
      <c r="G157" s="283">
        <f ca="1">IF(ISERROR(OFFSET('HARGA SATUAN'!$I$6,MATCH(RAB!C157,'HARGA SATUAN'!$C$7:$C$1492,0),0)),0,OFFSET('HARGA SATUAN'!$I$6,MATCH(RAB!C157,'HARGA SATUAN'!$C$7:$C$1492,0),0))</f>
        <v>79056</v>
      </c>
      <c r="H157" s="284">
        <f t="shared" ca="1" si="83"/>
        <v>0</v>
      </c>
      <c r="I157" s="284">
        <f t="shared" ca="1" si="84"/>
        <v>158112</v>
      </c>
      <c r="J157" s="284">
        <f t="shared" ca="1" si="85"/>
        <v>0</v>
      </c>
      <c r="K157" s="285">
        <f t="shared" ca="1" si="86"/>
        <v>158112</v>
      </c>
      <c r="L157" s="290"/>
      <c r="M157" s="290"/>
      <c r="N157" s="290"/>
      <c r="O157" s="286"/>
      <c r="P157" s="286"/>
      <c r="Q157" s="267"/>
      <c r="R157" s="259"/>
      <c r="S157" s="287"/>
      <c r="T157" s="264"/>
      <c r="U157" s="264"/>
      <c r="V157" s="264"/>
    </row>
    <row r="158" spans="1:22" s="291" customFormat="1">
      <c r="A158" s="259">
        <f>IF(AND(C142=0,C143=0,C144=0),"BLANKS",1)</f>
        <v>1</v>
      </c>
      <c r="B158" s="714">
        <v>11</v>
      </c>
      <c r="C158" s="718" t="s">
        <v>1019</v>
      </c>
      <c r="D158" s="281" t="str">
        <f ca="1">IF(ISERROR(OFFSET('HARGA SATUAN'!$D$6,MATCH(RAB!C158,'HARGA SATUAN'!$C$7:$C$1492,0),0)),"",OFFSET('HARGA SATUAN'!$D$6,MATCH(RAB!C158,'HARGA SATUAN'!$C$7:$C$1492,0),0))</f>
        <v>HDW</v>
      </c>
      <c r="E158" s="282" t="str">
        <f ca="1">IF(B158="+","Unit",IF(ISERROR(OFFSET('HARGA SATUAN'!$E$6,MATCH(RAB!C158,'HARGA SATUAN'!$C$7:$C$1492,0),0)),"",OFFSET('HARGA SATUAN'!$E$6,MATCH(RAB!C158,'HARGA SATUAN'!$C$7:$C$1492,0),0)))</f>
        <v>Bh</v>
      </c>
      <c r="F158" s="711">
        <f>F147*1</f>
        <v>1</v>
      </c>
      <c r="G158" s="283">
        <f ca="1">IF(ISERROR(OFFSET('HARGA SATUAN'!$I$6,MATCH(RAB!C158,'HARGA SATUAN'!$C$7:$C$1492,0),0)),0,OFFSET('HARGA SATUAN'!$I$6,MATCH(RAB!C158,'HARGA SATUAN'!$C$7:$C$1492,0),0))</f>
        <v>81984</v>
      </c>
      <c r="H158" s="284">
        <f t="shared" ca="1" si="83"/>
        <v>0</v>
      </c>
      <c r="I158" s="284">
        <f t="shared" ca="1" si="84"/>
        <v>81984</v>
      </c>
      <c r="J158" s="284">
        <f t="shared" ca="1" si="85"/>
        <v>0</v>
      </c>
      <c r="K158" s="285">
        <f t="shared" ca="1" si="86"/>
        <v>81984</v>
      </c>
      <c r="L158" s="290"/>
      <c r="M158" s="290"/>
      <c r="N158" s="290"/>
      <c r="O158" s="286"/>
      <c r="P158" s="286"/>
      <c r="Q158" s="267"/>
      <c r="R158" s="259"/>
      <c r="S158" s="287"/>
      <c r="T158" s="264"/>
      <c r="U158" s="264"/>
      <c r="V158" s="264"/>
    </row>
    <row r="159" spans="1:22" s="291" customFormat="1">
      <c r="A159" s="259">
        <f>IF(AND(C143=0,C144=0,C145=0),"BLANKS",1)</f>
        <v>1</v>
      </c>
      <c r="B159" s="714">
        <v>12</v>
      </c>
      <c r="C159" s="718" t="s">
        <v>1020</v>
      </c>
      <c r="D159" s="281" t="str">
        <f ca="1">IF(ISERROR(OFFSET('HARGA SATUAN'!$D$6,MATCH(RAB!C159,'HARGA SATUAN'!$C$7:$C$1492,0),0)),"",OFFSET('HARGA SATUAN'!$D$6,MATCH(RAB!C159,'HARGA SATUAN'!$C$7:$C$1492,0),0))</f>
        <v>HDW</v>
      </c>
      <c r="E159" s="282" t="str">
        <f ca="1">IF(B159="+","Unit",IF(ISERROR(OFFSET('HARGA SATUAN'!$E$6,MATCH(RAB!C159,'HARGA SATUAN'!$C$7:$C$1492,0),0)),"",OFFSET('HARGA SATUAN'!$E$6,MATCH(RAB!C159,'HARGA SATUAN'!$C$7:$C$1492,0),0)))</f>
        <v>Bh</v>
      </c>
      <c r="F159" s="711">
        <f>F147*2</f>
        <v>2</v>
      </c>
      <c r="G159" s="283">
        <f ca="1">IF(ISERROR(OFFSET('HARGA SATUAN'!$I$6,MATCH(RAB!C159,'HARGA SATUAN'!$C$7:$C$1492,0),0)),0,OFFSET('HARGA SATUAN'!$I$6,MATCH(RAB!C159,'HARGA SATUAN'!$C$7:$C$1492,0),0))</f>
        <v>7320</v>
      </c>
      <c r="H159" s="284">
        <f t="shared" ca="1" si="83"/>
        <v>0</v>
      </c>
      <c r="I159" s="284">
        <f t="shared" ca="1" si="84"/>
        <v>14640</v>
      </c>
      <c r="J159" s="284">
        <f t="shared" ca="1" si="85"/>
        <v>0</v>
      </c>
      <c r="K159" s="285">
        <f t="shared" ca="1" si="86"/>
        <v>14640</v>
      </c>
      <c r="L159" s="290"/>
      <c r="M159" s="290"/>
      <c r="N159" s="290"/>
      <c r="O159" s="286"/>
      <c r="P159" s="286"/>
      <c r="Q159" s="267"/>
      <c r="R159" s="259"/>
      <c r="S159" s="287"/>
      <c r="T159" s="264"/>
      <c r="U159" s="264"/>
      <c r="V159" s="264"/>
    </row>
    <row r="160" spans="1:22" s="291" customFormat="1">
      <c r="A160" s="259">
        <f>IF(AND(C144=0,C145=0,C162=0),"BLANKS",1)</f>
        <v>1</v>
      </c>
      <c r="B160" s="714">
        <v>13</v>
      </c>
      <c r="C160" s="718" t="s">
        <v>1021</v>
      </c>
      <c r="D160" s="281" t="str">
        <f ca="1">IF(ISERROR(OFFSET('HARGA SATUAN'!$D$6,MATCH(RAB!C160,'HARGA SATUAN'!$C$7:$C$1492,0),0)),"",OFFSET('HARGA SATUAN'!$D$6,MATCH(RAB!C160,'HARGA SATUAN'!$C$7:$C$1492,0),0))</f>
        <v>HDW</v>
      </c>
      <c r="E160" s="282" t="str">
        <f ca="1">IF(B160="+","Unit",IF(ISERROR(OFFSET('HARGA SATUAN'!$E$6,MATCH(RAB!C160,'HARGA SATUAN'!$C$7:$C$1492,0),0)),"",OFFSET('HARGA SATUAN'!$E$6,MATCH(RAB!C160,'HARGA SATUAN'!$C$7:$C$1492,0),0)))</f>
        <v>Bh</v>
      </c>
      <c r="F160" s="711">
        <f>F147*1</f>
        <v>1</v>
      </c>
      <c r="G160" s="283">
        <f ca="1">IF(ISERROR(OFFSET('HARGA SATUAN'!$I$6,MATCH(RAB!C160,'HARGA SATUAN'!$C$7:$C$1492,0),0)),0,OFFSET('HARGA SATUAN'!$I$6,MATCH(RAB!C160,'HARGA SATUAN'!$C$7:$C$1492,0),0))</f>
        <v>8784</v>
      </c>
      <c r="H160" s="284">
        <f t="shared" ca="1" si="83"/>
        <v>0</v>
      </c>
      <c r="I160" s="284">
        <f t="shared" ca="1" si="84"/>
        <v>8784</v>
      </c>
      <c r="J160" s="284">
        <f t="shared" ca="1" si="85"/>
        <v>0</v>
      </c>
      <c r="K160" s="285">
        <f t="shared" ca="1" si="86"/>
        <v>8784</v>
      </c>
      <c r="L160" s="290"/>
      <c r="M160" s="290"/>
      <c r="N160" s="290"/>
      <c r="O160" s="286"/>
      <c r="P160" s="286"/>
      <c r="Q160" s="267"/>
      <c r="R160" s="259"/>
      <c r="S160" s="287"/>
      <c r="T160" s="264"/>
      <c r="U160" s="264"/>
      <c r="V160" s="264"/>
    </row>
    <row r="161" spans="1:22" s="291" customFormat="1">
      <c r="A161" s="259" t="e">
        <f>IF(AND(C145=0,C162=0,#REF!=0),"BLANKS",1)</f>
        <v>#REF!</v>
      </c>
      <c r="B161" s="714">
        <v>14</v>
      </c>
      <c r="C161" s="718" t="s">
        <v>1022</v>
      </c>
      <c r="D161" s="281" t="str">
        <f ca="1">IF(ISERROR(OFFSET('HARGA SATUAN'!$D$6,MATCH(RAB!C161,'HARGA SATUAN'!$C$7:$C$1492,0),0)),"",OFFSET('HARGA SATUAN'!$D$6,MATCH(RAB!C161,'HARGA SATUAN'!$C$7:$C$1492,0),0))</f>
        <v>HDW</v>
      </c>
      <c r="E161" s="282" t="str">
        <f ca="1">IF(B161="+","Unit",IF(ISERROR(OFFSET('HARGA SATUAN'!$E$6,MATCH(RAB!C161,'HARGA SATUAN'!$C$7:$C$1492,0),0)),"",OFFSET('HARGA SATUAN'!$E$6,MATCH(RAB!C161,'HARGA SATUAN'!$C$7:$C$1492,0),0)))</f>
        <v>Bh</v>
      </c>
      <c r="F161" s="711">
        <f>F147*(2*1.5)</f>
        <v>3</v>
      </c>
      <c r="G161" s="283">
        <f ca="1">IF(ISERROR(OFFSET('HARGA SATUAN'!$I$6,MATCH(RAB!C161,'HARGA SATUAN'!$C$7:$C$1492,0),0)),0,OFFSET('HARGA SATUAN'!$I$6,MATCH(RAB!C161,'HARGA SATUAN'!$C$7:$C$1492,0),0))</f>
        <v>52704</v>
      </c>
      <c r="H161" s="284">
        <f t="shared" ca="1" si="83"/>
        <v>0</v>
      </c>
      <c r="I161" s="284">
        <f t="shared" ca="1" si="84"/>
        <v>158112</v>
      </c>
      <c r="J161" s="284">
        <f t="shared" ca="1" si="85"/>
        <v>0</v>
      </c>
      <c r="K161" s="285">
        <f t="shared" ca="1" si="86"/>
        <v>158112</v>
      </c>
      <c r="L161" s="290"/>
      <c r="M161" s="290"/>
      <c r="N161" s="290"/>
      <c r="O161" s="286"/>
      <c r="P161" s="286"/>
      <c r="Q161" s="267"/>
      <c r="R161" s="259"/>
      <c r="S161" s="287"/>
      <c r="T161" s="264"/>
      <c r="U161" s="264"/>
      <c r="V161" s="264"/>
    </row>
    <row r="162" spans="1:22" s="291" customFormat="1">
      <c r="A162" s="259" t="e">
        <f>IF(AND(C162=0,#REF!=0,#REF!=0),"BLANKS",1)</f>
        <v>#REF!</v>
      </c>
      <c r="B162" s="714">
        <v>15</v>
      </c>
      <c r="C162" s="718" t="s">
        <v>1023</v>
      </c>
      <c r="D162" s="281" t="str">
        <f ca="1">IF(ISERROR(OFFSET('HARGA SATUAN'!$D$6,MATCH(RAB!C162,'HARGA SATUAN'!$C$7:$C$1492,0),0)),"",OFFSET('HARGA SATUAN'!$D$6,MATCH(RAB!C162,'HARGA SATUAN'!$C$7:$C$1492,0),0))</f>
        <v>HDW</v>
      </c>
      <c r="E162" s="282" t="str">
        <f ca="1">IF(B162="+","Unit",IF(ISERROR(OFFSET('HARGA SATUAN'!$E$6,MATCH(RAB!C162,'HARGA SATUAN'!$C$7:$C$1492,0),0)),"",OFFSET('HARGA SATUAN'!$E$6,MATCH(RAB!C162,'HARGA SATUAN'!$C$7:$C$1492,0),0)))</f>
        <v>Bh</v>
      </c>
      <c r="F162" s="711">
        <f>F147*1.5</f>
        <v>1.5</v>
      </c>
      <c r="G162" s="283">
        <f ca="1">IF(ISERROR(OFFSET('HARGA SATUAN'!$I$6,MATCH(RAB!C162,'HARGA SATUAN'!$C$7:$C$1492,0),0)),0,OFFSET('HARGA SATUAN'!$I$6,MATCH(RAB!C162,'HARGA SATUAN'!$C$7:$C$1492,0),0))</f>
        <v>67344</v>
      </c>
      <c r="H162" s="284">
        <f t="shared" ca="1" si="83"/>
        <v>0</v>
      </c>
      <c r="I162" s="284">
        <f t="shared" ca="1" si="84"/>
        <v>101016</v>
      </c>
      <c r="J162" s="284">
        <f t="shared" ca="1" si="85"/>
        <v>0</v>
      </c>
      <c r="K162" s="285">
        <f t="shared" ca="1" si="86"/>
        <v>101016</v>
      </c>
      <c r="L162" s="290"/>
      <c r="M162" s="290"/>
      <c r="N162" s="290"/>
      <c r="O162" s="286"/>
      <c r="P162" s="286"/>
      <c r="Q162" s="267"/>
      <c r="R162" s="259"/>
      <c r="S162" s="287"/>
      <c r="T162" s="264"/>
      <c r="U162" s="264"/>
      <c r="V162" s="264"/>
    </row>
    <row r="163" spans="1:22" s="291" customFormat="1">
      <c r="A163" s="259" t="e">
        <f>IF(AND(C163=0,C164=0,#REF!=0),"BLANKS",1)</f>
        <v>#REF!</v>
      </c>
      <c r="B163" s="714">
        <v>16</v>
      </c>
      <c r="C163" s="718" t="s">
        <v>1662</v>
      </c>
      <c r="D163" s="281" t="str">
        <f ca="1">IF(ISERROR(OFFSET('HARGA SATUAN'!$D$6,MATCH(RAB!C163,'HARGA SATUAN'!$C$7:$C$1492,0),0)),"",OFFSET('HARGA SATUAN'!$D$6,MATCH(RAB!C163,'HARGA SATUAN'!$C$7:$C$1492,0),0))</f>
        <v/>
      </c>
      <c r="E163" s="282" t="str">
        <f ca="1">IF(B163="+","Unit",IF(ISERROR(OFFSET('HARGA SATUAN'!$E$6,MATCH(RAB!C163,'HARGA SATUAN'!$C$7:$C$1492,0),0)),"",OFFSET('HARGA SATUAN'!$E$6,MATCH(RAB!C163,'HARGA SATUAN'!$C$7:$C$1492,0),0)))</f>
        <v/>
      </c>
      <c r="F163" s="711">
        <f>F147*16</f>
        <v>16</v>
      </c>
      <c r="G163" s="283">
        <f ca="1">IF(ISERROR(OFFSET('HARGA SATUAN'!$I$6,MATCH(RAB!C163,'HARGA SATUAN'!$C$7:$C$1492,0),0)),0,OFFSET('HARGA SATUAN'!$I$6,MATCH(RAB!C163,'HARGA SATUAN'!$C$7:$C$1492,0),0))</f>
        <v>0</v>
      </c>
      <c r="H163" s="284">
        <f t="shared" ca="1" si="83"/>
        <v>0</v>
      </c>
      <c r="I163" s="284">
        <f t="shared" ca="1" si="84"/>
        <v>0</v>
      </c>
      <c r="J163" s="284">
        <f t="shared" ca="1" si="85"/>
        <v>0</v>
      </c>
      <c r="K163" s="285">
        <f t="shared" ca="1" si="86"/>
        <v>0</v>
      </c>
      <c r="L163" s="290"/>
      <c r="M163" s="290"/>
      <c r="N163" s="290"/>
      <c r="O163" s="286"/>
      <c r="P163" s="286"/>
      <c r="Q163" s="267"/>
      <c r="R163" s="259"/>
      <c r="S163" s="287"/>
      <c r="T163" s="264"/>
      <c r="U163" s="264"/>
      <c r="V163" s="264"/>
    </row>
    <row r="164" spans="1:22" s="291" customFormat="1">
      <c r="A164" s="259" t="e">
        <f>IF(AND(C164=0,#REF!=0,#REF!=0),"BLANKS",1)</f>
        <v>#REF!</v>
      </c>
      <c r="B164" s="714">
        <v>17</v>
      </c>
      <c r="C164" s="718" t="s">
        <v>174</v>
      </c>
      <c r="D164" s="281" t="str">
        <f ca="1">IF(ISERROR(OFFSET('HARGA SATUAN'!$D$6,MATCH(RAB!C164,'HARGA SATUAN'!$C$7:$C$1492,0),0)),"",OFFSET('HARGA SATUAN'!$D$6,MATCH(RAB!C164,'HARGA SATUAN'!$C$7:$C$1492,0),0))</f>
        <v>HDW</v>
      </c>
      <c r="E164" s="282" t="str">
        <f ca="1">IF(B164="+","Unit",IF(ISERROR(OFFSET('HARGA SATUAN'!$E$6,MATCH(RAB!C164,'HARGA SATUAN'!$C$7:$C$1492,0),0)),"",OFFSET('HARGA SATUAN'!$E$6,MATCH(RAB!C164,'HARGA SATUAN'!$C$7:$C$1492,0),0)))</f>
        <v>Bh</v>
      </c>
      <c r="F164" s="711">
        <f>F147*8</f>
        <v>8</v>
      </c>
      <c r="G164" s="283">
        <f ca="1">IF(ISERROR(OFFSET('HARGA SATUAN'!$I$6,MATCH(RAB!C164,'HARGA SATUAN'!$C$7:$C$1492,0),0)),0,OFFSET('HARGA SATUAN'!$I$6,MATCH(RAB!C164,'HARGA SATUAN'!$C$7:$C$1492,0),0))</f>
        <v>15900</v>
      </c>
      <c r="H164" s="284">
        <f t="shared" ca="1" si="83"/>
        <v>0</v>
      </c>
      <c r="I164" s="284">
        <f t="shared" ca="1" si="84"/>
        <v>127200</v>
      </c>
      <c r="J164" s="284">
        <f t="shared" ca="1" si="85"/>
        <v>0</v>
      </c>
      <c r="K164" s="285">
        <f t="shared" ca="1" si="86"/>
        <v>127200</v>
      </c>
      <c r="L164" s="290"/>
      <c r="M164" s="290"/>
      <c r="N164" s="290"/>
      <c r="O164" s="286"/>
      <c r="P164" s="286"/>
      <c r="Q164" s="267"/>
      <c r="R164" s="259"/>
      <c r="S164" s="287"/>
      <c r="T164" s="264"/>
      <c r="U164" s="264"/>
      <c r="V164" s="264"/>
    </row>
    <row r="165" spans="1:22" s="291" customFormat="1" ht="30">
      <c r="A165" s="259" t="b">
        <f ca="1">F165=G166</f>
        <v>0</v>
      </c>
      <c r="B165" s="714">
        <v>18</v>
      </c>
      <c r="C165" s="109" t="s">
        <v>1135</v>
      </c>
      <c r="D165" s="281" t="str">
        <f ca="1">IF(ISERROR(OFFSET('HARGA SATUAN'!$D$6,MATCH(RAB!C165,'HARGA SATUAN'!$C$7:$C$1492,0),0)),"",OFFSET('HARGA SATUAN'!$D$6,MATCH(RAB!C165,'HARGA SATUAN'!$C$7:$C$1492,0),0))</f>
        <v>JASA</v>
      </c>
      <c r="E165" s="282" t="str">
        <f ca="1">IF(B165="+","Unit",IF(ISERROR(OFFSET('HARGA SATUAN'!$E$6,MATCH(RAB!C165,'HARGA SATUAN'!$C$7:$C$1492,0),0)),"",OFFSET('HARGA SATUAN'!$E$6,MATCH(RAB!C165,'HARGA SATUAN'!$C$7:$C$1492,0),0)))</f>
        <v>Unit</v>
      </c>
      <c r="F165" s="711">
        <f>F147*1</f>
        <v>1</v>
      </c>
      <c r="G165" s="283">
        <f ca="1">IF(ISERROR(OFFSET('HARGA SATUAN'!$I$6,MATCH(RAB!C165,'HARGA SATUAN'!$C$7:$C$1492,0),0)),0,OFFSET('HARGA SATUAN'!$I$6,MATCH(RAB!C165,'HARGA SATUAN'!$C$7:$C$1492,0),0))</f>
        <v>614700</v>
      </c>
      <c r="H165" s="284">
        <f t="shared" ca="1" si="83"/>
        <v>0</v>
      </c>
      <c r="I165" s="284">
        <f t="shared" ca="1" si="84"/>
        <v>0</v>
      </c>
      <c r="J165" s="284">
        <f t="shared" ca="1" si="85"/>
        <v>614700</v>
      </c>
      <c r="K165" s="285">
        <f t="shared" ca="1" si="86"/>
        <v>614700</v>
      </c>
      <c r="L165" s="290"/>
      <c r="M165" s="290"/>
      <c r="N165" s="290"/>
      <c r="O165" s="286"/>
      <c r="P165" s="286"/>
      <c r="Q165" s="267"/>
      <c r="R165" s="259"/>
      <c r="S165" s="287"/>
      <c r="T165" s="264"/>
      <c r="U165" s="264"/>
      <c r="V165" s="264"/>
    </row>
    <row r="166" spans="1:22" s="291" customFormat="1">
      <c r="A166" s="259" t="e">
        <f>IF(AND(C166=0,#REF!=0,#REF!=0),"BLANKS",1)</f>
        <v>#REF!</v>
      </c>
      <c r="B166" s="502"/>
      <c r="C166" s="501"/>
      <c r="D166" s="281" t="str">
        <f ca="1">IF(ISERROR(OFFSET('HARGA SATUAN'!$D$6,MATCH(RAB!C166,'HARGA SATUAN'!$C$7:$C$1492,0),0)),"",OFFSET('HARGA SATUAN'!$D$6,MATCH(RAB!C166,'HARGA SATUAN'!$C$7:$C$1492,0),0))</f>
        <v/>
      </c>
      <c r="E166" s="282" t="str">
        <f ca="1">IF(B166="+","Unit",IF(ISERROR(OFFSET('HARGA SATUAN'!$E$6,MATCH(RAB!C166,'HARGA SATUAN'!$C$7:$C$1492,0),0)),"",OFFSET('HARGA SATUAN'!$E$6,MATCH(RAB!C166,'HARGA SATUAN'!$C$7:$C$1492,0),0)))</f>
        <v/>
      </c>
      <c r="F166" s="505"/>
      <c r="G166" s="283">
        <f ca="1">IF(ISERROR(OFFSET('HARGA SATUAN'!$I$6,MATCH(RAB!C166,'HARGA SATUAN'!$C$7:$C$1492,0),0)),0,OFFSET('HARGA SATUAN'!$I$6,MATCH(RAB!C166,'HARGA SATUAN'!$C$7:$C$1492,0),0))</f>
        <v>0</v>
      </c>
      <c r="H166" s="284">
        <f t="shared" ca="1" si="11"/>
        <v>0</v>
      </c>
      <c r="I166" s="284">
        <f t="shared" ca="1" si="12"/>
        <v>0</v>
      </c>
      <c r="J166" s="284">
        <f t="shared" ca="1" si="13"/>
        <v>0</v>
      </c>
      <c r="K166" s="285">
        <f t="shared" ca="1" si="14"/>
        <v>0</v>
      </c>
      <c r="L166" s="290"/>
      <c r="M166" s="290"/>
      <c r="N166" s="290"/>
      <c r="O166" s="286"/>
      <c r="P166" s="286"/>
      <c r="Q166" s="267"/>
      <c r="R166" s="259"/>
      <c r="S166" s="287"/>
      <c r="T166" s="264"/>
      <c r="U166" s="264"/>
      <c r="V166" s="264"/>
    </row>
    <row r="167" spans="1:22" s="291" customFormat="1" ht="30">
      <c r="A167" s="259" t="e">
        <f>IF(AND(C167=0,C168=0,#REF!=0),"BLANKS",1)</f>
        <v>#REF!</v>
      </c>
      <c r="B167" s="714" t="s">
        <v>1005</v>
      </c>
      <c r="C167" s="294" t="s">
        <v>113</v>
      </c>
      <c r="D167" s="281" t="str">
        <f ca="1">IF(ISERROR(OFFSET('HARGA SATUAN'!$D$6,MATCH(RAB!C167,'HARGA SATUAN'!$C$7:$C$1492,0),0)),"",OFFSET('HARGA SATUAN'!$D$6,MATCH(RAB!C167,'HARGA SATUAN'!$C$7:$C$1492,0),0))</f>
        <v>HDW</v>
      </c>
      <c r="E167" s="282" t="str">
        <f ca="1">IF(B167="+","Unit",IF(ISERROR(OFFSET('HARGA SATUAN'!$E$6,MATCH(RAB!C167,'HARGA SATUAN'!$C$7:$C$1492,0),0)),"",OFFSET('HARGA SATUAN'!$E$6,MATCH(RAB!C167,'HARGA SATUAN'!$C$7:$C$1492,0),0)))</f>
        <v>Unit</v>
      </c>
      <c r="F167" s="393">
        <v>16</v>
      </c>
      <c r="G167" s="283">
        <f ca="1">IF(ISERROR(OFFSET('HARGA SATUAN'!$I$6,MATCH(RAB!C167,'HARGA SATUAN'!$C$7:$C$1492,0),0)),0,OFFSET('HARGA SATUAN'!$I$6,MATCH(RAB!C167,'HARGA SATUAN'!$C$7:$C$1492,0),0))</f>
        <v>25000</v>
      </c>
      <c r="H167" s="284">
        <f t="shared" ca="1" si="11"/>
        <v>0</v>
      </c>
      <c r="I167" s="284">
        <f t="shared" ca="1" si="12"/>
        <v>400000</v>
      </c>
      <c r="J167" s="284">
        <f t="shared" ca="1" si="13"/>
        <v>0</v>
      </c>
      <c r="K167" s="285">
        <f t="shared" ca="1" si="14"/>
        <v>400000</v>
      </c>
      <c r="L167" s="290"/>
      <c r="M167" s="290"/>
      <c r="N167" s="290"/>
      <c r="O167" s="286"/>
      <c r="P167" s="286"/>
      <c r="Q167" s="267"/>
      <c r="R167" s="259"/>
      <c r="S167" s="287"/>
      <c r="T167" s="264"/>
      <c r="U167" s="264"/>
      <c r="V167" s="264"/>
    </row>
    <row r="168" spans="1:22" s="291" customFormat="1">
      <c r="A168" s="259" t="e">
        <f>IF(AND(C168=0,#REF!=0,#REF!=0),"BLANKS",1)</f>
        <v>#REF!</v>
      </c>
      <c r="B168" s="714" t="s">
        <v>1005</v>
      </c>
      <c r="C168" s="294" t="s">
        <v>173</v>
      </c>
      <c r="D168" s="281" t="str">
        <f ca="1">IF(ISERROR(OFFSET('HARGA SATUAN'!$D$6,MATCH(RAB!C168,'HARGA SATUAN'!$C$7:$C$1492,0),0)),"",OFFSET('HARGA SATUAN'!$D$6,MATCH(RAB!C168,'HARGA SATUAN'!$C$7:$C$1492,0),0))</f>
        <v>HDW</v>
      </c>
      <c r="E168" s="282" t="str">
        <f ca="1">IF(B168="+","Unit",IF(ISERROR(OFFSET('HARGA SATUAN'!$E$6,MATCH(RAB!C168,'HARGA SATUAN'!$C$7:$C$1492,0),0)),"",OFFSET('HARGA SATUAN'!$E$6,MATCH(RAB!C168,'HARGA SATUAN'!$C$7:$C$1492,0),0)))</f>
        <v>Unit</v>
      </c>
      <c r="F168" s="393">
        <v>1</v>
      </c>
      <c r="G168" s="283">
        <f ca="1">IF(ISERROR(OFFSET('HARGA SATUAN'!$I$6,MATCH(RAB!C168,'HARGA SATUAN'!$C$7:$C$1492,0),0)),0,OFFSET('HARGA SATUAN'!$I$6,MATCH(RAB!C168,'HARGA SATUAN'!$C$7:$C$1492,0),0))</f>
        <v>22500</v>
      </c>
      <c r="H168" s="284">
        <f t="shared" ca="1" si="11"/>
        <v>0</v>
      </c>
      <c r="I168" s="284">
        <f t="shared" ca="1" si="12"/>
        <v>22500</v>
      </c>
      <c r="J168" s="284">
        <f t="shared" ca="1" si="13"/>
        <v>0</v>
      </c>
      <c r="K168" s="285">
        <f t="shared" ca="1" si="14"/>
        <v>22500</v>
      </c>
      <c r="L168" s="290"/>
      <c r="M168" s="290"/>
      <c r="N168" s="290"/>
      <c r="O168" s="286"/>
      <c r="P168" s="286"/>
      <c r="Q168" s="267"/>
      <c r="R168" s="259"/>
      <c r="S168" s="287"/>
      <c r="T168" s="264"/>
      <c r="U168" s="264"/>
      <c r="V168" s="264"/>
    </row>
    <row r="169" spans="1:22" s="291" customFormat="1">
      <c r="A169" s="259"/>
      <c r="B169" s="714" t="s">
        <v>1005</v>
      </c>
      <c r="C169" s="294" t="s">
        <v>1127</v>
      </c>
      <c r="D169" s="281" t="str">
        <f ca="1">IF(ISERROR(OFFSET('HARGA SATUAN'!$D$6,MATCH(RAB!C169,'HARGA SATUAN'!$C$7:$C$1492,0),0)),"",OFFSET('HARGA SATUAN'!$D$6,MATCH(RAB!C169,'HARGA SATUAN'!$C$7:$C$1492,0),0))</f>
        <v>HDW</v>
      </c>
      <c r="E169" s="282" t="str">
        <f ca="1">IF(B169="+","Unit",IF(ISERROR(OFFSET('HARGA SATUAN'!$E$6,MATCH(RAB!C169,'HARGA SATUAN'!$C$7:$C$1492,0),0)),"",OFFSET('HARGA SATUAN'!$E$6,MATCH(RAB!C169,'HARGA SATUAN'!$C$7:$C$1492,0),0)))</f>
        <v>Unit</v>
      </c>
      <c r="F169" s="393">
        <v>3</v>
      </c>
      <c r="G169" s="283">
        <f ca="1">IF(ISERROR(OFFSET('HARGA SATUAN'!$I$6,MATCH(RAB!C169,'HARGA SATUAN'!$C$7:$C$1492,0),0)),0,OFFSET('HARGA SATUAN'!$I$6,MATCH(RAB!C169,'HARGA SATUAN'!$C$7:$C$1492,0),0))</f>
        <v>36500</v>
      </c>
      <c r="H169" s="284">
        <f t="shared" ca="1" si="11"/>
        <v>0</v>
      </c>
      <c r="I169" s="284">
        <f t="shared" ca="1" si="12"/>
        <v>109500</v>
      </c>
      <c r="J169" s="284">
        <f t="shared" ca="1" si="13"/>
        <v>0</v>
      </c>
      <c r="K169" s="285">
        <f t="shared" ca="1" si="14"/>
        <v>109500</v>
      </c>
      <c r="L169" s="290"/>
      <c r="M169" s="290"/>
      <c r="N169" s="290"/>
      <c r="O169" s="286"/>
      <c r="P169" s="286"/>
      <c r="Q169" s="267"/>
      <c r="R169" s="259"/>
      <c r="S169" s="287"/>
      <c r="T169" s="264"/>
      <c r="U169" s="264"/>
      <c r="V169" s="264"/>
    </row>
    <row r="170" spans="1:22" s="291" customFormat="1">
      <c r="A170" s="259" t="e">
        <f>IF(AND(C170=0,C171=0,#REF!=0),"BLANKS",1)</f>
        <v>#REF!</v>
      </c>
      <c r="B170" s="714"/>
      <c r="C170" s="109"/>
      <c r="D170" s="281" t="str">
        <f ca="1">IF(ISERROR(OFFSET('HARGA SATUAN'!$D$6,MATCH(RAB!C170,'HARGA SATUAN'!$C$7:$C$1492,0),0)),"",OFFSET('HARGA SATUAN'!$D$6,MATCH(RAB!C170,'HARGA SATUAN'!$C$7:$C$1492,0),0))</f>
        <v/>
      </c>
      <c r="E170" s="282" t="str">
        <f ca="1">IF(B170="+","Unit",IF(ISERROR(OFFSET('HARGA SATUAN'!$E$6,MATCH(RAB!C170,'HARGA SATUAN'!$C$7:$C$1492,0),0)),"",OFFSET('HARGA SATUAN'!$E$6,MATCH(RAB!C170,'HARGA SATUAN'!$C$7:$C$1492,0),0)))</f>
        <v/>
      </c>
      <c r="F170" s="393"/>
      <c r="G170" s="283">
        <f ca="1">IF(ISERROR(OFFSET('HARGA SATUAN'!$I$6,MATCH(RAB!C170,'HARGA SATUAN'!$C$7:$C$1492,0),0)),0,OFFSET('HARGA SATUAN'!$I$6,MATCH(RAB!C170,'HARGA SATUAN'!$C$7:$C$1492,0),0))</f>
        <v>0</v>
      </c>
      <c r="H170" s="284">
        <f t="shared" ca="1" si="11"/>
        <v>0</v>
      </c>
      <c r="I170" s="284">
        <f t="shared" ca="1" si="12"/>
        <v>0</v>
      </c>
      <c r="J170" s="284">
        <f t="shared" ca="1" si="13"/>
        <v>0</v>
      </c>
      <c r="K170" s="285">
        <f t="shared" ca="1" si="14"/>
        <v>0</v>
      </c>
      <c r="L170" s="290"/>
      <c r="M170" s="290"/>
      <c r="N170" s="290"/>
      <c r="O170" s="286"/>
      <c r="P170" s="286"/>
      <c r="Q170" s="267"/>
      <c r="R170" s="259"/>
      <c r="S170" s="287"/>
      <c r="T170" s="264"/>
      <c r="U170" s="264"/>
      <c r="V170" s="264"/>
    </row>
    <row r="171" spans="1:22" s="291" customFormat="1" ht="28.5">
      <c r="A171" s="259" t="e">
        <f>IF(AND(C171=0,#REF!=0,#REF!=0),"BLANKS",1)</f>
        <v>#REF!</v>
      </c>
      <c r="B171" s="395" t="s">
        <v>514</v>
      </c>
      <c r="C171" s="396" t="s">
        <v>1578</v>
      </c>
      <c r="D171" s="281" t="str">
        <f ca="1">IF(ISERROR(OFFSET('HARGA SATUAN'!$D$6,MATCH(RAB!C171,'HARGA SATUAN'!$C$7:$C$1492,0),0)),"",OFFSET('HARGA SATUAN'!$D$6,MATCH(RAB!C171,'HARGA SATUAN'!$C$7:$C$1492,0),0))</f>
        <v/>
      </c>
      <c r="E171" s="282" t="str">
        <f ca="1">IF(B171="+","Unit",IF(ISERROR(OFFSET('HARGA SATUAN'!$E$6,MATCH(RAB!C171,'HARGA SATUAN'!$C$7:$C$1492,0),0)),"",OFFSET('HARGA SATUAN'!$E$6,MATCH(RAB!C171,'HARGA SATUAN'!$C$7:$C$1492,0),0)))</f>
        <v/>
      </c>
      <c r="F171" s="393"/>
      <c r="G171" s="283">
        <f ca="1">IF(ISERROR(OFFSET('HARGA SATUAN'!$I$6,MATCH(RAB!C171,'HARGA SATUAN'!$C$7:$C$1492,0),0)),0,OFFSET('HARGA SATUAN'!$I$6,MATCH(RAB!C171,'HARGA SATUAN'!$C$7:$C$1492,0),0))</f>
        <v>0</v>
      </c>
      <c r="H171" s="284">
        <f t="shared" ca="1" si="11"/>
        <v>0</v>
      </c>
      <c r="I171" s="284">
        <f t="shared" ca="1" si="12"/>
        <v>0</v>
      </c>
      <c r="J171" s="284">
        <f t="shared" ca="1" si="13"/>
        <v>0</v>
      </c>
      <c r="K171" s="285">
        <f t="shared" ca="1" si="14"/>
        <v>0</v>
      </c>
      <c r="L171" s="290"/>
      <c r="M171" s="290"/>
      <c r="N171" s="290"/>
      <c r="O171" s="286"/>
      <c r="P171" s="286"/>
      <c r="Q171" s="267"/>
      <c r="R171" s="259"/>
      <c r="S171" s="287"/>
      <c r="T171" s="264"/>
      <c r="U171" s="264"/>
      <c r="V171" s="264"/>
    </row>
    <row r="172" spans="1:22" s="291" customFormat="1">
      <c r="A172" s="259" t="s">
        <v>1413</v>
      </c>
      <c r="B172" s="293"/>
      <c r="C172" s="294"/>
      <c r="D172" s="281" t="str">
        <f ca="1">IF(ISERROR(OFFSET('HARGA SATUAN'!$D$6,MATCH(RAB!C172,'HARGA SATUAN'!$C$7:$C$1492,0),0)),"",OFFSET('HARGA SATUAN'!$D$6,MATCH(RAB!C172,'HARGA SATUAN'!$C$7:$C$1492,0),0))</f>
        <v/>
      </c>
      <c r="E172" s="282" t="str">
        <f ca="1">IF(B172="+","Unit",IF(ISERROR(OFFSET('HARGA SATUAN'!$E$6,MATCH(RAB!C172,'HARGA SATUAN'!$C$7:$C$1492,0),0)),"",OFFSET('HARGA SATUAN'!$E$6,MATCH(RAB!C172,'HARGA SATUAN'!$C$7:$C$1492,0),0)))</f>
        <v/>
      </c>
      <c r="F172" s="393"/>
      <c r="G172" s="283">
        <f ca="1">IF(ISERROR(OFFSET('HARGA SATUAN'!$I$6,MATCH(RAB!C172,'HARGA SATUAN'!$C$7:$C$1492,0),0)),0,OFFSET('HARGA SATUAN'!$I$6,MATCH(RAB!C172,'HARGA SATUAN'!$C$7:$C$1492,0),0))</f>
        <v>0</v>
      </c>
      <c r="H172" s="284">
        <f t="shared" ca="1" si="11"/>
        <v>0</v>
      </c>
      <c r="I172" s="284">
        <f t="shared" ca="1" si="12"/>
        <v>0</v>
      </c>
      <c r="J172" s="284">
        <f t="shared" ca="1" si="13"/>
        <v>0</v>
      </c>
      <c r="K172" s="285">
        <f t="shared" ca="1" si="14"/>
        <v>0</v>
      </c>
      <c r="L172" s="290"/>
      <c r="M172" s="290"/>
      <c r="N172" s="290"/>
      <c r="O172" s="286"/>
      <c r="P172" s="286"/>
      <c r="Q172" s="267"/>
      <c r="R172" s="259"/>
      <c r="S172" s="287"/>
      <c r="T172" s="264"/>
      <c r="U172" s="264"/>
      <c r="V172" s="264"/>
    </row>
    <row r="173" spans="1:22" s="291" customFormat="1">
      <c r="A173" s="259" t="e">
        <f>IF(AND(C173=0,#REF!=0,#REF!=0),"BLANKS",1)</f>
        <v>#REF!</v>
      </c>
      <c r="B173" s="293">
        <v>1</v>
      </c>
      <c r="C173" s="109" t="s">
        <v>1428</v>
      </c>
      <c r="D173" s="281" t="str">
        <f ca="1">IF(ISERROR(OFFSET('HARGA SATUAN'!$D$6,MATCH(RAB!C173,'HARGA SATUAN'!$C$7:$C$1492,0),0)),"",OFFSET('HARGA SATUAN'!$D$6,MATCH(RAB!C173,'HARGA SATUAN'!$C$7:$C$1492,0),0))</f>
        <v>MDU-KD</v>
      </c>
      <c r="E173" s="282" t="str">
        <f ca="1">IF(B173="+","Unit",IF(ISERROR(OFFSET('HARGA SATUAN'!$E$6,MATCH(RAB!C173,'HARGA SATUAN'!$C$7:$C$1492,0),0)),"",OFFSET('HARGA SATUAN'!$E$6,MATCH(RAB!C173,'HARGA SATUAN'!$C$7:$C$1492,0),0)))</f>
        <v>Mtr</v>
      </c>
      <c r="F173" s="393">
        <v>150</v>
      </c>
      <c r="G173" s="283">
        <f ca="1">IF(ISERROR(OFFSET('HARGA SATUAN'!$I$6,MATCH(RAB!C173,'HARGA SATUAN'!$C$7:$C$1492,0),0)),0,OFFSET('HARGA SATUAN'!$I$6,MATCH(RAB!C173,'HARGA SATUAN'!$C$7:$C$1492,0),0))</f>
        <v>54500</v>
      </c>
      <c r="H173" s="284">
        <f t="shared" ca="1" si="11"/>
        <v>8175000</v>
      </c>
      <c r="I173" s="284">
        <f t="shared" ca="1" si="12"/>
        <v>0</v>
      </c>
      <c r="J173" s="284">
        <f t="shared" ca="1" si="13"/>
        <v>0</v>
      </c>
      <c r="K173" s="285">
        <f t="shared" ca="1" si="14"/>
        <v>8175000</v>
      </c>
      <c r="L173" s="290"/>
      <c r="M173" s="290"/>
      <c r="N173" s="290"/>
      <c r="O173" s="286"/>
      <c r="P173" s="286"/>
      <c r="Q173" s="267"/>
      <c r="R173" s="259"/>
      <c r="S173" s="287"/>
      <c r="T173" s="264"/>
      <c r="U173" s="264"/>
      <c r="V173" s="264"/>
    </row>
    <row r="174" spans="1:22" s="291" customFormat="1" ht="30">
      <c r="A174" s="259" t="s">
        <v>1413</v>
      </c>
      <c r="B174" s="293">
        <v>2</v>
      </c>
      <c r="C174" s="109" t="s">
        <v>336</v>
      </c>
      <c r="D174" s="281" t="str">
        <f ca="1">IF(ISERROR(OFFSET('HARGA SATUAN'!$D$6,MATCH(RAB!C174,'HARGA SATUAN'!$C$7:$C$1492,0),0)),"",OFFSET('HARGA SATUAN'!$D$6,MATCH(RAB!C174,'HARGA SATUAN'!$C$7:$C$1492,0),0))</f>
        <v>JASA</v>
      </c>
      <c r="E174" s="282" t="str">
        <f ca="1">IF(B174="+","Unit",IF(ISERROR(OFFSET('HARGA SATUAN'!$E$6,MATCH(RAB!C174,'HARGA SATUAN'!$C$7:$C$1492,0),0)),"",OFFSET('HARGA SATUAN'!$E$6,MATCH(RAB!C174,'HARGA SATUAN'!$C$7:$C$1492,0),0)))</f>
        <v>Per 50 m</v>
      </c>
      <c r="F174" s="393">
        <v>3</v>
      </c>
      <c r="G174" s="283">
        <f ca="1">IF(ISERROR(OFFSET('HARGA SATUAN'!$I$6,MATCH(RAB!C174,'HARGA SATUAN'!$C$7:$C$1492,0),0)),0,OFFSET('HARGA SATUAN'!$I$6,MATCH(RAB!C174,'HARGA SATUAN'!$C$7:$C$1492,0),0))</f>
        <v>223500</v>
      </c>
      <c r="H174" s="284">
        <f t="shared" ca="1" si="11"/>
        <v>0</v>
      </c>
      <c r="I174" s="284">
        <f t="shared" ca="1" si="12"/>
        <v>0</v>
      </c>
      <c r="J174" s="284">
        <f t="shared" ca="1" si="13"/>
        <v>670500</v>
      </c>
      <c r="K174" s="285">
        <f t="shared" ca="1" si="14"/>
        <v>670500</v>
      </c>
      <c r="L174" s="290"/>
      <c r="M174" s="290"/>
      <c r="N174" s="290"/>
      <c r="O174" s="286"/>
      <c r="P174" s="286"/>
      <c r="Q174" s="267"/>
      <c r="R174" s="259"/>
      <c r="S174" s="287"/>
      <c r="T174" s="264"/>
      <c r="U174" s="264"/>
      <c r="V174" s="264"/>
    </row>
    <row r="175" spans="1:22" s="291" customFormat="1">
      <c r="A175" s="259" t="e">
        <f>IF(AND(C175=0,#REF!=0,#REF!=0),"BLANKS",1)</f>
        <v>#REF!</v>
      </c>
      <c r="B175" s="293">
        <v>3</v>
      </c>
      <c r="C175" s="109" t="s">
        <v>55</v>
      </c>
      <c r="D175" s="281" t="str">
        <f ca="1">IF(ISERROR(OFFSET('HARGA SATUAN'!$D$6,MATCH(RAB!C175,'HARGA SATUAN'!$C$7:$C$1492,0),0)),"",OFFSET('HARGA SATUAN'!$D$6,MATCH(RAB!C175,'HARGA SATUAN'!$C$7:$C$1492,0),0))</f>
        <v>MDU-KD</v>
      </c>
      <c r="E175" s="282" t="str">
        <f ca="1">IF(B175="+","Unit",IF(ISERROR(OFFSET('HARGA SATUAN'!$E$6,MATCH(RAB!C175,'HARGA SATUAN'!$C$7:$C$1492,0),0)),"",OFFSET('HARGA SATUAN'!$E$6,MATCH(RAB!C175,'HARGA SATUAN'!$C$7:$C$1492,0),0)))</f>
        <v>Mtr</v>
      </c>
      <c r="F175" s="393">
        <v>600</v>
      </c>
      <c r="G175" s="283">
        <f ca="1">IF(ISERROR(OFFSET('HARGA SATUAN'!$I$6,MATCH(RAB!C175,'HARGA SATUAN'!$C$7:$C$1492,0),0)),0,OFFSET('HARGA SATUAN'!$I$6,MATCH(RAB!C175,'HARGA SATUAN'!$C$7:$C$1492,0),0))</f>
        <v>14200</v>
      </c>
      <c r="H175" s="284">
        <f t="shared" ref="H175:H176" ca="1" si="87">IF(OR(D175="MDU",D175="MDU-KD"),(IF($O$3="RAB NON MDU","PLN KD",G175*F175)),0)</f>
        <v>8520000</v>
      </c>
      <c r="I175" s="284">
        <f t="shared" ref="I175:I176" ca="1" si="88">IF(D175="HDW",G175*F175,0)</f>
        <v>0</v>
      </c>
      <c r="J175" s="284">
        <f t="shared" ref="J175:J176" ca="1" si="89">IF(D175="JASA",G175*F175,0)</f>
        <v>0</v>
      </c>
      <c r="K175" s="285">
        <f t="shared" ref="K175:K176" ca="1" si="90">SUM(H175:J175)</f>
        <v>8520000</v>
      </c>
      <c r="L175" s="290"/>
      <c r="M175" s="290"/>
      <c r="N175" s="290"/>
      <c r="O175" s="286"/>
      <c r="P175" s="286"/>
      <c r="Q175" s="267"/>
      <c r="R175" s="259"/>
      <c r="S175" s="287"/>
      <c r="T175" s="264"/>
      <c r="U175" s="264"/>
      <c r="V175" s="264"/>
    </row>
    <row r="176" spans="1:22" s="291" customFormat="1" ht="30">
      <c r="A176" s="259" t="s">
        <v>1413</v>
      </c>
      <c r="B176" s="293">
        <v>4</v>
      </c>
      <c r="C176" s="109" t="s">
        <v>291</v>
      </c>
      <c r="D176" s="281" t="str">
        <f ca="1">IF(ISERROR(OFFSET('HARGA SATUAN'!$D$6,MATCH(RAB!C176,'HARGA SATUAN'!$C$7:$C$1492,0),0)),"",OFFSET('HARGA SATUAN'!$D$6,MATCH(RAB!C176,'HARGA SATUAN'!$C$7:$C$1492,0),0))</f>
        <v>JASA</v>
      </c>
      <c r="E176" s="282" t="str">
        <f ca="1">IF(B176="+","Unit",IF(ISERROR(OFFSET('HARGA SATUAN'!$E$6,MATCH(RAB!C176,'HARGA SATUAN'!$C$7:$C$1492,0),0)),"",OFFSET('HARGA SATUAN'!$E$6,MATCH(RAB!C176,'HARGA SATUAN'!$C$7:$C$1492,0),0)))</f>
        <v>Per 50 m</v>
      </c>
      <c r="F176" s="393">
        <v>3</v>
      </c>
      <c r="G176" s="283">
        <f ca="1">IF(ISERROR(OFFSET('HARGA SATUAN'!$I$6,MATCH(RAB!C176,'HARGA SATUAN'!$C$7:$C$1492,0),0)),0,OFFSET('HARGA SATUAN'!$I$6,MATCH(RAB!C176,'HARGA SATUAN'!$C$7:$C$1492,0),0))</f>
        <v>300100</v>
      </c>
      <c r="H176" s="284">
        <f t="shared" ca="1" si="87"/>
        <v>0</v>
      </c>
      <c r="I176" s="284">
        <f t="shared" ca="1" si="88"/>
        <v>0</v>
      </c>
      <c r="J176" s="284">
        <f t="shared" ca="1" si="89"/>
        <v>900300</v>
      </c>
      <c r="K176" s="285">
        <f t="shared" ca="1" si="90"/>
        <v>900300</v>
      </c>
      <c r="L176" s="290"/>
      <c r="M176" s="290"/>
      <c r="N176" s="290"/>
      <c r="O176" s="286"/>
      <c r="P176" s="286"/>
      <c r="Q176" s="267"/>
      <c r="R176" s="259"/>
      <c r="S176" s="287"/>
      <c r="T176" s="264"/>
      <c r="U176" s="264"/>
      <c r="V176" s="264"/>
    </row>
    <row r="177" spans="1:22" s="291" customFormat="1">
      <c r="A177" s="259" t="e">
        <f>IF(AND(C177=0,#REF!=0,#REF!=0),"BLANKS",1)</f>
        <v>#REF!</v>
      </c>
      <c r="B177" s="395"/>
      <c r="C177" s="396"/>
      <c r="D177" s="281" t="str">
        <f ca="1">IF(ISERROR(OFFSET('HARGA SATUAN'!$D$6,MATCH(RAB!C177,'HARGA SATUAN'!$C$7:$C$1492,0),0)),"",OFFSET('HARGA SATUAN'!$D$6,MATCH(RAB!C177,'HARGA SATUAN'!$C$7:$C$1492,0),0))</f>
        <v/>
      </c>
      <c r="E177" s="282" t="str">
        <f ca="1">IF(B177="+","Unit",IF(ISERROR(OFFSET('HARGA SATUAN'!$E$6,MATCH(RAB!C177,'HARGA SATUAN'!$C$7:$C$1492,0),0)),"",OFFSET('HARGA SATUAN'!$E$6,MATCH(RAB!C177,'HARGA SATUAN'!$C$7:$C$1492,0),0)))</f>
        <v/>
      </c>
      <c r="F177" s="393"/>
      <c r="G177" s="283">
        <f ca="1">IF(ISERROR(OFFSET('HARGA SATUAN'!$I$6,MATCH(RAB!C177,'HARGA SATUAN'!$C$7:$C$1492,0),0)),0,OFFSET('HARGA SATUAN'!$I$6,MATCH(RAB!C177,'HARGA SATUAN'!$C$7:$C$1492,0),0))</f>
        <v>0</v>
      </c>
      <c r="H177" s="284">
        <f t="shared" ca="1" si="11"/>
        <v>0</v>
      </c>
      <c r="I177" s="284">
        <f t="shared" ca="1" si="12"/>
        <v>0</v>
      </c>
      <c r="J177" s="284">
        <f t="shared" ca="1" si="13"/>
        <v>0</v>
      </c>
      <c r="K177" s="285">
        <f t="shared" ca="1" si="14"/>
        <v>0</v>
      </c>
      <c r="L177" s="290"/>
      <c r="M177" s="290"/>
      <c r="N177" s="290"/>
      <c r="O177" s="286"/>
      <c r="P177" s="286"/>
      <c r="Q177" s="267"/>
      <c r="R177" s="259"/>
      <c r="S177" s="287"/>
      <c r="T177" s="264"/>
      <c r="U177" s="264"/>
      <c r="V177" s="264"/>
    </row>
    <row r="178" spans="1:22" s="291" customFormat="1">
      <c r="A178" s="259"/>
      <c r="B178" s="395" t="s">
        <v>516</v>
      </c>
      <c r="C178" s="396" t="s">
        <v>1579</v>
      </c>
      <c r="D178" s="281" t="str">
        <f ca="1">IF(ISERROR(OFFSET('HARGA SATUAN'!$D$6,MATCH(RAB!C178,'HARGA SATUAN'!$C$7:$C$1492,0),0)),"",OFFSET('HARGA SATUAN'!$D$6,MATCH(RAB!C178,'HARGA SATUAN'!$C$7:$C$1492,0),0))</f>
        <v/>
      </c>
      <c r="E178" s="282" t="str">
        <f ca="1">IF(B178="+","Unit",IF(ISERROR(OFFSET('HARGA SATUAN'!$E$6,MATCH(RAB!C178,'HARGA SATUAN'!$C$7:$C$1492,0),0)),"",OFFSET('HARGA SATUAN'!$E$6,MATCH(RAB!C178,'HARGA SATUAN'!$C$7:$C$1492,0),0)))</f>
        <v/>
      </c>
      <c r="F178" s="393"/>
      <c r="G178" s="283">
        <f ca="1">IF(ISERROR(OFFSET('HARGA SATUAN'!$I$6,MATCH(RAB!C178,'HARGA SATUAN'!$C$7:$C$1492,0),0)),0,OFFSET('HARGA SATUAN'!$I$6,MATCH(RAB!C178,'HARGA SATUAN'!$C$7:$C$1492,0),0))</f>
        <v>0</v>
      </c>
      <c r="H178" s="284">
        <f t="shared" ca="1" si="11"/>
        <v>0</v>
      </c>
      <c r="I178" s="284">
        <f t="shared" ca="1" si="12"/>
        <v>0</v>
      </c>
      <c r="J178" s="284">
        <f t="shared" ca="1" si="13"/>
        <v>0</v>
      </c>
      <c r="K178" s="285">
        <f t="shared" ca="1" si="14"/>
        <v>0</v>
      </c>
      <c r="L178" s="290"/>
      <c r="M178" s="290"/>
      <c r="N178" s="290"/>
      <c r="O178" s="286"/>
      <c r="P178" s="286"/>
      <c r="Q178" s="267"/>
      <c r="R178" s="259"/>
      <c r="S178" s="287"/>
      <c r="T178" s="264"/>
      <c r="U178" s="264"/>
      <c r="V178" s="264"/>
    </row>
    <row r="179" spans="1:22" s="291" customFormat="1">
      <c r="A179" s="259" t="e">
        <f>IF(AND(C179=0,C180=0,#REF!=0),"BLANKS",1)</f>
        <v>#REF!</v>
      </c>
      <c r="B179" s="397" t="s">
        <v>1005</v>
      </c>
      <c r="C179" s="398" t="s">
        <v>1627</v>
      </c>
      <c r="D179" s="281" t="str">
        <f ca="1">IF(ISERROR(OFFSET('HARGA SATUAN'!$D$6,MATCH(RAB!C179,'HARGA SATUAN'!$C$7:$C$1492,0),0)),"",OFFSET('HARGA SATUAN'!$D$6,MATCH(RAB!C179,'HARGA SATUAN'!$C$7:$C$1492,0),0))</f>
        <v/>
      </c>
      <c r="E179" s="282" t="str">
        <f ca="1">IF(B179="+","Unit",IF(ISERROR(OFFSET('HARGA SATUAN'!$E$6,MATCH(RAB!C179,'HARGA SATUAN'!$C$7:$C$1492,0),0)),"",OFFSET('HARGA SATUAN'!$E$6,MATCH(RAB!C179,'HARGA SATUAN'!$C$7:$C$1492,0),0)))</f>
        <v>Unit</v>
      </c>
      <c r="F179" s="393">
        <v>1</v>
      </c>
      <c r="G179" s="283">
        <f ca="1">IF(ISERROR(OFFSET('HARGA SATUAN'!$I$6,MATCH(RAB!C179,'HARGA SATUAN'!$C$7:$C$1492,0),0)),0,OFFSET('HARGA SATUAN'!$I$6,MATCH(RAB!C179,'HARGA SATUAN'!$C$7:$C$1492,0),0))</f>
        <v>0</v>
      </c>
      <c r="H179" s="284">
        <f t="shared" ca="1" si="11"/>
        <v>0</v>
      </c>
      <c r="I179" s="284">
        <f t="shared" ca="1" si="12"/>
        <v>0</v>
      </c>
      <c r="J179" s="284">
        <f t="shared" ca="1" si="13"/>
        <v>0</v>
      </c>
      <c r="K179" s="285">
        <f t="shared" ca="1" si="14"/>
        <v>0</v>
      </c>
      <c r="L179" s="290"/>
      <c r="M179" s="290"/>
      <c r="N179" s="290"/>
      <c r="O179" s="286"/>
      <c r="P179" s="286"/>
      <c r="Q179" s="267"/>
      <c r="R179" s="259"/>
      <c r="S179" s="287"/>
      <c r="T179" s="264"/>
      <c r="U179" s="264"/>
      <c r="V179" s="264"/>
    </row>
    <row r="180" spans="1:22" s="291" customFormat="1" ht="30">
      <c r="A180" s="259" t="e">
        <f>IF(AND(C180=0,#REF!=0,#REF!=0),"BLANKS",1)</f>
        <v>#REF!</v>
      </c>
      <c r="B180" s="499">
        <v>1</v>
      </c>
      <c r="C180" s="109" t="s">
        <v>1166</v>
      </c>
      <c r="D180" s="281" t="str">
        <f ca="1">IF(ISERROR(OFFSET('HARGA SATUAN'!$D$6,MATCH(RAB!C180,'HARGA SATUAN'!$C$7:$C$1492,0),0)),"",OFFSET('HARGA SATUAN'!$D$6,MATCH(RAB!C180,'HARGA SATUAN'!$C$7:$C$1492,0),0))</f>
        <v>MDU-KD</v>
      </c>
      <c r="E180" s="282" t="str">
        <f ca="1">IF(B180="+","Unit",IF(ISERROR(OFFSET('HARGA SATUAN'!$E$6,MATCH(RAB!C180,'HARGA SATUAN'!$C$7:$C$1492,0),0)),"",OFFSET('HARGA SATUAN'!$E$6,MATCH(RAB!C180,'HARGA SATUAN'!$C$7:$C$1492,0),0)))</f>
        <v>Bh</v>
      </c>
      <c r="F180" s="393">
        <f>F179*1</f>
        <v>1</v>
      </c>
      <c r="G180" s="283">
        <f ca="1">IF(ISERROR(OFFSET('HARGA SATUAN'!$I$6,MATCH(RAB!C180,'HARGA SATUAN'!$C$7:$C$1492,0),0)),0,OFFSET('HARGA SATUAN'!$I$6,MATCH(RAB!C180,'HARGA SATUAN'!$C$7:$C$1492,0),0))</f>
        <v>1504200</v>
      </c>
      <c r="H180" s="284">
        <f t="shared" ca="1" si="11"/>
        <v>1504200</v>
      </c>
      <c r="I180" s="284">
        <f t="shared" ca="1" si="12"/>
        <v>0</v>
      </c>
      <c r="J180" s="284">
        <f t="shared" ca="1" si="13"/>
        <v>0</v>
      </c>
      <c r="K180" s="285">
        <f t="shared" ca="1" si="14"/>
        <v>1504200</v>
      </c>
      <c r="L180" s="290"/>
      <c r="M180" s="290"/>
      <c r="N180" s="290"/>
      <c r="O180" s="286"/>
      <c r="P180" s="286"/>
      <c r="Q180" s="267"/>
      <c r="R180" s="259"/>
      <c r="S180" s="287"/>
      <c r="T180" s="264"/>
      <c r="U180" s="264"/>
      <c r="V180" s="264"/>
    </row>
    <row r="181" spans="1:22" s="291" customFormat="1" ht="30">
      <c r="A181" s="259" t="s">
        <v>1413</v>
      </c>
      <c r="B181" s="499">
        <v>2</v>
      </c>
      <c r="C181" s="503" t="s">
        <v>505</v>
      </c>
      <c r="D181" s="281" t="s">
        <v>1636</v>
      </c>
      <c r="E181" s="282" t="str">
        <f ca="1">IF(B181="+","Unit",IF(ISERROR(OFFSET('HARGA SATUAN'!$E$6,MATCH(RAB!C181,'HARGA SATUAN'!$C$7:$C$1492,0),0)),"",OFFSET('HARGA SATUAN'!$E$6,MATCH(RAB!C181,'HARGA SATUAN'!$C$7:$C$1492,0),0)))</f>
        <v>Unit</v>
      </c>
      <c r="F181" s="393">
        <f>F180*1</f>
        <v>1</v>
      </c>
      <c r="G181" s="283">
        <f ca="1">IF(ISERROR(OFFSET('HARGA SATUAN'!$I$6,MATCH(RAB!C181,'HARGA SATUAN'!$C$7:$C$1492,0),0)),0,OFFSET('HARGA SATUAN'!$I$6,MATCH(RAB!C181,'HARGA SATUAN'!$C$7:$C$1492,0),0))</f>
        <v>13644300</v>
      </c>
      <c r="H181" s="284">
        <f t="shared" ref="H181" si="91">IF(OR(D181="MDU",D181="MDU-KD"),(IF($O$3="RAB NON MDU","PLN KD",G181*F181)),0)</f>
        <v>0</v>
      </c>
      <c r="I181" s="284">
        <f t="shared" ref="I181" si="92">IF(D181="HDW",G181*F181,0)</f>
        <v>0</v>
      </c>
      <c r="J181" s="284">
        <f t="shared" ref="J181" si="93">IF(D181="JASA",G181*F181,0)</f>
        <v>0</v>
      </c>
      <c r="K181" s="285">
        <f t="shared" ref="K181" si="94">SUM(H181:J181)</f>
        <v>0</v>
      </c>
      <c r="L181" s="290"/>
      <c r="M181" s="290"/>
      <c r="N181" s="290"/>
      <c r="O181" s="286"/>
      <c r="P181" s="286"/>
      <c r="Q181" s="267"/>
      <c r="R181" s="259"/>
      <c r="S181" s="287"/>
      <c r="T181" s="264"/>
      <c r="U181" s="264"/>
      <c r="V181" s="264"/>
    </row>
    <row r="182" spans="1:22" s="291" customFormat="1">
      <c r="A182" s="259" t="e">
        <f>IF(AND(C182=0,#REF!=0,#REF!=0),"BLANKS",1)</f>
        <v>#REF!</v>
      </c>
      <c r="B182" s="499">
        <v>3</v>
      </c>
      <c r="C182" s="503" t="s">
        <v>1112</v>
      </c>
      <c r="D182" s="281" t="str">
        <f ca="1">IF(ISERROR(OFFSET('HARGA SATUAN'!$D$6,MATCH(RAB!C182,'HARGA SATUAN'!$C$7:$C$1492,0),0)),"",OFFSET('HARGA SATUAN'!$D$6,MATCH(RAB!C182,'HARGA SATUAN'!$C$7:$C$1492,0),0))</f>
        <v>HDW</v>
      </c>
      <c r="E182" s="282" t="str">
        <f ca="1">IF(B182="+","Unit",IF(ISERROR(OFFSET('HARGA SATUAN'!$E$6,MATCH(RAB!C182,'HARGA SATUAN'!$C$7:$C$1492,0),0)),"",OFFSET('HARGA SATUAN'!$E$6,MATCH(RAB!C182,'HARGA SATUAN'!$C$7:$C$1492,0),0)))</f>
        <v>Unit</v>
      </c>
      <c r="F182" s="393">
        <f>F179*1</f>
        <v>1</v>
      </c>
      <c r="G182" s="283">
        <f ca="1">IF(ISERROR(OFFSET('HARGA SATUAN'!$I$6,MATCH(RAB!C182,'HARGA SATUAN'!$C$7:$C$1492,0),0)),0,OFFSET('HARGA SATUAN'!$I$6,MATCH(RAB!C182,'HARGA SATUAN'!$C$7:$C$1492,0),0))</f>
        <v>1113900</v>
      </c>
      <c r="H182" s="284">
        <f t="shared" ref="H182:H187" ca="1" si="95">IF(OR(D182="MDU",D182="MDU-KD"),(IF($O$3="RAB NON MDU","PLN KD",G182*F182)),0)</f>
        <v>0</v>
      </c>
      <c r="I182" s="284">
        <f t="shared" ref="I182:I187" ca="1" si="96">IF(D182="HDW",G182*F182,0)</f>
        <v>1113900</v>
      </c>
      <c r="J182" s="284">
        <f t="shared" ref="J182:J187" ca="1" si="97">IF(D182="JASA",G182*F182,0)</f>
        <v>0</v>
      </c>
      <c r="K182" s="285">
        <f t="shared" ref="K182:K187" ca="1" si="98">SUM(H182:J182)</f>
        <v>1113900</v>
      </c>
      <c r="L182" s="290"/>
      <c r="M182" s="290"/>
      <c r="N182" s="290"/>
      <c r="O182" s="286"/>
      <c r="P182" s="286"/>
      <c r="Q182" s="267"/>
      <c r="R182" s="259"/>
      <c r="S182" s="287"/>
      <c r="T182" s="264"/>
      <c r="U182" s="264"/>
      <c r="V182" s="264"/>
    </row>
    <row r="183" spans="1:22" s="291" customFormat="1">
      <c r="A183" s="259" t="s">
        <v>1413</v>
      </c>
      <c r="B183" s="499">
        <v>4</v>
      </c>
      <c r="C183" s="503" t="s">
        <v>563</v>
      </c>
      <c r="D183" s="281" t="str">
        <f ca="1">IF(ISERROR(OFFSET('HARGA SATUAN'!$D$6,MATCH(RAB!C183,'HARGA SATUAN'!$C$7:$C$1492,0),0)),"",OFFSET('HARGA SATUAN'!$D$6,MATCH(RAB!C183,'HARGA SATUAN'!$C$7:$C$1492,0),0))</f>
        <v>HDW</v>
      </c>
      <c r="E183" s="282" t="str">
        <f ca="1">IF(B183="+","Unit",IF(ISERROR(OFFSET('HARGA SATUAN'!$E$6,MATCH(RAB!C183,'HARGA SATUAN'!$C$7:$C$1492,0),0)),"",OFFSET('HARGA SATUAN'!$E$6,MATCH(RAB!C183,'HARGA SATUAN'!$C$7:$C$1492,0),0)))</f>
        <v>Mtr</v>
      </c>
      <c r="F183" s="393">
        <v>35</v>
      </c>
      <c r="G183" s="283">
        <f ca="1">IF(ISERROR(OFFSET('HARGA SATUAN'!$I$6,MATCH(RAB!C183,'HARGA SATUAN'!$C$7:$C$1492,0),0)),0,OFFSET('HARGA SATUAN'!$I$6,MATCH(RAB!C183,'HARGA SATUAN'!$C$7:$C$1492,0),0))</f>
        <v>164883</v>
      </c>
      <c r="H183" s="284">
        <f t="shared" ca="1" si="95"/>
        <v>0</v>
      </c>
      <c r="I183" s="284">
        <f t="shared" ca="1" si="96"/>
        <v>5770905</v>
      </c>
      <c r="J183" s="284">
        <f t="shared" ca="1" si="97"/>
        <v>0</v>
      </c>
      <c r="K183" s="285">
        <f t="shared" ca="1" si="98"/>
        <v>5770905</v>
      </c>
      <c r="L183" s="290"/>
      <c r="M183" s="290"/>
      <c r="N183" s="290"/>
      <c r="O183" s="286"/>
      <c r="P183" s="286"/>
      <c r="Q183" s="267"/>
      <c r="R183" s="259"/>
      <c r="S183" s="287"/>
      <c r="T183" s="264"/>
      <c r="U183" s="264"/>
      <c r="V183" s="264"/>
    </row>
    <row r="184" spans="1:22" s="291" customFormat="1">
      <c r="A184" s="259" t="e">
        <f>IF(AND(C184=0,#REF!=0,#REF!=0),"BLANKS",1)</f>
        <v>#REF!</v>
      </c>
      <c r="B184" s="499">
        <v>5</v>
      </c>
      <c r="C184" s="503" t="s">
        <v>789</v>
      </c>
      <c r="D184" s="281" t="str">
        <f ca="1">IF(ISERROR(OFFSET('HARGA SATUAN'!$D$6,MATCH(RAB!C184,'HARGA SATUAN'!$C$7:$C$1492,0),0)),"",OFFSET('HARGA SATUAN'!$D$6,MATCH(RAB!C184,'HARGA SATUAN'!$C$7:$C$1492,0),0))</f>
        <v>JASA</v>
      </c>
      <c r="E184" s="282" t="str">
        <f ca="1">IF(B184="+","Unit",IF(ISERROR(OFFSET('HARGA SATUAN'!$E$6,MATCH(RAB!C184,'HARGA SATUAN'!$C$7:$C$1492,0),0)),"",OFFSET('HARGA SATUAN'!$E$6,MATCH(RAB!C184,'HARGA SATUAN'!$C$7:$C$1492,0),0)))</f>
        <v>Unit</v>
      </c>
      <c r="F184" s="393">
        <f>F179*1</f>
        <v>1</v>
      </c>
      <c r="G184" s="283">
        <f ca="1">IF(ISERROR(OFFSET('HARGA SATUAN'!$I$6,MATCH(RAB!C184,'HARGA SATUAN'!$C$7:$C$1492,0),0)),0,OFFSET('HARGA SATUAN'!$I$6,MATCH(RAB!C184,'HARGA SATUAN'!$C$7:$C$1492,0),0))</f>
        <v>106400</v>
      </c>
      <c r="H184" s="284">
        <f t="shared" ca="1" si="95"/>
        <v>0</v>
      </c>
      <c r="I184" s="284">
        <f t="shared" ca="1" si="96"/>
        <v>0</v>
      </c>
      <c r="J184" s="284">
        <f t="shared" ca="1" si="97"/>
        <v>106400</v>
      </c>
      <c r="K184" s="285">
        <f t="shared" ca="1" si="98"/>
        <v>106400</v>
      </c>
      <c r="L184" s="290"/>
      <c r="M184" s="290"/>
      <c r="N184" s="290"/>
      <c r="O184" s="286"/>
      <c r="P184" s="286"/>
      <c r="Q184" s="267"/>
      <c r="R184" s="259"/>
      <c r="S184" s="287"/>
      <c r="T184" s="264"/>
      <c r="U184" s="264"/>
      <c r="V184" s="264"/>
    </row>
    <row r="185" spans="1:22" s="291" customFormat="1">
      <c r="A185" s="259"/>
      <c r="B185" s="293"/>
      <c r="C185" s="396"/>
      <c r="D185" s="281" t="str">
        <f ca="1">IF(ISERROR(OFFSET('HARGA SATUAN'!$D$6,MATCH(RAB!C185,'HARGA SATUAN'!$C$7:$C$1492,0),0)),"",OFFSET('HARGA SATUAN'!$D$6,MATCH(RAB!C185,'HARGA SATUAN'!$C$7:$C$1492,0),0))</f>
        <v/>
      </c>
      <c r="E185" s="282" t="str">
        <f ca="1">IF(B185="+","Unit",IF(ISERROR(OFFSET('HARGA SATUAN'!$E$6,MATCH(RAB!C185,'HARGA SATUAN'!$C$7:$C$1492,0),0)),"",OFFSET('HARGA SATUAN'!$E$6,MATCH(RAB!C185,'HARGA SATUAN'!$C$7:$C$1492,0),0)))</f>
        <v/>
      </c>
      <c r="F185" s="393"/>
      <c r="G185" s="283">
        <f ca="1">IF(ISERROR(OFFSET('HARGA SATUAN'!$I$6,MATCH(RAB!C185,'HARGA SATUAN'!$C$7:$C$1492,0),0)),0,OFFSET('HARGA SATUAN'!$I$6,MATCH(RAB!C185,'HARGA SATUAN'!$C$7:$C$1492,0),0))</f>
        <v>0</v>
      </c>
      <c r="H185" s="284">
        <f t="shared" ca="1" si="95"/>
        <v>0</v>
      </c>
      <c r="I185" s="284">
        <f t="shared" ca="1" si="96"/>
        <v>0</v>
      </c>
      <c r="J185" s="284">
        <f t="shared" ca="1" si="97"/>
        <v>0</v>
      </c>
      <c r="K185" s="285">
        <f t="shared" ca="1" si="98"/>
        <v>0</v>
      </c>
      <c r="L185" s="290"/>
      <c r="M185" s="290"/>
      <c r="N185" s="290"/>
      <c r="O185" s="286"/>
      <c r="P185" s="286"/>
      <c r="Q185" s="267"/>
      <c r="R185" s="259"/>
      <c r="S185" s="287"/>
      <c r="T185" s="264"/>
      <c r="U185" s="264"/>
      <c r="V185" s="264"/>
    </row>
    <row r="186" spans="1:22" s="291" customFormat="1">
      <c r="A186" s="259" t="e">
        <f>IF(AND(C186=0,C187=0,#REF!=0),"BLANKS",1)</f>
        <v>#REF!</v>
      </c>
      <c r="B186" s="395" t="s">
        <v>520</v>
      </c>
      <c r="C186" s="396" t="s">
        <v>1580</v>
      </c>
      <c r="D186" s="281" t="str">
        <f ca="1">IF(ISERROR(OFFSET('HARGA SATUAN'!$D$6,MATCH(RAB!C186,'HARGA SATUAN'!$C$7:$C$1492,0),0)),"",OFFSET('HARGA SATUAN'!$D$6,MATCH(RAB!C186,'HARGA SATUAN'!$C$7:$C$1492,0),0))</f>
        <v/>
      </c>
      <c r="E186" s="282" t="str">
        <f ca="1">IF(B186="+","Unit",IF(ISERROR(OFFSET('HARGA SATUAN'!$E$6,MATCH(RAB!C186,'HARGA SATUAN'!$C$7:$C$1492,0),0)),"",OFFSET('HARGA SATUAN'!$E$6,MATCH(RAB!C186,'HARGA SATUAN'!$C$7:$C$1492,0),0)))</f>
        <v/>
      </c>
      <c r="F186" s="393"/>
      <c r="G186" s="283">
        <f ca="1">IF(ISERROR(OFFSET('HARGA SATUAN'!$I$6,MATCH(RAB!C186,'HARGA SATUAN'!$C$7:$C$1492,0),0)),0,OFFSET('HARGA SATUAN'!$I$6,MATCH(RAB!C186,'HARGA SATUAN'!$C$7:$C$1492,0),0))</f>
        <v>0</v>
      </c>
      <c r="H186" s="284">
        <f t="shared" ca="1" si="95"/>
        <v>0</v>
      </c>
      <c r="I186" s="284">
        <f t="shared" ca="1" si="96"/>
        <v>0</v>
      </c>
      <c r="J186" s="284">
        <f t="shared" ca="1" si="97"/>
        <v>0</v>
      </c>
      <c r="K186" s="285">
        <f t="shared" ca="1" si="98"/>
        <v>0</v>
      </c>
      <c r="L186" s="290"/>
      <c r="M186" s="290"/>
      <c r="N186" s="290"/>
      <c r="O186" s="286"/>
      <c r="P186" s="286"/>
      <c r="Q186" s="267"/>
      <c r="R186" s="259"/>
      <c r="S186" s="287"/>
      <c r="T186" s="264"/>
      <c r="U186" s="264"/>
      <c r="V186" s="264"/>
    </row>
    <row r="187" spans="1:22" s="291" customFormat="1">
      <c r="A187" s="259" t="e">
        <f>IF(AND(C187=0,#REF!=0,#REF!=0),"BLANKS",1)</f>
        <v>#REF!</v>
      </c>
      <c r="B187" s="293">
        <v>1</v>
      </c>
      <c r="C187" s="109" t="s">
        <v>804</v>
      </c>
      <c r="D187" s="281" t="str">
        <f ca="1">IF(ISERROR(OFFSET('HARGA SATUAN'!$D$6,MATCH(RAB!C187,'HARGA SATUAN'!$C$7:$C$1492,0),0)),"",OFFSET('HARGA SATUAN'!$D$6,MATCH(RAB!C187,'HARGA SATUAN'!$C$7:$C$1492,0),0))</f>
        <v>JASA</v>
      </c>
      <c r="E187" s="282" t="str">
        <f ca="1">IF(B187="+","Unit",IF(ISERROR(OFFSET('HARGA SATUAN'!$E$6,MATCH(RAB!C187,'HARGA SATUAN'!$C$7:$C$1492,0),0)),"",OFFSET('HARGA SATUAN'!$E$6,MATCH(RAB!C187,'HARGA SATUAN'!$C$7:$C$1492,0),0)))</f>
        <v>Unit</v>
      </c>
      <c r="F187" s="393">
        <v>3</v>
      </c>
      <c r="G187" s="283">
        <f ca="1">IF(ISERROR(OFFSET('HARGA SATUAN'!$I$6,MATCH(RAB!C187,'HARGA SATUAN'!$C$7:$C$1492,0),0)),0,OFFSET('HARGA SATUAN'!$I$6,MATCH(RAB!C187,'HARGA SATUAN'!$C$7:$C$1492,0),0))</f>
        <v>18180</v>
      </c>
      <c r="H187" s="284">
        <f t="shared" ca="1" si="95"/>
        <v>0</v>
      </c>
      <c r="I187" s="284">
        <f t="shared" ca="1" si="96"/>
        <v>0</v>
      </c>
      <c r="J187" s="284">
        <f t="shared" ca="1" si="97"/>
        <v>54540</v>
      </c>
      <c r="K187" s="285">
        <f t="shared" ca="1" si="98"/>
        <v>54540</v>
      </c>
      <c r="L187" s="290"/>
      <c r="M187" s="290"/>
      <c r="N187" s="290"/>
      <c r="O187" s="286"/>
      <c r="P187" s="286"/>
      <c r="Q187" s="267"/>
      <c r="R187" s="259"/>
      <c r="S187" s="287"/>
      <c r="T187" s="264"/>
      <c r="U187" s="264"/>
      <c r="V187" s="264"/>
    </row>
    <row r="188" spans="1:22" s="291" customFormat="1">
      <c r="A188" s="259"/>
      <c r="B188" s="293">
        <v>2</v>
      </c>
      <c r="C188" s="109" t="s">
        <v>954</v>
      </c>
      <c r="D188" s="281" t="str">
        <f ca="1">IF(ISERROR(OFFSET('HARGA SATUAN'!$D$6,MATCH(RAB!C188,'HARGA SATUAN'!$C$7:$C$1492,0),0)),"",OFFSET('HARGA SATUAN'!$D$6,MATCH(RAB!C188,'HARGA SATUAN'!$C$7:$C$1492,0),0))</f>
        <v>JASA</v>
      </c>
      <c r="E188" s="282" t="str">
        <f ca="1">IF(B188="+","Unit",IF(ISERROR(OFFSET('HARGA SATUAN'!$E$6,MATCH(RAB!C188,'HARGA SATUAN'!$C$7:$C$1492,0),0)),"",OFFSET('HARGA SATUAN'!$E$6,MATCH(RAB!C188,'HARGA SATUAN'!$C$7:$C$1492,0),0)))</f>
        <v>Unit</v>
      </c>
      <c r="F188" s="393">
        <v>1</v>
      </c>
      <c r="G188" s="283">
        <f ca="1">IF(ISERROR(OFFSET('HARGA SATUAN'!$I$6,MATCH(RAB!C188,'HARGA SATUAN'!$C$7:$C$1492,0),0)),0,OFFSET('HARGA SATUAN'!$I$6,MATCH(RAB!C188,'HARGA SATUAN'!$C$7:$C$1492,0),0))</f>
        <v>709680</v>
      </c>
      <c r="H188" s="284">
        <f t="shared" ref="H188:H191" ca="1" si="99">IF(OR(D188="MDU",D188="MDU-KD"),(IF($O$3="RAB NON MDU","PLN KD",G188*F188)),0)</f>
        <v>0</v>
      </c>
      <c r="I188" s="284">
        <f t="shared" ref="I188:I191" ca="1" si="100">IF(D188="HDW",G188*F188,0)</f>
        <v>0</v>
      </c>
      <c r="J188" s="284">
        <f t="shared" ref="J188:J191" ca="1" si="101">IF(D188="JASA",G188*F188,0)</f>
        <v>709680</v>
      </c>
      <c r="K188" s="285">
        <f t="shared" ref="K188:K191" ca="1" si="102">SUM(H188:J188)</f>
        <v>709680</v>
      </c>
      <c r="L188" s="290"/>
      <c r="M188" s="290"/>
      <c r="N188" s="290"/>
      <c r="O188" s="286"/>
      <c r="P188" s="286"/>
      <c r="Q188" s="267"/>
      <c r="R188" s="259"/>
      <c r="S188" s="287"/>
      <c r="T188" s="264"/>
      <c r="U188" s="264"/>
      <c r="V188" s="264"/>
    </row>
    <row r="189" spans="1:22" s="291" customFormat="1">
      <c r="A189" s="259" t="e">
        <f>IF(AND(C189=0,#REF!=0,#REF!=0),"BLANKS",1)</f>
        <v>#REF!</v>
      </c>
      <c r="B189" s="293"/>
      <c r="C189" s="109"/>
      <c r="D189" s="281" t="str">
        <f ca="1">IF(ISERROR(OFFSET('HARGA SATUAN'!$D$6,MATCH(RAB!C189,'HARGA SATUAN'!$C$7:$C$1492,0),0)),"",OFFSET('HARGA SATUAN'!$D$6,MATCH(RAB!C189,'HARGA SATUAN'!$C$7:$C$1492,0),0))</f>
        <v/>
      </c>
      <c r="E189" s="282" t="str">
        <f ca="1">IF(B189="+","Unit",IF(ISERROR(OFFSET('HARGA SATUAN'!$E$6,MATCH(RAB!C189,'HARGA SATUAN'!$C$7:$C$1492,0),0)),"",OFFSET('HARGA SATUAN'!$E$6,MATCH(RAB!C189,'HARGA SATUAN'!$C$7:$C$1492,0),0)))</f>
        <v/>
      </c>
      <c r="F189" s="393"/>
      <c r="G189" s="283">
        <f ca="1">IF(ISERROR(OFFSET('HARGA SATUAN'!$I$6,MATCH(RAB!C189,'HARGA SATUAN'!$C$7:$C$1492,0),0)),0,OFFSET('HARGA SATUAN'!$I$6,MATCH(RAB!C189,'HARGA SATUAN'!$C$7:$C$1492,0),0))</f>
        <v>0</v>
      </c>
      <c r="H189" s="284">
        <f t="shared" ca="1" si="99"/>
        <v>0</v>
      </c>
      <c r="I189" s="284">
        <f t="shared" ca="1" si="100"/>
        <v>0</v>
      </c>
      <c r="J189" s="284">
        <f t="shared" ca="1" si="101"/>
        <v>0</v>
      </c>
      <c r="K189" s="285">
        <f t="shared" ca="1" si="102"/>
        <v>0</v>
      </c>
      <c r="L189" s="290"/>
      <c r="M189" s="290"/>
      <c r="N189" s="290"/>
      <c r="O189" s="286"/>
      <c r="P189" s="286"/>
      <c r="Q189" s="267"/>
      <c r="R189" s="259"/>
      <c r="S189" s="287"/>
      <c r="T189" s="264"/>
      <c r="U189" s="264"/>
      <c r="V189" s="264"/>
    </row>
    <row r="190" spans="1:22" s="291" customFormat="1">
      <c r="A190" s="259" t="s">
        <v>1413</v>
      </c>
      <c r="B190" s="293"/>
      <c r="C190" s="109"/>
      <c r="D190" s="281" t="str">
        <f ca="1">IF(ISERROR(OFFSET('HARGA SATUAN'!$D$6,MATCH(RAB!C190,'HARGA SATUAN'!$C$7:$C$1492,0),0)),"",OFFSET('HARGA SATUAN'!$D$6,MATCH(RAB!C190,'HARGA SATUAN'!$C$7:$C$1492,0),0))</f>
        <v/>
      </c>
      <c r="E190" s="282" t="str">
        <f ca="1">IF(B190="+","Unit",IF(ISERROR(OFFSET('HARGA SATUAN'!$E$6,MATCH(RAB!C190,'HARGA SATUAN'!$C$7:$C$1492,0),0)),"",OFFSET('HARGA SATUAN'!$E$6,MATCH(RAB!C190,'HARGA SATUAN'!$C$7:$C$1492,0),0)))</f>
        <v/>
      </c>
      <c r="F190" s="393"/>
      <c r="G190" s="283">
        <f ca="1">IF(ISERROR(OFFSET('HARGA SATUAN'!$I$6,MATCH(RAB!C190,'HARGA SATUAN'!$C$7:$C$1492,0),0)),0,OFFSET('HARGA SATUAN'!$I$6,MATCH(RAB!C190,'HARGA SATUAN'!$C$7:$C$1492,0),0))</f>
        <v>0</v>
      </c>
      <c r="H190" s="284">
        <f t="shared" ca="1" si="99"/>
        <v>0</v>
      </c>
      <c r="I190" s="284">
        <f t="shared" ca="1" si="100"/>
        <v>0</v>
      </c>
      <c r="J190" s="284">
        <f t="shared" ca="1" si="101"/>
        <v>0</v>
      </c>
      <c r="K190" s="285">
        <f t="shared" ca="1" si="102"/>
        <v>0</v>
      </c>
      <c r="L190" s="290"/>
      <c r="M190" s="290"/>
      <c r="N190" s="290"/>
      <c r="O190" s="286"/>
      <c r="P190" s="286"/>
      <c r="Q190" s="267"/>
      <c r="R190" s="259"/>
      <c r="S190" s="287"/>
      <c r="T190" s="264"/>
      <c r="U190" s="264"/>
      <c r="V190" s="264"/>
    </row>
    <row r="191" spans="1:22" s="291" customFormat="1">
      <c r="A191" s="259" t="e">
        <f>IF(AND(C191=0,#REF!=0,#REF!=0),"BLANKS",1)</f>
        <v>#REF!</v>
      </c>
      <c r="B191" s="395"/>
      <c r="C191" s="396"/>
      <c r="D191" s="281" t="str">
        <f ca="1">IF(ISERROR(OFFSET('HARGA SATUAN'!$D$6,MATCH(RAB!C191,'HARGA SATUAN'!$C$7:$C$1492,0),0)),"",OFFSET('HARGA SATUAN'!$D$6,MATCH(RAB!C191,'HARGA SATUAN'!$C$7:$C$1492,0),0))</f>
        <v/>
      </c>
      <c r="E191" s="282" t="str">
        <f ca="1">IF(B191="+","Unit",IF(ISERROR(OFFSET('HARGA SATUAN'!$E$6,MATCH(RAB!C191,'HARGA SATUAN'!$C$7:$C$1492,0),0)),"",OFFSET('HARGA SATUAN'!$E$6,MATCH(RAB!C191,'HARGA SATUAN'!$C$7:$C$1492,0),0)))</f>
        <v/>
      </c>
      <c r="F191" s="393"/>
      <c r="G191" s="283">
        <f ca="1">IF(ISERROR(OFFSET('HARGA SATUAN'!$I$6,MATCH(RAB!C191,'HARGA SATUAN'!$C$7:$C$1492,0),0)),0,OFFSET('HARGA SATUAN'!$I$6,MATCH(RAB!C191,'HARGA SATUAN'!$C$7:$C$1492,0),0))</f>
        <v>0</v>
      </c>
      <c r="H191" s="284">
        <f t="shared" ca="1" si="99"/>
        <v>0</v>
      </c>
      <c r="I191" s="284">
        <f t="shared" ca="1" si="100"/>
        <v>0</v>
      </c>
      <c r="J191" s="284">
        <f t="shared" ca="1" si="101"/>
        <v>0</v>
      </c>
      <c r="K191" s="285">
        <f t="shared" ca="1" si="102"/>
        <v>0</v>
      </c>
      <c r="L191" s="290"/>
      <c r="M191" s="290"/>
      <c r="N191" s="290"/>
      <c r="O191" s="286"/>
      <c r="P191" s="286"/>
      <c r="Q191" s="267"/>
      <c r="R191" s="259"/>
      <c r="S191" s="287"/>
      <c r="T191" s="264"/>
      <c r="U191" s="264"/>
      <c r="V191" s="264"/>
    </row>
    <row r="192" spans="1:22" s="291" customFormat="1">
      <c r="A192" s="259"/>
      <c r="B192" s="397"/>
      <c r="C192" s="398"/>
      <c r="D192" s="281" t="str">
        <f ca="1">IF(ISERROR(OFFSET('HARGA SATUAN'!$D$6,MATCH(RAB!C192,'HARGA SATUAN'!$C$7:$C$1492,0),0)),"",OFFSET('HARGA SATUAN'!$D$6,MATCH(RAB!C192,'HARGA SATUAN'!$C$7:$C$1492,0),0))</f>
        <v/>
      </c>
      <c r="E192" s="282" t="str">
        <f ca="1">IF(B192="+","Unit",IF(ISERROR(OFFSET('HARGA SATUAN'!$E$6,MATCH(RAB!C192,'HARGA SATUAN'!$C$7:$C$1492,0),0)),"",OFFSET('HARGA SATUAN'!$E$6,MATCH(RAB!C192,'HARGA SATUAN'!$C$7:$C$1492,0),0)))</f>
        <v/>
      </c>
      <c r="F192" s="393"/>
      <c r="G192" s="283">
        <f ca="1">IF(ISERROR(OFFSET('HARGA SATUAN'!$I$6,MATCH(RAB!C192,'HARGA SATUAN'!$C$7:$C$1492,0),0)),0,OFFSET('HARGA SATUAN'!$I$6,MATCH(RAB!C192,'HARGA SATUAN'!$C$7:$C$1492,0),0))</f>
        <v>0</v>
      </c>
      <c r="H192" s="284">
        <f t="shared" ref="H192" ca="1" si="103">IF(OR(D192="MDU",D192="MDU-KD"),(IF($O$3="RAB NON MDU","PLN KD",G192*F192)),0)</f>
        <v>0</v>
      </c>
      <c r="I192" s="284">
        <f t="shared" ref="I192" ca="1" si="104">IF(D192="HDW",G192*F192,0)</f>
        <v>0</v>
      </c>
      <c r="J192" s="284">
        <f t="shared" ref="J192" ca="1" si="105">IF(D192="JASA",G192*F192,0)</f>
        <v>0</v>
      </c>
      <c r="K192" s="285">
        <f t="shared" ref="K192" ca="1" si="106">SUM(H192:J192)</f>
        <v>0</v>
      </c>
      <c r="L192" s="290"/>
      <c r="M192" s="290"/>
      <c r="N192" s="290"/>
      <c r="O192" s="286"/>
      <c r="P192" s="286"/>
      <c r="Q192" s="267"/>
      <c r="R192" s="259"/>
      <c r="S192" s="287"/>
      <c r="T192" s="264"/>
      <c r="U192" s="264"/>
      <c r="V192" s="264"/>
    </row>
    <row r="193" spans="2:13">
      <c r="B193" s="295"/>
      <c r="C193" s="292"/>
      <c r="D193" s="281" t="str">
        <f ca="1">IF(ISERROR(OFFSET('HARGA SATUAN'!$D$6,MATCH(RAB!C193,'HARGA SATUAN'!$C$7:$C$1492,0),0)),"",OFFSET('HARGA SATUAN'!$D$6,MATCH(RAB!C193,'HARGA SATUAN'!$C$7:$C$1492,0),0))</f>
        <v/>
      </c>
      <c r="E193" s="282" t="str">
        <f ca="1">IF(B193="+","Unit",IF(ISERROR(OFFSET('HARGA SATUAN'!$E$6,MATCH(RAB!C193,'HARGA SATUAN'!$C$7:$C$1492,0),0)),"",OFFSET('HARGA SATUAN'!$E$6,MATCH(RAB!C193,'HARGA SATUAN'!$C$7:$C$1492,0),0)))</f>
        <v/>
      </c>
      <c r="F193" s="289"/>
      <c r="G193" s="283">
        <f ca="1">IF(ISERROR(OFFSET('HARGA SATUAN'!$I$6,MATCH(RAB!C193,'HARGA SATUAN'!$C$7:$C$1492,0),0)),0,OFFSET('HARGA SATUAN'!$I$6,MATCH(RAB!C193,'HARGA SATUAN'!$C$7:$C$1492,0),0))</f>
        <v>0</v>
      </c>
      <c r="H193" s="284">
        <f t="shared" ref="H193" ca="1" si="107">IF(OR(D193="MDU",D193="MDU-KD"),(IF($O$3="RAB NON MDU","PLN KD",G193*F193)),0)</f>
        <v>0</v>
      </c>
      <c r="I193" s="284">
        <f t="shared" ref="I193" ca="1" si="108">IF(D193="HDW",G193*F193,0)</f>
        <v>0</v>
      </c>
      <c r="J193" s="284">
        <f t="shared" ref="J193" ca="1" si="109">IF(D193="JASA",G193*F193,0)</f>
        <v>0</v>
      </c>
      <c r="K193" s="285">
        <f t="shared" ref="K193" ca="1" si="110">SUM(H193:J193)</f>
        <v>0</v>
      </c>
    </row>
    <row r="194" spans="2:13">
      <c r="B194" s="296"/>
      <c r="C194" s="297" t="s">
        <v>465</v>
      </c>
      <c r="D194" s="281" t="str">
        <f ca="1">IF(ISERROR(OFFSET('HARGA SATUAN'!$D$6,MATCH(RAB!C194,'HARGA SATUAN'!$C$7:$C$1492,0),0)),"",OFFSET('HARGA SATUAN'!$D$6,MATCH(RAB!C194,'HARGA SATUAN'!$C$7:$C$1492,0),0))</f>
        <v/>
      </c>
      <c r="E194" s="282" t="str">
        <f ca="1">IF(B194="+","Unit",IF(ISERROR(OFFSET('HARGA SATUAN'!$E$6,MATCH(RAB!C194,'HARGA SATUAN'!$C$7:$C$1492,0),0)),"",OFFSET('HARGA SATUAN'!$E$6,MATCH(RAB!C194,'HARGA SATUAN'!$C$7:$C$1492,0),0)))</f>
        <v/>
      </c>
      <c r="F194" s="298"/>
      <c r="G194" s="283">
        <f ca="1">IF(ISERROR(OFFSET('HARGA SATUAN'!$I$6,MATCH(RAB!C194,'HARGA SATUAN'!$C$7:$C$1492,0),0)),0,OFFSET('HARGA SATUAN'!$I$6,MATCH(RAB!C194,'HARGA SATUAN'!$C$7:$C$1492,0),0))</f>
        <v>0</v>
      </c>
      <c r="H194" s="284">
        <f t="shared" ref="H194" ca="1" si="111">IF(OR(D194="MDU",D194="MDU-KD"),(IF($O$3="RAB NON MDU","PLN KD",G194*F194)),0)</f>
        <v>0</v>
      </c>
      <c r="I194" s="284">
        <f ca="1">IF(D194="HDW",G194*F194,0)</f>
        <v>0</v>
      </c>
      <c r="J194" s="284">
        <f ca="1">IF(D194="JASA",G194*F194,0)</f>
        <v>0</v>
      </c>
      <c r="K194" s="285">
        <f ca="1">SUM(H194:J194)</f>
        <v>0</v>
      </c>
    </row>
    <row r="195" spans="2:13">
      <c r="B195" s="299">
        <v>1</v>
      </c>
      <c r="C195" s="300" t="s">
        <v>1061</v>
      </c>
      <c r="D195" s="301" t="str">
        <f ca="1">IF(ISERROR(OFFSET('HARGA SATUAN'!$D$6,MATCH(RAB!C195,'HARGA SATUAN'!$C$7:$C$1492,0),0)),"",OFFSET('HARGA SATUAN'!$D$6,MATCH(RAB!C195,'HARGA SATUAN'!$C$7:$C$1492,0),0))</f>
        <v>JASA</v>
      </c>
      <c r="E195" s="302" t="str">
        <f ca="1">IF(ISERROR(OFFSET('HARGA SATUAN'!$E$6,MATCH(RAB!C195,'HARGA SATUAN'!$C$7:$C$1492,0),0)),"",OFFSET('HARGA SATUAN'!$E$6,MATCH(RAB!C195,'HARGA SATUAN'!$C$7:$C$1492,0),0))</f>
        <v>Lot</v>
      </c>
      <c r="F195" s="303">
        <v>1</v>
      </c>
      <c r="G195" s="304">
        <f ca="1">IF(ISERROR(OFFSET('HARGA SATUAN'!$I$6,MATCH(RAB!C195,'HARGA SATUAN'!$C$7:$C$1492,0),0)),0,OFFSET('HARGA SATUAN'!$I$6,MATCH(RAB!C195,'HARGA SATUAN'!$C$7:$C$1492,0),0))</f>
        <v>2.5000000000000001E-2</v>
      </c>
      <c r="H195" s="305"/>
      <c r="I195" s="305"/>
      <c r="J195" s="305">
        <f ca="1">SUM(K15:K193)*G195</f>
        <v>4942534.3916666675</v>
      </c>
      <c r="K195" s="306">
        <f ca="1">SUM(H195:J195)</f>
        <v>4942534.3916666675</v>
      </c>
    </row>
    <row r="196" spans="2:13">
      <c r="B196" s="307"/>
      <c r="C196" s="308"/>
      <c r="D196" s="281" t="str">
        <f ca="1">IF(ISERROR(OFFSET('HARGA SATUAN'!$D$6,MATCH(RAB!C196,'HARGA SATUAN'!$C$7:$C$1492,0),0)),"",OFFSET('HARGA SATUAN'!$D$6,MATCH(RAB!C196,'HARGA SATUAN'!$C$7:$C$1492,0),0))</f>
        <v/>
      </c>
      <c r="E196" s="282" t="str">
        <f ca="1">IF(ISERROR(OFFSET('HARGA SATUAN'!$E$6,MATCH(RAB!C196,'HARGA SATUAN'!$C$7:$C$1492,0),0)),"",OFFSET('HARGA SATUAN'!$E$6,MATCH(RAB!C196,'HARGA SATUAN'!$C$7:$C$1492,0),0))</f>
        <v/>
      </c>
      <c r="F196" s="298"/>
      <c r="G196" s="283" t="str">
        <f ca="1">IF(ISERROR(OFFSET('HARGA SATUAN'!$I$6,MATCH(RAB!C196,'HARGA SATUAN'!$C$7:$C$1492,0),0)),"",OFFSET('HARGA SATUAN'!$I$6,MATCH(RAB!C196,'HARGA SATUAN'!$C$7:$C$1492,0),0))</f>
        <v/>
      </c>
      <c r="H196" s="284">
        <f ca="1">IF(OR(D196="MDU",D196="MDU-KD"),IF(G196="PLN",0,G196*F196),0)</f>
        <v>0</v>
      </c>
      <c r="I196" s="284">
        <f ca="1">IF(D196="HDW",IF(G196="PLN",0,G196*F196),0)</f>
        <v>0</v>
      </c>
      <c r="J196" s="284">
        <f ca="1">IF(D196="JASA",IF(G196="PLN",0,G196*F196),0)</f>
        <v>0</v>
      </c>
      <c r="K196" s="285">
        <f ca="1">SUM(H196:J196)</f>
        <v>0</v>
      </c>
    </row>
    <row r="197" spans="2:13" ht="15.75" thickBot="1">
      <c r="B197" s="309"/>
      <c r="C197" s="310"/>
      <c r="D197" s="311"/>
      <c r="E197" s="312"/>
      <c r="F197" s="312"/>
      <c r="G197" s="312"/>
      <c r="H197" s="313"/>
      <c r="I197" s="313"/>
      <c r="J197" s="313"/>
      <c r="K197" s="314"/>
    </row>
    <row r="198" spans="2:13">
      <c r="B198" s="315"/>
      <c r="C198" s="615" t="s">
        <v>980</v>
      </c>
      <c r="D198" s="615"/>
      <c r="E198" s="615"/>
      <c r="F198" s="615"/>
      <c r="G198" s="316" t="s">
        <v>9</v>
      </c>
      <c r="H198" s="317">
        <f ca="1">SUM(H14:H196)</f>
        <v>128386450</v>
      </c>
      <c r="I198" s="317">
        <f ca="1">SUM(I14:I196)</f>
        <v>57662847.666666672</v>
      </c>
      <c r="J198" s="317">
        <f ca="1">SUM(J14:J196)</f>
        <v>16594612.391666668</v>
      </c>
      <c r="K198" s="317">
        <f ca="1">SUM(K14:K196)</f>
        <v>202643910.05833337</v>
      </c>
    </row>
    <row r="199" spans="2:13">
      <c r="B199" s="318"/>
      <c r="C199" s="632" t="s">
        <v>1426</v>
      </c>
      <c r="D199" s="632"/>
      <c r="E199" s="632"/>
      <c r="F199" s="632"/>
      <c r="G199" s="319" t="s">
        <v>9</v>
      </c>
      <c r="H199" s="320">
        <f ca="1">H198*0.11</f>
        <v>14122509.5</v>
      </c>
      <c r="I199" s="320">
        <f ca="1">I198*0.11</f>
        <v>6342913.2433333341</v>
      </c>
      <c r="J199" s="320">
        <f ca="1">J198*0.11</f>
        <v>1825407.3630833335</v>
      </c>
      <c r="K199" s="320">
        <f ca="1">K198*0.11</f>
        <v>22290830.106416669</v>
      </c>
    </row>
    <row r="200" spans="2:13" ht="15.75" thickBot="1">
      <c r="B200" s="318"/>
      <c r="C200" s="631" t="s">
        <v>453</v>
      </c>
      <c r="D200" s="631"/>
      <c r="E200" s="631"/>
      <c r="F200" s="631"/>
      <c r="G200" s="321" t="s">
        <v>9</v>
      </c>
      <c r="H200" s="322">
        <f ca="1">SUM(H198:H199)</f>
        <v>142508959.5</v>
      </c>
      <c r="I200" s="322">
        <f ca="1">SUM(I198:I199)</f>
        <v>64005760.910000004</v>
      </c>
      <c r="J200" s="321">
        <f ca="1">SUM(J198:J199)</f>
        <v>18420019.754750002</v>
      </c>
      <c r="K200" s="321">
        <f ca="1">SUM(K198:K199)</f>
        <v>224934740.16475004</v>
      </c>
      <c r="M200" s="386"/>
    </row>
    <row r="201" spans="2:13">
      <c r="B201" s="633" t="str">
        <f ca="1">"Terbilang : "&amp;PROPER(IF(K200=0,"nol",IF(K200&lt;0,"minus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IF(--MID(TEXT(ABS(K200),"000000000000000"),1,3)=0,"",MID(TEXT(ABS(K200),"000000000000000"),1,1)&amp;" ratus "&amp;MID(TEXT(ABS(K200),"000000000000000"),2,1)&amp;" puluh "&amp;MID(TEXT(ABS(K200),"000000000000000"),3,1)&amp;" trilyun ")&amp; IF(--MID(TEXT(ABS(K200),"000000000000000"),4,3)=0,"",MID(TEXT(ABS(K200),"000000000000000"),4,1)&amp;" ratus "&amp;MID(TEXT(ABS(K200),"000000000000000"),5,1)&amp;" puluh "&amp;MID(TEXT(ABS(K200),"000000000000000"),6,1)&amp;" milyar ")&amp; IF(--MID(TEXT(ABS(K200),"000000000000000"),7,3)=0,"",MID(TEXT(ABS(K200),"000000000000000"),7,1)&amp;" ratus "&amp;MID(TEXT(ABS(K200),"000000000000000"),8,1)&amp;" puluh "&amp;MID(TEXT(ABS(K200),"000000000000000"),9,1)&amp;" juta ")&amp; IF(--MID(TEXT(ABS(K200),"000000000000000"),10,3)=0,"",IF(--MID(TEXT(ABS(K200),"000000000000000"),10,3)=1,"*",MID(TEXT(ABS(K200),"000000000000000"),10,1)&amp;" ratus "&amp;MID(TEXT(ABS(K200),"000000000000000"),11,1)&amp;" puluh ")&amp;MID(TEXT(ABS(K200),"000000000000000"),12,1)&amp;" ribu ")&amp; IF(--MID(TEXT(ABS(K200),"000000000000000"),13,3)=0,"",MID(TEXT(ABS(K200),"000000000000000"),13,1)&amp;" ratus "&amp;MID(TEXT(ABS(K200),"000000000000000"),14,1)&amp;" puluh "&amp;MID(TEXT(ABS(K200),"000000000000000"),15,1)),1,"satu"),2,"dua"),3,"tiga"),4,"empat"),5,"lima"),6,"enam"),7,"tujuh"),8,"delapan"),9,"sembilan"),"0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Dua Puluh Empat Juta Sembilan Ratus Tiga Puluh Empat Ribu Tujuh Ratus Empat Puluh Rupiah</v>
      </c>
      <c r="C201" s="634"/>
      <c r="D201" s="634"/>
      <c r="E201" s="634"/>
      <c r="F201" s="634"/>
      <c r="G201" s="634"/>
      <c r="H201" s="634"/>
      <c r="I201" s="634"/>
      <c r="J201" s="634"/>
      <c r="K201" s="635"/>
    </row>
    <row r="202" spans="2:13">
      <c r="B202" s="636"/>
      <c r="C202" s="637"/>
      <c r="D202" s="637"/>
      <c r="E202" s="637"/>
      <c r="F202" s="637"/>
      <c r="G202" s="637"/>
      <c r="H202" s="637"/>
      <c r="I202" s="637"/>
      <c r="J202" s="637"/>
      <c r="K202" s="638"/>
    </row>
    <row r="203" spans="2:13" ht="15.75" thickBot="1">
      <c r="B203" s="323" t="str">
        <f>"Harga yang dipakai adalah "&amp;'HARGA SATUAN'!I5&amp;""</f>
        <v>Harga yang dipakai adalah RAB HSS 2023</v>
      </c>
      <c r="C203" s="324"/>
      <c r="D203" s="325"/>
      <c r="E203" s="325"/>
      <c r="F203" s="325"/>
      <c r="G203" s="326"/>
      <c r="H203" s="326"/>
      <c r="I203" s="326"/>
      <c r="J203" s="326"/>
      <c r="K203" s="327"/>
    </row>
    <row r="204" spans="2:13">
      <c r="C204" s="328"/>
      <c r="E204" s="330"/>
      <c r="F204" s="330"/>
      <c r="G204" s="330"/>
    </row>
    <row r="205" spans="2:13">
      <c r="C205" s="260"/>
      <c r="E205" s="330"/>
      <c r="F205" s="330"/>
      <c r="G205" s="330"/>
      <c r="H205" s="639"/>
      <c r="I205" s="639"/>
      <c r="J205" s="640"/>
      <c r="K205" s="640"/>
    </row>
    <row r="206" spans="2:13">
      <c r="C206" s="260"/>
      <c r="E206" s="330"/>
      <c r="F206" s="330"/>
      <c r="G206" s="330"/>
      <c r="H206" s="331"/>
      <c r="I206" s="630" t="s">
        <v>1664</v>
      </c>
      <c r="J206" s="630"/>
      <c r="K206" s="630"/>
    </row>
    <row r="207" spans="2:13">
      <c r="C207" s="260"/>
      <c r="E207" s="330"/>
      <c r="F207" s="330"/>
      <c r="G207" s="330"/>
      <c r="H207" s="331"/>
      <c r="I207" s="630" t="s">
        <v>1634</v>
      </c>
      <c r="J207" s="630"/>
      <c r="K207" s="630"/>
    </row>
    <row r="208" spans="2:13">
      <c r="C208" s="260"/>
      <c r="E208" s="330"/>
      <c r="F208" s="330"/>
      <c r="G208" s="330"/>
      <c r="H208" s="332"/>
      <c r="I208" s="333"/>
      <c r="J208" s="333"/>
      <c r="K208" s="333"/>
    </row>
    <row r="209" spans="3:11">
      <c r="C209" s="260"/>
      <c r="E209" s="330"/>
      <c r="F209" s="330"/>
      <c r="G209" s="330"/>
      <c r="H209" s="332"/>
      <c r="I209" s="332"/>
      <c r="J209" s="332"/>
      <c r="K209" s="332"/>
    </row>
    <row r="210" spans="3:11">
      <c r="C210" s="260"/>
      <c r="E210" s="330"/>
      <c r="F210" s="330"/>
      <c r="G210" s="330"/>
      <c r="H210" s="332"/>
      <c r="I210" s="332"/>
      <c r="J210" s="332"/>
      <c r="K210" s="332"/>
    </row>
    <row r="211" spans="3:11">
      <c r="C211" s="260"/>
      <c r="E211" s="330"/>
      <c r="F211" s="330"/>
      <c r="G211" s="330"/>
      <c r="H211" s="332"/>
      <c r="I211" s="332"/>
      <c r="J211" s="332"/>
      <c r="K211" s="332"/>
    </row>
    <row r="212" spans="3:11">
      <c r="C212" s="260"/>
      <c r="E212" s="330"/>
      <c r="F212" s="330"/>
      <c r="G212" s="330"/>
      <c r="H212" s="334"/>
      <c r="I212" s="630" t="s">
        <v>1635</v>
      </c>
      <c r="J212" s="630"/>
      <c r="K212" s="630"/>
    </row>
    <row r="213" spans="3:11">
      <c r="C213" s="328"/>
      <c r="E213" s="330"/>
      <c r="F213" s="330"/>
      <c r="G213" s="330"/>
      <c r="H213" s="332"/>
      <c r="I213" s="332"/>
      <c r="J213" s="332"/>
      <c r="K213" s="332"/>
    </row>
    <row r="214" spans="3:11">
      <c r="C214" s="328"/>
      <c r="E214" s="330"/>
      <c r="F214" s="330"/>
      <c r="G214" s="330"/>
      <c r="H214" s="332"/>
      <c r="I214" s="332"/>
      <c r="J214" s="332"/>
      <c r="K214" s="332"/>
    </row>
    <row r="215" spans="3:11">
      <c r="C215" s="328"/>
      <c r="E215" s="330"/>
      <c r="F215" s="330"/>
      <c r="G215" s="330"/>
      <c r="H215" s="332"/>
      <c r="I215" s="332"/>
      <c r="J215" s="332"/>
      <c r="K215" s="332"/>
    </row>
  </sheetData>
  <sheetProtection sort="0" autoFilter="0"/>
  <protectedRanges>
    <protectedRange sqref="B193" name="Range1_1"/>
    <protectedRange sqref="F193" name="Range1_1_3"/>
    <protectedRange sqref="F15" name="Range1_1_2_2"/>
    <protectedRange sqref="B192:C192" name="Range1_1_5"/>
    <protectedRange sqref="B191:C191" name="Range1_1_6"/>
    <protectedRange sqref="B171:C172 B183 B22:B24 B184:C186 B177:C182 B187:B190 B140:B145 B26:C31 B32 B46 B33:C45 B71:B73 B64:C70 B61:B62 B57:C60 B54:B55 B47:C53 B119:B120 B122:C127 B128 B129:C139 B94:C97 B91:B92 B112:C118 B83 B84:C90 B108:B110 B101:C107 B98:B99 B75:C82 C167:C169 B173:B176" name="Range1_1_2"/>
    <protectedRange sqref="B15 B25:C25 C22:C24 C46 B74:C74 C71:C73 C61:C62 B63:C63 C54:C55 B56:C56 B121:C121 C119:C120 C83 B111:C111 C108:C110 C98:C99 B100:C100 C91:C92 B93:C93" name="Range1_6"/>
    <protectedRange sqref="C170" name="Range1_1_2_1"/>
    <protectedRange sqref="C183" name="Range1_1_2_3"/>
    <protectedRange sqref="C174 C176" name="Range1_3"/>
    <protectedRange sqref="C173 C175" name="Range1_2_1"/>
    <protectedRange sqref="C140:C145" name="Range1_1_1_2"/>
    <protectedRange sqref="B166:C166" name="Range1_1_4_2"/>
    <protectedRange sqref="B16:B21" name="Range1_1_1_1_1"/>
    <protectedRange sqref="C21 C19 C17" name="Range1_6_1_2"/>
    <protectedRange sqref="C20 C18 C16" name="Range1_1_2_12"/>
    <protectedRange sqref="C188:C189" name="Range1_1_2_11"/>
    <protectedRange sqref="C190" name="Range1_1_2_13"/>
    <protectedRange sqref="B147 B149 B148:C148 B151 B150:C150 B153 B152:C152 B155 B154:C154 B156:C156 B163:C163 B165:C165 B157:B158 B160 B159:C159 B162 B161:C161 B164 B167:B170" name="Range1_1_2_4"/>
    <protectedRange sqref="C147 C149 C151 C153 C155 C157:C158 C160 C162 C164" name="Range1_1_2_1_1"/>
  </protectedRanges>
  <mergeCells count="22">
    <mergeCell ref="I207:K207"/>
    <mergeCell ref="I212:K212"/>
    <mergeCell ref="C200:F200"/>
    <mergeCell ref="I206:K206"/>
    <mergeCell ref="C199:F199"/>
    <mergeCell ref="B201:K202"/>
    <mergeCell ref="H205:K205"/>
    <mergeCell ref="O3:P4"/>
    <mergeCell ref="B4:K4"/>
    <mergeCell ref="C198:F198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19" type="noConversion"/>
  <conditionalFormatting sqref="C20 C18 C15:C16">
    <cfRule type="cellIs" dxfId="23" priority="28" operator="equal">
      <formula>0</formula>
    </cfRule>
  </conditionalFormatting>
  <conditionalFormatting sqref="C170">
    <cfRule type="cellIs" dxfId="22" priority="31" operator="equal">
      <formula>0</formula>
    </cfRule>
  </conditionalFormatting>
  <conditionalFormatting sqref="C173:C176">
    <cfRule type="cellIs" dxfId="21" priority="30" operator="equal">
      <formula>0</formula>
    </cfRule>
  </conditionalFormatting>
  <conditionalFormatting sqref="C180">
    <cfRule type="cellIs" dxfId="20" priority="29" operator="equal">
      <formula>0</formula>
    </cfRule>
  </conditionalFormatting>
  <conditionalFormatting sqref="C187:C190">
    <cfRule type="cellIs" dxfId="19" priority="24" operator="equal">
      <formula>0</formula>
    </cfRule>
  </conditionalFormatting>
  <conditionalFormatting sqref="C193">
    <cfRule type="cellIs" dxfId="18" priority="202" operator="equal">
      <formula>0</formula>
    </cfRule>
  </conditionalFormatting>
  <conditionalFormatting sqref="E1:E3 H12:I12 O13 H193:K197 G194:H194 E196:H196 E197:F197 E170:F170 F166:F169 E5:E169 H155:K170 G47:G170 E171:K192 S14:V192">
    <cfRule type="cellIs" dxfId="17" priority="1005" stopIfTrue="1" operator="equal">
      <formula>0</formula>
    </cfRule>
  </conditionalFormatting>
  <conditionalFormatting sqref="E193:G195">
    <cfRule type="cellIs" dxfId="16" priority="201" stopIfTrue="1" operator="equal">
      <formula>0</formula>
    </cfRule>
  </conditionalFormatting>
  <conditionalFormatting sqref="F14:K23 G24:K42 F43:K43 F135 F73 F67 G44:K46 H47:K154">
    <cfRule type="cellIs" dxfId="15" priority="227" stopIfTrue="1" operator="equal">
      <formula>0</formula>
    </cfRule>
  </conditionalFormatting>
  <conditionalFormatting sqref="G1:G13">
    <cfRule type="cellIs" dxfId="14" priority="32" stopIfTrue="1" operator="equal">
      <formula>0</formula>
    </cfRule>
  </conditionalFormatting>
  <conditionalFormatting sqref="G196:G65662 E201:E65662">
    <cfRule type="cellIs" dxfId="13" priority="139" stopIfTrue="1" operator="equal">
      <formula>0</formula>
    </cfRule>
  </conditionalFormatting>
  <conditionalFormatting sqref="C121">
    <cfRule type="cellIs" dxfId="12" priority="15" operator="equal">
      <formula>0</formula>
    </cfRule>
  </conditionalFormatting>
  <conditionalFormatting sqref="C134">
    <cfRule type="cellIs" dxfId="11" priority="14" operator="equal">
      <formula>0</formula>
    </cfRule>
  </conditionalFormatting>
  <conditionalFormatting sqref="C124">
    <cfRule type="cellIs" dxfId="10" priority="13" operator="equal">
      <formula>0</formula>
    </cfRule>
  </conditionalFormatting>
  <conditionalFormatting sqref="F120:F146">
    <cfRule type="cellIs" dxfId="9" priority="12" stopIfTrue="1" operator="equal">
      <formula>0</formula>
    </cfRule>
  </conditionalFormatting>
  <conditionalFormatting sqref="C81">
    <cfRule type="cellIs" dxfId="8" priority="10" operator="equal">
      <formula>0</formula>
    </cfRule>
  </conditionalFormatting>
  <conditionalFormatting sqref="F24:F42">
    <cfRule type="cellIs" dxfId="7" priority="8" stopIfTrue="1" operator="equal">
      <formula>0</formula>
    </cfRule>
  </conditionalFormatting>
  <conditionalFormatting sqref="F68:F72">
    <cfRule type="cellIs" dxfId="6" priority="7" stopIfTrue="1" operator="equal">
      <formula>0</formula>
    </cfRule>
  </conditionalFormatting>
  <conditionalFormatting sqref="F74:F134">
    <cfRule type="cellIs" dxfId="5" priority="6" stopIfTrue="1" operator="equal">
      <formula>0</formula>
    </cfRule>
  </conditionalFormatting>
  <conditionalFormatting sqref="F139:F145">
    <cfRule type="cellIs" dxfId="4" priority="5" stopIfTrue="1" operator="equal">
      <formula>0</formula>
    </cfRule>
  </conditionalFormatting>
  <conditionalFormatting sqref="F119">
    <cfRule type="cellIs" dxfId="3" priority="4" stopIfTrue="1" operator="equal">
      <formula>0</formula>
    </cfRule>
  </conditionalFormatting>
  <conditionalFormatting sqref="C148:C150 C152:C164">
    <cfRule type="cellIs" dxfId="2" priority="3" stopIfTrue="1" operator="equal">
      <formula>0</formula>
    </cfRule>
  </conditionalFormatting>
  <conditionalFormatting sqref="C165">
    <cfRule type="cellIs" dxfId="1" priority="2" operator="equal">
      <formula>0</formula>
    </cfRule>
  </conditionalFormatting>
  <conditionalFormatting sqref="F147:F165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79:C80 C122:C123 C132:C133 F22:F23 F43 F109 F67:F105 F111:F192 H14:K19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DE823-0DF3-4727-BE8E-4C73614AC7A8}">
  <sheetPr>
    <tabColor rgb="FF92D050"/>
  </sheetPr>
  <dimension ref="C1:AD55"/>
  <sheetViews>
    <sheetView showGridLines="0" view="pageBreakPreview" topLeftCell="A4" zoomScaleNormal="100" zoomScaleSheetLayoutView="100" workbookViewId="0">
      <selection activeCell="J46" sqref="J46"/>
    </sheetView>
  </sheetViews>
  <sheetFormatPr defaultColWidth="9.140625" defaultRowHeight="12"/>
  <cols>
    <col min="1" max="2" width="1.42578125" style="476" customWidth="1"/>
    <col min="3" max="3" width="7.42578125" style="476" customWidth="1"/>
    <col min="4" max="23" width="5.7109375" style="476" customWidth="1"/>
    <col min="24" max="24" width="6.28515625" style="476" customWidth="1"/>
    <col min="25" max="26" width="5.7109375" style="476" customWidth="1"/>
    <col min="27" max="27" width="6.42578125" style="476" customWidth="1"/>
    <col min="28" max="118" width="5.7109375" style="476" customWidth="1"/>
    <col min="119" max="16384" width="9.140625" style="476"/>
  </cols>
  <sheetData>
    <row r="1" spans="3:30" ht="12.75" thickBot="1"/>
    <row r="2" spans="3:30" ht="12.75" customHeight="1">
      <c r="C2" s="399"/>
      <c r="D2" s="400"/>
      <c r="E2" s="400"/>
      <c r="F2" s="400"/>
      <c r="G2" s="400"/>
      <c r="H2" s="400"/>
      <c r="I2" s="400"/>
      <c r="J2" s="400"/>
      <c r="K2" s="400"/>
      <c r="L2" s="400"/>
      <c r="M2" s="400"/>
      <c r="N2" s="400"/>
      <c r="O2" s="400"/>
      <c r="P2" s="400"/>
      <c r="Q2" s="400"/>
      <c r="R2" s="400"/>
      <c r="S2" s="400"/>
      <c r="T2" s="400"/>
      <c r="U2" s="400"/>
      <c r="V2" s="400"/>
      <c r="W2" s="688" t="s">
        <v>1409</v>
      </c>
      <c r="X2" s="689"/>
      <c r="Y2" s="689"/>
      <c r="Z2" s="689"/>
      <c r="AA2" s="689"/>
      <c r="AB2" s="689"/>
      <c r="AC2" s="689"/>
      <c r="AD2" s="690"/>
    </row>
    <row r="3" spans="3:30">
      <c r="C3" s="401"/>
      <c r="D3" s="495" t="s">
        <v>1624</v>
      </c>
      <c r="E3" s="495"/>
      <c r="F3" s="496"/>
      <c r="G3" s="495"/>
      <c r="H3" s="495"/>
      <c r="I3" s="495"/>
      <c r="J3" s="495"/>
      <c r="K3" s="496"/>
      <c r="L3" s="496"/>
      <c r="W3" s="691"/>
      <c r="X3" s="692"/>
      <c r="Y3" s="692"/>
      <c r="Z3" s="692"/>
      <c r="AA3" s="692"/>
      <c r="AB3" s="692"/>
      <c r="AC3" s="692"/>
      <c r="AD3" s="693"/>
    </row>
    <row r="4" spans="3:30">
      <c r="C4" s="401"/>
      <c r="D4" s="683"/>
      <c r="E4" s="683"/>
      <c r="F4" s="437" t="s">
        <v>1582</v>
      </c>
      <c r="G4" s="684" t="s">
        <v>1583</v>
      </c>
      <c r="H4" s="685"/>
      <c r="I4" s="684" t="s">
        <v>1584</v>
      </c>
      <c r="J4" s="685"/>
      <c r="K4" s="686" t="s">
        <v>1585</v>
      </c>
      <c r="L4" s="687"/>
      <c r="W4" s="402" t="s">
        <v>1586</v>
      </c>
      <c r="AD4" s="403"/>
    </row>
    <row r="5" spans="3:30">
      <c r="C5" s="401"/>
      <c r="D5" s="683" t="s">
        <v>1587</v>
      </c>
      <c r="E5" s="683"/>
      <c r="F5" s="437"/>
      <c r="G5" s="684"/>
      <c r="H5" s="685"/>
      <c r="I5" s="684"/>
      <c r="J5" s="685"/>
      <c r="K5" s="686"/>
      <c r="L5" s="687"/>
      <c r="W5" s="436" t="s">
        <v>1588</v>
      </c>
      <c r="X5" s="647" t="s">
        <v>1589</v>
      </c>
      <c r="Y5" s="647"/>
      <c r="Z5" s="647"/>
      <c r="AA5" s="647" t="s">
        <v>1590</v>
      </c>
      <c r="AB5" s="647"/>
      <c r="AC5" s="647" t="s">
        <v>1591</v>
      </c>
      <c r="AD5" s="648"/>
    </row>
    <row r="6" spans="3:30">
      <c r="C6" s="401"/>
      <c r="D6" s="683" t="s">
        <v>1592</v>
      </c>
      <c r="E6" s="683"/>
      <c r="F6" s="437"/>
      <c r="G6" s="684"/>
      <c r="H6" s="685"/>
      <c r="I6" s="684"/>
      <c r="J6" s="685"/>
      <c r="K6" s="686"/>
      <c r="L6" s="687"/>
      <c r="W6" s="436">
        <v>1</v>
      </c>
      <c r="X6" s="647" t="s">
        <v>1593</v>
      </c>
      <c r="Y6" s="647"/>
      <c r="Z6" s="647"/>
      <c r="AA6" s="647"/>
      <c r="AB6" s="647"/>
      <c r="AC6" s="647"/>
      <c r="AD6" s="648"/>
    </row>
    <row r="7" spans="3:30">
      <c r="C7" s="401"/>
      <c r="W7" s="436">
        <v>2</v>
      </c>
      <c r="X7" s="647" t="s">
        <v>1594</v>
      </c>
      <c r="Y7" s="647"/>
      <c r="Z7" s="647"/>
      <c r="AA7" s="647"/>
      <c r="AB7" s="647"/>
      <c r="AC7" s="647"/>
      <c r="AD7" s="648"/>
    </row>
    <row r="8" spans="3:30">
      <c r="C8" s="401"/>
      <c r="W8" s="436">
        <v>3</v>
      </c>
      <c r="X8" s="647" t="s">
        <v>1595</v>
      </c>
      <c r="Y8" s="647"/>
      <c r="Z8" s="647"/>
      <c r="AA8" s="647"/>
      <c r="AB8" s="647"/>
      <c r="AC8" s="647"/>
      <c r="AD8" s="648"/>
    </row>
    <row r="9" spans="3:30">
      <c r="C9" s="401"/>
      <c r="W9" s="436">
        <v>4</v>
      </c>
      <c r="X9" s="647" t="s">
        <v>1596</v>
      </c>
      <c r="Y9" s="647"/>
      <c r="Z9" s="647"/>
      <c r="AA9" s="647"/>
      <c r="AB9" s="647"/>
      <c r="AC9" s="647"/>
      <c r="AD9" s="648"/>
    </row>
    <row r="10" spans="3:30">
      <c r="C10" s="401"/>
      <c r="W10" s="436">
        <v>5</v>
      </c>
      <c r="X10" s="647" t="s">
        <v>1597</v>
      </c>
      <c r="Y10" s="647"/>
      <c r="Z10" s="647"/>
      <c r="AA10" s="647"/>
      <c r="AB10" s="647"/>
      <c r="AC10" s="647"/>
      <c r="AD10" s="648"/>
    </row>
    <row r="11" spans="3:30">
      <c r="C11" s="401"/>
      <c r="W11" s="436">
        <v>6</v>
      </c>
      <c r="X11" s="647" t="s">
        <v>1598</v>
      </c>
      <c r="Y11" s="647"/>
      <c r="Z11" s="647"/>
      <c r="AA11" s="647"/>
      <c r="AB11" s="647"/>
      <c r="AC11" s="647"/>
      <c r="AD11" s="648"/>
    </row>
    <row r="12" spans="3:30">
      <c r="C12" s="401"/>
      <c r="W12" s="436">
        <v>7</v>
      </c>
      <c r="X12" s="647" t="s">
        <v>1599</v>
      </c>
      <c r="Y12" s="647"/>
      <c r="Z12" s="647"/>
      <c r="AA12" s="647"/>
      <c r="AB12" s="647"/>
      <c r="AC12" s="647"/>
      <c r="AD12" s="648"/>
    </row>
    <row r="13" spans="3:30" ht="12.75" customHeight="1">
      <c r="C13" s="401"/>
      <c r="W13" s="436">
        <v>8</v>
      </c>
      <c r="X13" s="647" t="s">
        <v>1600</v>
      </c>
      <c r="Y13" s="647"/>
      <c r="Z13" s="647"/>
      <c r="AA13" s="647"/>
      <c r="AB13" s="647"/>
      <c r="AC13" s="647"/>
      <c r="AD13" s="648"/>
    </row>
    <row r="14" spans="3:30">
      <c r="C14" s="401"/>
      <c r="W14" s="436">
        <v>9</v>
      </c>
      <c r="X14" s="647" t="s">
        <v>1601</v>
      </c>
      <c r="Y14" s="647"/>
      <c r="Z14" s="647"/>
      <c r="AA14" s="647"/>
      <c r="AB14" s="647"/>
      <c r="AC14" s="647"/>
      <c r="AD14" s="648"/>
    </row>
    <row r="15" spans="3:30">
      <c r="C15" s="401"/>
      <c r="W15" s="436">
        <v>10</v>
      </c>
      <c r="X15" s="647" t="s">
        <v>1602</v>
      </c>
      <c r="Y15" s="647"/>
      <c r="Z15" s="647"/>
      <c r="AA15" s="647"/>
      <c r="AB15" s="647"/>
      <c r="AC15" s="647"/>
      <c r="AD15" s="648"/>
    </row>
    <row r="16" spans="3:30">
      <c r="C16" s="401"/>
      <c r="W16" s="436">
        <v>11</v>
      </c>
      <c r="X16" s="647" t="s">
        <v>1603</v>
      </c>
      <c r="Y16" s="647"/>
      <c r="Z16" s="647"/>
      <c r="AA16" s="647"/>
      <c r="AB16" s="647"/>
      <c r="AC16" s="647"/>
      <c r="AD16" s="648"/>
    </row>
    <row r="17" spans="3:30">
      <c r="C17" s="401"/>
      <c r="S17" s="404"/>
      <c r="W17" s="436">
        <v>12</v>
      </c>
      <c r="X17" s="647" t="s">
        <v>1604</v>
      </c>
      <c r="Y17" s="647"/>
      <c r="Z17" s="647"/>
      <c r="AA17" s="647"/>
      <c r="AB17" s="647"/>
      <c r="AC17" s="647"/>
      <c r="AD17" s="648"/>
    </row>
    <row r="18" spans="3:30">
      <c r="C18" s="405"/>
      <c r="D18" s="406"/>
      <c r="E18" s="406"/>
      <c r="W18" s="436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401"/>
      <c r="W19" s="434"/>
      <c r="X19" s="672"/>
      <c r="Y19" s="672"/>
      <c r="Z19" s="672"/>
      <c r="AA19" s="672"/>
      <c r="AB19" s="672"/>
      <c r="AC19" s="672"/>
      <c r="AD19" s="673"/>
    </row>
    <row r="20" spans="3:30">
      <c r="C20" s="401"/>
      <c r="W20" s="674" t="s">
        <v>1605</v>
      </c>
      <c r="X20" s="675"/>
      <c r="Y20" s="675"/>
      <c r="Z20" s="675"/>
      <c r="AA20" s="675"/>
      <c r="AB20" s="675"/>
      <c r="AC20" s="675"/>
      <c r="AD20" s="676"/>
    </row>
    <row r="21" spans="3:30">
      <c r="C21" s="401"/>
      <c r="W21" s="677" t="s">
        <v>1606</v>
      </c>
      <c r="X21" s="678"/>
      <c r="Y21" s="678"/>
      <c r="Z21" s="679"/>
      <c r="AA21" s="680" t="s">
        <v>1607</v>
      </c>
      <c r="AB21" s="681"/>
      <c r="AC21" s="681"/>
      <c r="AD21" s="682"/>
    </row>
    <row r="22" spans="3:30">
      <c r="C22" s="401"/>
      <c r="W22" s="662" t="s">
        <v>1637</v>
      </c>
      <c r="X22" s="704"/>
      <c r="Y22" s="407" t="s">
        <v>1028</v>
      </c>
      <c r="Z22" s="408">
        <v>1</v>
      </c>
      <c r="AA22" s="433"/>
      <c r="AB22" s="433"/>
      <c r="AC22" s="432"/>
      <c r="AD22" s="431"/>
    </row>
    <row r="23" spans="3:30">
      <c r="C23" s="401"/>
      <c r="W23" s="668" t="s">
        <v>1638</v>
      </c>
      <c r="X23" s="669"/>
      <c r="Y23" s="407" t="s">
        <v>1028</v>
      </c>
      <c r="Z23" s="408">
        <v>8</v>
      </c>
      <c r="AA23" s="666" t="s">
        <v>1626</v>
      </c>
      <c r="AB23" s="667"/>
      <c r="AC23" s="432" t="s">
        <v>1028</v>
      </c>
      <c r="AD23" s="431">
        <v>1</v>
      </c>
    </row>
    <row r="24" spans="3:30">
      <c r="C24" s="401"/>
      <c r="W24" s="668" t="s">
        <v>1628</v>
      </c>
      <c r="X24" s="669"/>
      <c r="Y24" s="407" t="s">
        <v>1028</v>
      </c>
      <c r="Z24" s="408">
        <v>1</v>
      </c>
      <c r="AA24" s="670" t="s">
        <v>1629</v>
      </c>
      <c r="AB24" s="671"/>
      <c r="AC24" s="432" t="s">
        <v>1028</v>
      </c>
      <c r="AD24" s="431">
        <v>0</v>
      </c>
    </row>
    <row r="25" spans="3:30">
      <c r="C25" s="401"/>
      <c r="W25" s="664" t="s">
        <v>1514</v>
      </c>
      <c r="X25" s="665"/>
      <c r="Y25" s="409" t="s">
        <v>1028</v>
      </c>
      <c r="Z25" s="410">
        <v>3</v>
      </c>
      <c r="AA25" s="666" t="s">
        <v>1630</v>
      </c>
      <c r="AB25" s="667"/>
      <c r="AC25" s="432" t="s">
        <v>1631</v>
      </c>
      <c r="AD25" s="431">
        <v>0</v>
      </c>
    </row>
    <row r="26" spans="3:30">
      <c r="C26" s="401"/>
      <c r="W26" s="664" t="s">
        <v>1632</v>
      </c>
      <c r="X26" s="665"/>
      <c r="Y26" s="407" t="s">
        <v>1631</v>
      </c>
      <c r="Z26" s="408">
        <v>150</v>
      </c>
      <c r="AA26" s="666" t="s">
        <v>1625</v>
      </c>
      <c r="AB26" s="667"/>
      <c r="AC26" s="432" t="s">
        <v>1028</v>
      </c>
      <c r="AD26" s="431">
        <v>3</v>
      </c>
    </row>
    <row r="27" spans="3:30">
      <c r="C27" s="401"/>
      <c r="W27" s="662" t="s">
        <v>1639</v>
      </c>
      <c r="X27" s="704"/>
      <c r="Y27" s="407" t="s">
        <v>1640</v>
      </c>
      <c r="Z27" s="408">
        <v>3</v>
      </c>
      <c r="AA27" s="657"/>
      <c r="AB27" s="658"/>
      <c r="AC27" s="432"/>
      <c r="AD27" s="431"/>
    </row>
    <row r="28" spans="3:30">
      <c r="C28" s="401"/>
      <c r="W28" s="668" t="s">
        <v>1641</v>
      </c>
      <c r="X28" s="669"/>
      <c r="Y28" s="407" t="s">
        <v>1028</v>
      </c>
      <c r="Z28" s="408">
        <v>2</v>
      </c>
      <c r="AA28" s="657"/>
      <c r="AB28" s="658"/>
      <c r="AC28" s="432"/>
      <c r="AD28" s="431"/>
    </row>
    <row r="29" spans="3:30">
      <c r="C29" s="401"/>
      <c r="W29" s="662" t="s">
        <v>1642</v>
      </c>
      <c r="X29" s="663"/>
      <c r="Y29" s="407" t="s">
        <v>1028</v>
      </c>
      <c r="Z29" s="408">
        <v>2</v>
      </c>
      <c r="AA29" s="657"/>
      <c r="AB29" s="658"/>
      <c r="AC29" s="432"/>
      <c r="AD29" s="431"/>
    </row>
    <row r="30" spans="3:30" ht="11.25" customHeight="1">
      <c r="C30" s="401"/>
      <c r="W30" s="662" t="s">
        <v>1643</v>
      </c>
      <c r="X30" s="663"/>
      <c r="Y30" s="407" t="s">
        <v>1028</v>
      </c>
      <c r="Z30" s="408">
        <v>3</v>
      </c>
      <c r="AA30" s="657"/>
      <c r="AB30" s="658"/>
      <c r="AC30" s="432"/>
      <c r="AD30" s="431"/>
    </row>
    <row r="31" spans="3:30">
      <c r="C31" s="401"/>
      <c r="U31" s="411"/>
      <c r="W31" s="662" t="s">
        <v>1644</v>
      </c>
      <c r="X31" s="663"/>
      <c r="Y31" s="407" t="s">
        <v>1028</v>
      </c>
      <c r="Z31" s="408">
        <v>3</v>
      </c>
      <c r="AA31" s="657"/>
      <c r="AB31" s="658"/>
      <c r="AC31" s="432"/>
      <c r="AD31" s="431"/>
    </row>
    <row r="32" spans="3:30">
      <c r="C32" s="401"/>
      <c r="U32" s="411"/>
      <c r="W32" s="662" t="s">
        <v>1645</v>
      </c>
      <c r="X32" s="663"/>
      <c r="Y32" s="407" t="s">
        <v>1028</v>
      </c>
      <c r="Z32" s="408">
        <v>2</v>
      </c>
      <c r="AA32" s="657"/>
      <c r="AB32" s="658"/>
      <c r="AC32" s="432"/>
      <c r="AD32" s="431"/>
    </row>
    <row r="33" spans="3:30">
      <c r="C33" s="401"/>
      <c r="W33" s="664" t="s">
        <v>1646</v>
      </c>
      <c r="X33" s="665"/>
      <c r="Y33" s="407" t="s">
        <v>1028</v>
      </c>
      <c r="Z33" s="410">
        <v>2</v>
      </c>
      <c r="AA33" s="657"/>
      <c r="AB33" s="658"/>
      <c r="AC33" s="432"/>
      <c r="AD33" s="431"/>
    </row>
    <row r="34" spans="3:30">
      <c r="C34" s="401"/>
      <c r="W34" s="662" t="s">
        <v>1647</v>
      </c>
      <c r="X34" s="704"/>
      <c r="Y34" s="407" t="s">
        <v>1028</v>
      </c>
      <c r="Z34" s="408">
        <v>2</v>
      </c>
      <c r="AA34" s="657"/>
      <c r="AB34" s="658"/>
      <c r="AC34" s="432"/>
      <c r="AD34" s="431"/>
    </row>
    <row r="35" spans="3:30">
      <c r="C35" s="401"/>
      <c r="W35" s="662" t="s">
        <v>1648</v>
      </c>
      <c r="X35" s="704"/>
      <c r="Y35" s="407" t="s">
        <v>1028</v>
      </c>
      <c r="Z35" s="408">
        <v>1</v>
      </c>
      <c r="AA35" s="657"/>
      <c r="AB35" s="658"/>
      <c r="AC35" s="432"/>
      <c r="AD35" s="431"/>
    </row>
    <row r="36" spans="3:30">
      <c r="C36" s="401"/>
      <c r="W36" s="705" t="s">
        <v>1649</v>
      </c>
      <c r="X36" s="706"/>
      <c r="Y36" s="407" t="s">
        <v>1631</v>
      </c>
      <c r="Z36" s="410">
        <v>90</v>
      </c>
      <c r="AA36" s="659"/>
      <c r="AB36" s="658"/>
      <c r="AC36" s="432"/>
      <c r="AD36" s="431"/>
    </row>
    <row r="37" spans="3:30" ht="12.75" customHeight="1">
      <c r="C37" s="401"/>
      <c r="W37" s="707" t="s">
        <v>1650</v>
      </c>
      <c r="X37" s="708"/>
      <c r="Y37" s="407" t="s">
        <v>1651</v>
      </c>
      <c r="Z37" s="410">
        <v>16</v>
      </c>
      <c r="AA37" s="660"/>
      <c r="AB37" s="661"/>
      <c r="AC37" s="428"/>
      <c r="AD37" s="427"/>
    </row>
    <row r="38" spans="3:30" ht="12.75" customHeight="1">
      <c r="C38" s="401"/>
      <c r="W38" s="707" t="s">
        <v>1652</v>
      </c>
      <c r="X38" s="708"/>
      <c r="Y38" s="407" t="s">
        <v>1651</v>
      </c>
      <c r="Z38" s="410">
        <v>3</v>
      </c>
      <c r="AA38" s="430"/>
      <c r="AB38" s="429"/>
      <c r="AC38" s="428"/>
      <c r="AD38" s="427"/>
    </row>
    <row r="39" spans="3:30" ht="12" customHeight="1">
      <c r="C39" s="401"/>
      <c r="W39" s="707" t="s">
        <v>1653</v>
      </c>
      <c r="X39" s="708"/>
      <c r="Y39" s="407" t="s">
        <v>1651</v>
      </c>
      <c r="Z39" s="412">
        <v>1</v>
      </c>
      <c r="AA39" s="655"/>
      <c r="AB39" s="656"/>
      <c r="AC39" s="428"/>
      <c r="AD39" s="427"/>
    </row>
    <row r="40" spans="3:30" ht="12" customHeight="1">
      <c r="C40" s="401"/>
      <c r="W40" s="668" t="s">
        <v>1663</v>
      </c>
      <c r="X40" s="669"/>
      <c r="Y40" s="409" t="s">
        <v>1631</v>
      </c>
      <c r="Z40" s="412">
        <v>600</v>
      </c>
      <c r="AA40" s="438"/>
      <c r="AB40" s="426"/>
      <c r="AC40" s="428"/>
      <c r="AD40" s="427"/>
    </row>
    <row r="41" spans="3:30" ht="12" customHeight="1">
      <c r="C41" s="401"/>
      <c r="W41" s="709"/>
      <c r="X41" s="710"/>
      <c r="Y41" s="413"/>
      <c r="Z41" s="414"/>
      <c r="AA41" s="655"/>
      <c r="AB41" s="656"/>
      <c r="AC41" s="428"/>
      <c r="AD41" s="427"/>
    </row>
    <row r="42" spans="3:30" ht="12" customHeight="1">
      <c r="C42" s="401"/>
      <c r="W42" s="652" t="s">
        <v>1654</v>
      </c>
      <c r="X42" s="653"/>
      <c r="Y42" s="653"/>
      <c r="Z42" s="653"/>
      <c r="AA42" s="653"/>
      <c r="AB42" s="653"/>
      <c r="AC42" s="653"/>
      <c r="AD42" s="654"/>
    </row>
    <row r="43" spans="3:30" ht="12" customHeight="1">
      <c r="C43" s="401"/>
      <c r="V43" s="415"/>
      <c r="W43" s="416"/>
      <c r="X43" s="417"/>
      <c r="Y43" s="417"/>
      <c r="Z43" s="417"/>
      <c r="AA43" s="417"/>
      <c r="AB43" s="417"/>
      <c r="AC43" s="417"/>
      <c r="AD43" s="418"/>
    </row>
    <row r="44" spans="3:30">
      <c r="C44" s="419"/>
      <c r="D44" s="420"/>
      <c r="E44" s="420"/>
      <c r="F44" s="420"/>
      <c r="G44" s="420"/>
      <c r="H44" s="420"/>
      <c r="I44" s="420"/>
      <c r="J44" s="420"/>
      <c r="K44" s="420"/>
      <c r="L44" s="420"/>
      <c r="M44" s="420"/>
      <c r="N44" s="420"/>
      <c r="O44" s="420"/>
      <c r="P44" s="420"/>
      <c r="Q44" s="420"/>
      <c r="R44" s="420"/>
      <c r="S44" s="420"/>
      <c r="T44" s="420"/>
      <c r="U44" s="420"/>
      <c r="V44" s="415"/>
      <c r="W44" s="645" t="s">
        <v>1608</v>
      </c>
      <c r="X44" s="646"/>
      <c r="Y44" s="647"/>
      <c r="Z44" s="647"/>
      <c r="AA44" s="647"/>
      <c r="AB44" s="647"/>
      <c r="AC44" s="647"/>
      <c r="AD44" s="648"/>
    </row>
    <row r="45" spans="3:30">
      <c r="C45" s="419"/>
      <c r="D45" s="420"/>
      <c r="E45" s="420"/>
      <c r="F45" s="420"/>
      <c r="G45" s="420"/>
      <c r="H45" s="420"/>
      <c r="I45" s="420"/>
      <c r="J45" s="420"/>
      <c r="K45" s="420"/>
      <c r="L45" s="420"/>
      <c r="M45" s="420"/>
      <c r="N45" s="420"/>
      <c r="O45" s="420"/>
      <c r="P45" s="420"/>
      <c r="Q45" s="420"/>
      <c r="R45" s="420"/>
      <c r="S45" s="420"/>
      <c r="T45" s="420"/>
      <c r="U45" s="420"/>
      <c r="V45" s="415"/>
      <c r="W45" s="645" t="s">
        <v>1609</v>
      </c>
      <c r="X45" s="646"/>
      <c r="Y45" s="647">
        <v>1</v>
      </c>
      <c r="Z45" s="647"/>
      <c r="AA45" s="647"/>
      <c r="AB45" s="647" t="s">
        <v>1610</v>
      </c>
      <c r="AC45" s="647"/>
      <c r="AD45" s="435" t="s">
        <v>1611</v>
      </c>
    </row>
    <row r="46" spans="3:30">
      <c r="C46" s="419"/>
      <c r="D46" s="420"/>
      <c r="E46" s="420"/>
      <c r="F46" s="420"/>
      <c r="G46" s="420"/>
      <c r="H46" s="420"/>
      <c r="I46" s="420"/>
      <c r="J46" s="420"/>
      <c r="K46" s="420"/>
      <c r="L46" s="420"/>
      <c r="M46" s="420"/>
      <c r="N46" s="420"/>
      <c r="O46" s="420"/>
      <c r="P46" s="420"/>
      <c r="Q46" s="420"/>
      <c r="R46" s="420"/>
      <c r="S46" s="420"/>
      <c r="T46" s="420"/>
      <c r="U46" s="420"/>
      <c r="V46" s="415"/>
      <c r="W46" s="645" t="s">
        <v>1612</v>
      </c>
      <c r="X46" s="646"/>
      <c r="Y46" s="649"/>
      <c r="Z46" s="649"/>
      <c r="AA46" s="649"/>
      <c r="AB46" s="647" t="s">
        <v>1613</v>
      </c>
      <c r="AC46" s="647"/>
      <c r="AD46" s="394"/>
    </row>
    <row r="47" spans="3:30">
      <c r="C47" s="419"/>
      <c r="D47" s="420"/>
      <c r="E47" s="420"/>
      <c r="F47" s="420"/>
      <c r="G47" s="420"/>
      <c r="H47" s="420"/>
      <c r="I47" s="420"/>
      <c r="J47" s="420"/>
      <c r="K47" s="420"/>
      <c r="L47" s="420"/>
      <c r="M47" s="420"/>
      <c r="N47" s="420"/>
      <c r="O47" s="420"/>
      <c r="P47" s="420"/>
      <c r="Q47" s="420"/>
      <c r="R47" s="420"/>
      <c r="S47" s="420"/>
      <c r="T47" s="420"/>
      <c r="U47" s="420"/>
      <c r="V47" s="415"/>
      <c r="W47" s="650" t="s">
        <v>1614</v>
      </c>
      <c r="X47" s="650"/>
      <c r="Y47" s="650"/>
      <c r="Z47" s="650"/>
      <c r="AA47" s="650"/>
      <c r="AB47" s="650"/>
      <c r="AC47" s="650"/>
      <c r="AD47" s="651"/>
    </row>
    <row r="48" spans="3:30" ht="12.75" customHeight="1">
      <c r="C48" s="419"/>
      <c r="D48" s="420"/>
      <c r="E48" s="420"/>
      <c r="F48" s="420"/>
      <c r="G48" s="420"/>
      <c r="H48" s="420"/>
      <c r="I48" s="420"/>
      <c r="J48" s="420"/>
      <c r="K48" s="420"/>
      <c r="L48" s="420"/>
      <c r="M48" s="420"/>
      <c r="N48" s="420"/>
      <c r="O48" s="420"/>
      <c r="P48" s="420"/>
      <c r="Q48" s="420"/>
      <c r="R48" s="420"/>
      <c r="S48" s="420"/>
      <c r="T48" s="420"/>
      <c r="U48" s="420"/>
      <c r="V48" s="415"/>
      <c r="W48" s="507" t="str">
        <f>RAB!G6</f>
        <v>MR DIY KEMBANGARUM</v>
      </c>
      <c r="X48" s="507"/>
      <c r="Y48" s="507"/>
      <c r="Z48" s="507"/>
      <c r="AA48" s="507"/>
      <c r="AB48" s="507"/>
      <c r="AC48" s="507"/>
      <c r="AD48" s="508"/>
    </row>
    <row r="49" spans="3:30">
      <c r="C49" s="419"/>
      <c r="D49" s="420"/>
      <c r="E49" s="420"/>
      <c r="F49" s="420"/>
      <c r="G49" s="420"/>
      <c r="H49" s="420"/>
      <c r="I49" s="420"/>
      <c r="J49" s="420"/>
      <c r="K49" s="420"/>
      <c r="L49" s="420"/>
      <c r="M49" s="420"/>
      <c r="N49" s="420"/>
      <c r="O49" s="420"/>
      <c r="P49" s="420"/>
      <c r="Q49" s="420"/>
      <c r="R49" s="420"/>
      <c r="S49" s="420"/>
      <c r="T49" s="420"/>
      <c r="U49" s="420"/>
      <c r="V49" s="421"/>
      <c r="W49" s="507" t="str">
        <f>RAB!G7</f>
        <v>JL. RAYA KEMBANGARUM MRANGGEN DEMAK</v>
      </c>
      <c r="X49" s="507"/>
      <c r="Y49" s="507"/>
      <c r="Z49" s="507"/>
      <c r="AA49" s="507"/>
      <c r="AB49" s="507"/>
      <c r="AC49" s="507"/>
      <c r="AD49" s="508"/>
    </row>
    <row r="50" spans="3:30">
      <c r="C50" s="419"/>
      <c r="D50" s="420"/>
      <c r="E50" s="420"/>
      <c r="F50" s="420"/>
      <c r="G50" s="420"/>
      <c r="H50" s="420"/>
      <c r="I50" s="420"/>
      <c r="J50" s="420"/>
      <c r="K50" s="420"/>
      <c r="L50" s="420"/>
      <c r="M50" s="420"/>
      <c r="N50" s="420"/>
      <c r="O50" s="420"/>
      <c r="P50" s="420"/>
      <c r="Q50" s="420"/>
      <c r="R50" s="420"/>
      <c r="S50" s="420"/>
      <c r="T50" s="420"/>
      <c r="U50" s="420"/>
      <c r="V50" s="421"/>
      <c r="W50" s="507"/>
      <c r="X50" s="507"/>
      <c r="Y50" s="507"/>
      <c r="Z50" s="507"/>
      <c r="AA50" s="507"/>
      <c r="AB50" s="507"/>
      <c r="AC50" s="507"/>
      <c r="AD50" s="508"/>
    </row>
    <row r="51" spans="3:30" ht="19.5" customHeight="1">
      <c r="C51" s="419"/>
      <c r="D51" s="420"/>
      <c r="E51" s="420"/>
      <c r="F51" s="420"/>
      <c r="G51" s="420"/>
      <c r="H51" s="420"/>
      <c r="I51" s="420"/>
      <c r="J51" s="420"/>
      <c r="K51" s="420"/>
      <c r="L51" s="420"/>
      <c r="M51" s="420"/>
      <c r="N51" s="420"/>
      <c r="O51" s="420"/>
      <c r="P51" s="420"/>
      <c r="Q51" s="420"/>
      <c r="R51" s="420"/>
      <c r="S51" s="420"/>
      <c r="T51" s="420"/>
      <c r="U51" s="420"/>
      <c r="V51" s="421"/>
      <c r="W51" s="509"/>
      <c r="X51" s="509"/>
      <c r="Y51" s="509"/>
      <c r="Z51" s="509"/>
      <c r="AA51" s="509"/>
      <c r="AB51" s="509"/>
      <c r="AC51" s="509"/>
      <c r="AD51" s="510"/>
    </row>
    <row r="52" spans="3:30">
      <c r="C52" s="419"/>
      <c r="D52" s="420"/>
      <c r="E52" s="420"/>
      <c r="F52" s="420"/>
      <c r="G52" s="420"/>
      <c r="H52" s="420"/>
      <c r="I52" s="420"/>
      <c r="J52" s="420"/>
      <c r="K52" s="420"/>
      <c r="L52" s="420"/>
      <c r="M52" s="420"/>
      <c r="N52" s="420"/>
      <c r="O52" s="420"/>
      <c r="P52" s="420"/>
      <c r="Q52" s="420"/>
      <c r="R52" s="420"/>
      <c r="S52" s="420"/>
      <c r="T52" s="420"/>
      <c r="U52" s="420"/>
      <c r="V52" s="415"/>
      <c r="W52" s="645" t="s">
        <v>1615</v>
      </c>
      <c r="X52" s="646"/>
      <c r="Y52" s="647" t="s">
        <v>1616</v>
      </c>
      <c r="Z52" s="647"/>
      <c r="AA52" s="647"/>
      <c r="AB52" s="647"/>
      <c r="AC52" s="647"/>
      <c r="AD52" s="648"/>
    </row>
    <row r="53" spans="3:30">
      <c r="C53" s="419"/>
      <c r="D53" s="420"/>
      <c r="E53" s="420"/>
      <c r="F53" s="420"/>
      <c r="G53" s="420"/>
      <c r="H53" s="420"/>
      <c r="I53" s="420"/>
      <c r="J53" s="420"/>
      <c r="K53" s="420"/>
      <c r="L53" s="420"/>
      <c r="M53" s="420"/>
      <c r="N53" s="420"/>
      <c r="O53" s="420"/>
      <c r="P53" s="420"/>
      <c r="Q53" s="420"/>
      <c r="R53" s="420"/>
      <c r="S53" s="420"/>
      <c r="T53" s="420"/>
      <c r="V53" s="415"/>
      <c r="W53" s="645" t="s">
        <v>1617</v>
      </c>
      <c r="X53" s="646"/>
      <c r="Y53" s="647" t="s">
        <v>1657</v>
      </c>
      <c r="Z53" s="647"/>
      <c r="AA53" s="647"/>
      <c r="AB53" s="647"/>
      <c r="AC53" s="647"/>
      <c r="AD53" s="648"/>
    </row>
    <row r="54" spans="3:30">
      <c r="C54" s="419"/>
      <c r="D54" s="420"/>
      <c r="E54" s="420"/>
      <c r="F54" s="420"/>
      <c r="G54" s="420"/>
      <c r="H54" s="420"/>
      <c r="I54" s="420"/>
      <c r="J54" s="420"/>
      <c r="K54" s="420"/>
      <c r="L54" s="420"/>
      <c r="M54" s="420"/>
      <c r="N54" s="420"/>
      <c r="O54" s="420"/>
      <c r="P54" s="420"/>
      <c r="Q54" s="420"/>
      <c r="R54" s="420"/>
      <c r="S54" s="420"/>
      <c r="T54" s="420"/>
      <c r="V54" s="415"/>
      <c r="W54" s="645" t="s">
        <v>1618</v>
      </c>
      <c r="X54" s="646"/>
      <c r="Y54" s="647" t="s">
        <v>1619</v>
      </c>
      <c r="Z54" s="647"/>
      <c r="AA54" s="647"/>
      <c r="AB54" s="647"/>
      <c r="AC54" s="647"/>
      <c r="AD54" s="648"/>
    </row>
    <row r="55" spans="3:30" ht="12.75" thickBot="1">
      <c r="C55" s="422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  <c r="S55" s="423"/>
      <c r="T55" s="423"/>
      <c r="U55" s="424"/>
      <c r="V55" s="425"/>
      <c r="W55" s="641" t="s">
        <v>1620</v>
      </c>
      <c r="X55" s="642"/>
      <c r="Y55" s="643" t="s">
        <v>1621</v>
      </c>
      <c r="Z55" s="643"/>
      <c r="AA55" s="643"/>
      <c r="AB55" s="643"/>
      <c r="AC55" s="643"/>
      <c r="AD55" s="644"/>
    </row>
  </sheetData>
  <mergeCells count="120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honeticPr fontId="175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3BBB9-07D4-4669-A45C-7368DE8181F3}">
  <sheetPr>
    <tabColor rgb="FF92D050"/>
  </sheetPr>
  <dimension ref="A1:AD120"/>
  <sheetViews>
    <sheetView view="pageBreakPreview" zoomScale="40" zoomScaleNormal="40" zoomScaleSheetLayoutView="40" workbookViewId="0">
      <selection activeCell="AH42" sqref="AH42"/>
    </sheetView>
  </sheetViews>
  <sheetFormatPr defaultColWidth="9.140625" defaultRowHeight="12.75"/>
  <cols>
    <col min="1" max="1" width="1.7109375" style="481" customWidth="1"/>
    <col min="2" max="2" width="10.7109375" style="481" customWidth="1"/>
    <col min="3" max="3" width="2.42578125" style="481" customWidth="1"/>
    <col min="4" max="20" width="9.140625" style="481"/>
    <col min="21" max="21" width="14.42578125" style="481" customWidth="1"/>
    <col min="22" max="22" width="3.140625" style="481" customWidth="1"/>
    <col min="23" max="26" width="9.140625" style="481"/>
    <col min="27" max="27" width="2.85546875" style="481" customWidth="1"/>
    <col min="28" max="30" width="4.7109375" style="481" customWidth="1"/>
    <col min="31" max="31" width="1.7109375" style="481" customWidth="1"/>
    <col min="32" max="16384" width="9.140625" style="481"/>
  </cols>
  <sheetData>
    <row r="1" spans="1:29">
      <c r="A1" s="440"/>
      <c r="B1" s="441"/>
      <c r="C1" s="441"/>
      <c r="D1" s="441"/>
      <c r="E1" s="441"/>
      <c r="F1" s="441"/>
      <c r="G1" s="441"/>
      <c r="H1" s="441"/>
      <c r="I1" s="441"/>
      <c r="J1" s="441"/>
      <c r="K1" s="441"/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2"/>
    </row>
    <row r="2" spans="1:29">
      <c r="A2" s="443"/>
      <c r="W2" s="444"/>
    </row>
    <row r="3" spans="1:29" ht="12.75" customHeight="1">
      <c r="A3" s="443"/>
      <c r="C3" s="694" t="s">
        <v>1622</v>
      </c>
      <c r="D3" s="694"/>
      <c r="E3" s="694"/>
      <c r="F3" s="694"/>
      <c r="G3" s="694"/>
      <c r="H3" s="694"/>
      <c r="I3" s="694"/>
      <c r="J3" s="694"/>
      <c r="K3" s="694"/>
      <c r="L3" s="694"/>
      <c r="M3" s="694"/>
      <c r="N3" s="694"/>
      <c r="O3" s="694"/>
      <c r="P3" s="694"/>
      <c r="Q3" s="694"/>
      <c r="R3" s="694"/>
      <c r="S3" s="694"/>
      <c r="T3" s="694"/>
      <c r="U3" s="694"/>
      <c r="V3" s="694"/>
      <c r="W3" s="444"/>
      <c r="X3" s="492"/>
      <c r="Y3" s="492"/>
      <c r="Z3" s="492"/>
      <c r="AA3" s="492"/>
      <c r="AB3" s="492"/>
      <c r="AC3" s="482"/>
    </row>
    <row r="4" spans="1:29" ht="18.75" customHeight="1">
      <c r="A4" s="443"/>
      <c r="C4" s="694"/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444"/>
      <c r="X4" s="492"/>
      <c r="Y4" s="492"/>
      <c r="Z4" s="492"/>
      <c r="AA4" s="492"/>
      <c r="AB4" s="492"/>
      <c r="AC4" s="482"/>
    </row>
    <row r="5" spans="1:29" ht="12.75" customHeight="1">
      <c r="A5" s="443"/>
      <c r="C5" s="483"/>
      <c r="W5" s="444"/>
    </row>
    <row r="6" spans="1:29" ht="12.75" customHeight="1">
      <c r="A6" s="443"/>
      <c r="C6" s="695" t="s">
        <v>1665</v>
      </c>
      <c r="D6" s="695"/>
      <c r="E6" s="695"/>
      <c r="F6" s="695"/>
      <c r="G6" s="695"/>
      <c r="H6" s="695"/>
      <c r="I6" s="695"/>
      <c r="J6" s="695"/>
      <c r="K6" s="695"/>
      <c r="L6" s="695"/>
      <c r="M6" s="695"/>
      <c r="W6" s="444"/>
      <c r="Y6" s="484"/>
      <c r="Z6" s="484"/>
      <c r="AA6" s="484"/>
      <c r="AB6" s="485"/>
      <c r="AC6" s="485"/>
    </row>
    <row r="7" spans="1:29" ht="18" customHeight="1">
      <c r="A7" s="443"/>
      <c r="C7" s="695"/>
      <c r="D7" s="695"/>
      <c r="E7" s="695"/>
      <c r="F7" s="695"/>
      <c r="G7" s="695"/>
      <c r="H7" s="695"/>
      <c r="I7" s="695"/>
      <c r="J7" s="695"/>
      <c r="K7" s="695"/>
      <c r="L7" s="695"/>
      <c r="M7" s="695"/>
      <c r="W7" s="444"/>
      <c r="Y7" s="484"/>
      <c r="Z7" s="484"/>
      <c r="AA7" s="484"/>
      <c r="AB7" s="485"/>
      <c r="AC7" s="485"/>
    </row>
    <row r="8" spans="1:29">
      <c r="A8" s="443"/>
      <c r="W8" s="444"/>
    </row>
    <row r="9" spans="1:29">
      <c r="A9" s="443"/>
      <c r="W9" s="444"/>
    </row>
    <row r="10" spans="1:29">
      <c r="A10" s="443"/>
      <c r="W10" s="444"/>
    </row>
    <row r="11" spans="1:29">
      <c r="A11" s="443"/>
      <c r="W11" s="444"/>
    </row>
    <row r="12" spans="1:29">
      <c r="A12" s="443"/>
      <c r="D12" s="486"/>
      <c r="W12" s="444"/>
    </row>
    <row r="13" spans="1:29">
      <c r="A13" s="443"/>
      <c r="W13" s="444"/>
    </row>
    <row r="14" spans="1:29">
      <c r="A14" s="443"/>
      <c r="W14" s="444"/>
    </row>
    <row r="15" spans="1:29">
      <c r="A15" s="443"/>
      <c r="W15" s="444"/>
    </row>
    <row r="16" spans="1:29">
      <c r="A16" s="443"/>
      <c r="W16" s="444"/>
    </row>
    <row r="17" spans="1:23">
      <c r="A17" s="443"/>
      <c r="W17" s="444"/>
    </row>
    <row r="18" spans="1:23">
      <c r="A18" s="443"/>
      <c r="W18" s="444"/>
    </row>
    <row r="19" spans="1:23">
      <c r="A19" s="443"/>
      <c r="W19" s="444"/>
    </row>
    <row r="20" spans="1:23">
      <c r="A20" s="443"/>
      <c r="W20" s="444"/>
    </row>
    <row r="21" spans="1:23">
      <c r="A21" s="443"/>
      <c r="W21" s="444"/>
    </row>
    <row r="22" spans="1:23">
      <c r="A22" s="443"/>
      <c r="W22" s="444"/>
    </row>
    <row r="23" spans="1:23">
      <c r="A23" s="443"/>
      <c r="W23" s="444"/>
    </row>
    <row r="24" spans="1:23">
      <c r="A24" s="443"/>
      <c r="W24" s="444"/>
    </row>
    <row r="25" spans="1:23">
      <c r="A25" s="443"/>
      <c r="W25" s="444"/>
    </row>
    <row r="26" spans="1:23">
      <c r="A26" s="443"/>
      <c r="W26" s="444"/>
    </row>
    <row r="27" spans="1:23">
      <c r="A27" s="443"/>
      <c r="W27" s="444"/>
    </row>
    <row r="28" spans="1:23">
      <c r="A28" s="443"/>
      <c r="W28" s="444"/>
    </row>
    <row r="29" spans="1:23">
      <c r="A29" s="443"/>
      <c r="W29" s="444"/>
    </row>
    <row r="30" spans="1:23">
      <c r="A30" s="443"/>
      <c r="W30" s="444"/>
    </row>
    <row r="31" spans="1:23">
      <c r="A31" s="443"/>
      <c r="W31" s="444"/>
    </row>
    <row r="32" spans="1:23">
      <c r="A32" s="443"/>
      <c r="W32" s="444"/>
    </row>
    <row r="33" spans="1:23">
      <c r="A33" s="443"/>
      <c r="W33" s="444"/>
    </row>
    <row r="34" spans="1:23">
      <c r="A34" s="443"/>
      <c r="W34" s="444"/>
    </row>
    <row r="35" spans="1:23">
      <c r="A35" s="443"/>
      <c r="W35" s="444"/>
    </row>
    <row r="36" spans="1:23">
      <c r="A36" s="443"/>
      <c r="W36" s="444"/>
    </row>
    <row r="37" spans="1:23">
      <c r="A37" s="443"/>
      <c r="W37" s="444"/>
    </row>
    <row r="38" spans="1:23">
      <c r="A38" s="443"/>
      <c r="W38" s="444"/>
    </row>
    <row r="39" spans="1:23">
      <c r="A39" s="443"/>
      <c r="W39" s="444"/>
    </row>
    <row r="40" spans="1:23">
      <c r="A40" s="443"/>
      <c r="W40" s="444"/>
    </row>
    <row r="41" spans="1:23">
      <c r="A41" s="443"/>
      <c r="W41" s="444"/>
    </row>
    <row r="42" spans="1:23">
      <c r="A42" s="443"/>
      <c r="W42" s="444"/>
    </row>
    <row r="43" spans="1:23">
      <c r="A43" s="443"/>
      <c r="W43" s="444"/>
    </row>
    <row r="44" spans="1:23">
      <c r="A44" s="443"/>
      <c r="W44" s="444"/>
    </row>
    <row r="45" spans="1:23">
      <c r="A45" s="443"/>
      <c r="W45" s="444"/>
    </row>
    <row r="46" spans="1:23">
      <c r="A46" s="443"/>
      <c r="W46" s="444"/>
    </row>
    <row r="47" spans="1:23">
      <c r="A47" s="443"/>
      <c r="W47" s="444"/>
    </row>
    <row r="48" spans="1:23">
      <c r="A48" s="443"/>
      <c r="W48" s="444"/>
    </row>
    <row r="49" spans="1:30">
      <c r="A49" s="443"/>
      <c r="W49" s="444"/>
    </row>
    <row r="50" spans="1:30">
      <c r="A50" s="443"/>
      <c r="W50" s="444"/>
    </row>
    <row r="51" spans="1:30">
      <c r="A51" s="443"/>
      <c r="W51" s="444"/>
    </row>
    <row r="52" spans="1:30">
      <c r="A52" s="443"/>
      <c r="W52" s="444"/>
    </row>
    <row r="53" spans="1:30">
      <c r="A53" s="443"/>
      <c r="W53" s="444"/>
    </row>
    <row r="54" spans="1:30">
      <c r="A54" s="443"/>
      <c r="R54" s="487"/>
      <c r="S54" s="487"/>
      <c r="T54" s="487"/>
      <c r="U54" s="488"/>
      <c r="V54" s="488"/>
      <c r="W54" s="445"/>
      <c r="X54" s="488"/>
      <c r="Y54" s="488"/>
      <c r="Z54" s="488"/>
      <c r="AA54" s="488"/>
      <c r="AB54" s="488"/>
      <c r="AC54" s="488"/>
      <c r="AD54" s="488"/>
    </row>
    <row r="55" spans="1:30" ht="13.5" thickBot="1">
      <c r="A55" s="446"/>
      <c r="B55" s="447"/>
      <c r="C55" s="447"/>
      <c r="D55" s="447"/>
      <c r="E55" s="447"/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47"/>
      <c r="R55" s="493"/>
      <c r="S55" s="494"/>
      <c r="T55" s="494"/>
      <c r="U55" s="448"/>
      <c r="V55" s="449"/>
      <c r="W55" s="450"/>
      <c r="X55" s="488"/>
      <c r="Y55" s="488"/>
      <c r="Z55" s="488"/>
      <c r="AA55" s="489"/>
      <c r="AB55" s="489"/>
      <c r="AC55" s="489"/>
      <c r="AD55" s="489"/>
    </row>
    <row r="56" spans="1:30">
      <c r="U56" s="488"/>
      <c r="V56" s="489"/>
      <c r="W56" s="488"/>
      <c r="X56" s="488"/>
      <c r="Y56" s="488"/>
      <c r="Z56" s="488"/>
      <c r="AA56" s="489"/>
      <c r="AB56" s="488"/>
      <c r="AC56" s="488"/>
      <c r="AD56" s="488"/>
    </row>
    <row r="57" spans="1:30">
      <c r="U57" s="488"/>
      <c r="V57" s="489"/>
      <c r="W57" s="488"/>
      <c r="X57" s="488"/>
      <c r="Y57" s="488"/>
      <c r="Z57" s="488"/>
      <c r="AA57" s="488"/>
      <c r="AB57" s="488"/>
      <c r="AC57" s="488"/>
      <c r="AD57" s="488"/>
    </row>
    <row r="58" spans="1:30">
      <c r="U58" s="488"/>
      <c r="V58" s="489"/>
      <c r="W58" s="488"/>
      <c r="X58" s="488"/>
      <c r="Y58" s="488"/>
      <c r="Z58" s="488"/>
      <c r="AA58" s="488"/>
      <c r="AB58" s="488"/>
      <c r="AC58" s="488"/>
      <c r="AD58" s="488"/>
    </row>
    <row r="59" spans="1:30">
      <c r="U59" s="488"/>
      <c r="V59" s="489"/>
      <c r="W59" s="488"/>
      <c r="X59" s="488"/>
      <c r="Y59" s="488"/>
      <c r="Z59" s="488"/>
      <c r="AA59" s="488"/>
      <c r="AB59" s="488"/>
      <c r="AC59" s="488"/>
      <c r="AD59" s="488"/>
    </row>
    <row r="60" spans="1:30">
      <c r="U60" s="488"/>
      <c r="V60" s="489"/>
      <c r="W60" s="488"/>
      <c r="X60" s="488"/>
      <c r="Y60" s="488"/>
      <c r="Z60" s="488"/>
      <c r="AA60" s="489"/>
      <c r="AB60" s="488"/>
      <c r="AC60" s="488"/>
      <c r="AD60" s="488"/>
    </row>
    <row r="61" spans="1:30">
      <c r="U61" s="488"/>
      <c r="V61" s="489"/>
      <c r="W61" s="488"/>
      <c r="X61" s="488"/>
      <c r="Y61" s="488"/>
      <c r="Z61" s="488"/>
      <c r="AA61" s="488"/>
      <c r="AB61" s="488"/>
      <c r="AC61" s="488"/>
      <c r="AD61" s="488"/>
    </row>
    <row r="62" spans="1:30">
      <c r="U62" s="488"/>
      <c r="V62" s="489"/>
      <c r="W62" s="488"/>
      <c r="X62" s="488"/>
      <c r="Y62" s="488"/>
      <c r="Z62" s="488"/>
      <c r="AA62" s="488"/>
      <c r="AB62" s="488"/>
      <c r="AC62" s="488"/>
      <c r="AD62" s="488"/>
    </row>
    <row r="63" spans="1:30">
      <c r="U63" s="488"/>
      <c r="V63" s="489"/>
      <c r="W63" s="488"/>
      <c r="X63" s="488"/>
      <c r="Y63" s="488"/>
      <c r="Z63" s="488"/>
      <c r="AA63" s="488"/>
      <c r="AB63" s="488"/>
      <c r="AC63" s="488"/>
      <c r="AD63" s="488"/>
    </row>
    <row r="64" spans="1:30">
      <c r="U64" s="488"/>
      <c r="V64" s="489"/>
      <c r="W64" s="488"/>
      <c r="X64" s="488"/>
      <c r="Y64" s="488"/>
      <c r="Z64" s="488"/>
      <c r="AA64" s="488"/>
      <c r="AB64" s="488"/>
      <c r="AC64" s="488"/>
      <c r="AD64" s="488"/>
    </row>
    <row r="65" spans="5:30">
      <c r="U65" s="488"/>
      <c r="V65" s="489"/>
      <c r="W65" s="488"/>
      <c r="X65" s="488"/>
      <c r="Y65" s="488"/>
      <c r="Z65" s="488"/>
      <c r="AA65" s="488"/>
      <c r="AB65" s="488"/>
      <c r="AC65" s="488"/>
      <c r="AD65" s="488"/>
    </row>
    <row r="66" spans="5:30" ht="6" customHeight="1"/>
    <row r="73" spans="5:30">
      <c r="M73" s="490"/>
    </row>
    <row r="74" spans="5:30" ht="15" customHeight="1">
      <c r="E74" s="491"/>
      <c r="M74" s="490"/>
    </row>
    <row r="75" spans="5:30" ht="15" customHeight="1">
      <c r="E75" s="491"/>
      <c r="M75" s="490"/>
    </row>
    <row r="76" spans="5:30" ht="15" customHeight="1">
      <c r="E76" s="491"/>
      <c r="M76" s="490"/>
    </row>
    <row r="77" spans="5:30" ht="15" customHeight="1">
      <c r="E77" s="491"/>
      <c r="M77" s="490"/>
    </row>
    <row r="78" spans="5:30" ht="15" customHeight="1">
      <c r="E78" s="491"/>
      <c r="M78" s="490"/>
    </row>
    <row r="79" spans="5:30" ht="15" customHeight="1">
      <c r="E79" s="491"/>
      <c r="M79" s="490"/>
    </row>
    <row r="80" spans="5:30" ht="15" customHeight="1">
      <c r="E80" s="491"/>
      <c r="M80" s="490"/>
    </row>
    <row r="81" spans="5:13" ht="15" customHeight="1">
      <c r="E81" s="491"/>
      <c r="M81" s="490"/>
    </row>
    <row r="82" spans="5:13" ht="15" customHeight="1">
      <c r="E82" s="491"/>
      <c r="M82" s="490"/>
    </row>
    <row r="83" spans="5:13" ht="15" customHeight="1">
      <c r="E83" s="491"/>
      <c r="M83" s="490"/>
    </row>
    <row r="84" spans="5:13" ht="15" customHeight="1">
      <c r="E84" s="491"/>
      <c r="M84" s="490"/>
    </row>
    <row r="85" spans="5:13" ht="15" customHeight="1">
      <c r="E85" s="491"/>
      <c r="M85" s="490"/>
    </row>
    <row r="86" spans="5:13" ht="15" customHeight="1">
      <c r="E86" s="491"/>
      <c r="M86" s="490"/>
    </row>
    <row r="87" spans="5:13" ht="15" customHeight="1">
      <c r="E87" s="491"/>
      <c r="M87" s="490"/>
    </row>
    <row r="88" spans="5:13" ht="15" customHeight="1">
      <c r="E88" s="491"/>
      <c r="M88" s="490"/>
    </row>
    <row r="89" spans="5:13" ht="15" customHeight="1">
      <c r="E89" s="491"/>
      <c r="M89" s="490"/>
    </row>
    <row r="90" spans="5:13" ht="15" customHeight="1">
      <c r="E90" s="491"/>
      <c r="M90" s="490"/>
    </row>
    <row r="91" spans="5:13" ht="15" customHeight="1">
      <c r="E91" s="491"/>
      <c r="M91" s="490"/>
    </row>
    <row r="92" spans="5:13" ht="15" customHeight="1">
      <c r="E92" s="491"/>
      <c r="M92" s="490"/>
    </row>
    <row r="93" spans="5:13" ht="15" customHeight="1">
      <c r="E93" s="491"/>
      <c r="M93" s="490"/>
    </row>
    <row r="94" spans="5:13" ht="15" customHeight="1">
      <c r="E94" s="491"/>
      <c r="M94" s="490"/>
    </row>
    <row r="95" spans="5:13" ht="15" customHeight="1">
      <c r="E95" s="491"/>
      <c r="M95" s="490"/>
    </row>
    <row r="96" spans="5:13" ht="15" customHeight="1">
      <c r="E96" s="491"/>
    </row>
    <row r="97" spans="5:5" ht="15" customHeight="1">
      <c r="E97" s="491"/>
    </row>
    <row r="98" spans="5:5" ht="15" customHeight="1">
      <c r="E98" s="491"/>
    </row>
    <row r="99" spans="5:5" ht="15" customHeight="1">
      <c r="E99" s="491"/>
    </row>
    <row r="100" spans="5:5" ht="15" customHeight="1">
      <c r="E100" s="491"/>
    </row>
    <row r="101" spans="5:5" ht="15" customHeight="1">
      <c r="E101" s="491"/>
    </row>
    <row r="102" spans="5:5" ht="15" customHeight="1">
      <c r="E102" s="491"/>
    </row>
    <row r="103" spans="5:5" ht="15" customHeight="1">
      <c r="E103" s="491"/>
    </row>
    <row r="104" spans="5:5" ht="15" customHeight="1">
      <c r="E104" s="491"/>
    </row>
    <row r="105" spans="5:5" ht="15" customHeight="1">
      <c r="E105" s="491"/>
    </row>
    <row r="106" spans="5:5" ht="15" customHeight="1">
      <c r="E106" s="491"/>
    </row>
    <row r="107" spans="5:5" ht="15" customHeight="1">
      <c r="E107" s="491"/>
    </row>
    <row r="108" spans="5:5" ht="15" customHeight="1">
      <c r="E108" s="491"/>
    </row>
    <row r="109" spans="5:5" ht="15" customHeight="1">
      <c r="E109" s="491"/>
    </row>
    <row r="110" spans="5:5" ht="15" customHeight="1">
      <c r="E110" s="491"/>
    </row>
    <row r="111" spans="5:5" ht="15" customHeight="1">
      <c r="E111" s="491"/>
    </row>
    <row r="112" spans="5:5" ht="15" customHeight="1">
      <c r="E112" s="491"/>
    </row>
    <row r="113" spans="5:5" ht="15" customHeight="1">
      <c r="E113" s="491"/>
    </row>
    <row r="114" spans="5:5" ht="15" customHeight="1">
      <c r="E114" s="491"/>
    </row>
    <row r="115" spans="5:5" ht="15" customHeight="1">
      <c r="E115" s="491"/>
    </row>
    <row r="116" spans="5:5" ht="15" customHeight="1">
      <c r="E116" s="491"/>
    </row>
    <row r="117" spans="5:5" ht="15" customHeight="1">
      <c r="E117" s="491"/>
    </row>
    <row r="118" spans="5:5" ht="15" customHeight="1">
      <c r="E118" s="491"/>
    </row>
    <row r="119" spans="5:5" ht="15" customHeight="1">
      <c r="E119" s="491"/>
    </row>
    <row r="120" spans="5:5">
      <c r="E120" s="491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582FC-4E08-42C1-91EF-22FAC09FC13A}">
  <sheetPr>
    <tabColor rgb="FF92D050"/>
  </sheetPr>
  <dimension ref="B1:AF68"/>
  <sheetViews>
    <sheetView view="pageBreakPreview" topLeftCell="A25" zoomScale="55" zoomScaleNormal="55" zoomScaleSheetLayoutView="55" workbookViewId="0">
      <selection activeCell="AG41" sqref="AG41"/>
    </sheetView>
  </sheetViews>
  <sheetFormatPr defaultColWidth="9.140625" defaultRowHeight="12.75"/>
  <cols>
    <col min="1" max="1" width="1.7109375" style="452" customWidth="1"/>
    <col min="2" max="2" width="1.42578125" style="452" customWidth="1"/>
    <col min="3" max="3" width="10.7109375" style="452" customWidth="1"/>
    <col min="4" max="4" width="2.42578125" style="452" customWidth="1"/>
    <col min="5" max="21" width="9.140625" style="452"/>
    <col min="22" max="22" width="14.42578125" style="452" customWidth="1"/>
    <col min="23" max="23" width="3.140625" style="452" customWidth="1"/>
    <col min="24" max="27" width="9.140625" style="452"/>
    <col min="28" max="28" width="2.85546875" style="452" customWidth="1"/>
    <col min="29" max="31" width="4.7109375" style="452" customWidth="1"/>
    <col min="32" max="32" width="1.7109375" style="452" customWidth="1"/>
    <col min="33" max="16384" width="9.140625" style="452"/>
  </cols>
  <sheetData>
    <row r="1" spans="2:32" ht="13.5" thickBot="1"/>
    <row r="2" spans="2:32" ht="6" customHeight="1" thickBot="1">
      <c r="B2" s="453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  <c r="S2" s="454"/>
      <c r="T2" s="454"/>
      <c r="U2" s="454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5"/>
    </row>
    <row r="3" spans="2:32" ht="13.5" thickBot="1">
      <c r="B3" s="456"/>
      <c r="C3" s="453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454"/>
      <c r="Z3" s="454"/>
      <c r="AA3" s="454"/>
      <c r="AB3" s="454"/>
      <c r="AC3" s="454"/>
      <c r="AD3" s="454"/>
      <c r="AE3" s="455"/>
      <c r="AF3" s="457"/>
    </row>
    <row r="4" spans="2:32" ht="12.75" customHeight="1">
      <c r="B4" s="456"/>
      <c r="C4" s="456"/>
      <c r="D4" s="696" t="s">
        <v>1623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458"/>
      <c r="AE4" s="457"/>
      <c r="AF4" s="457"/>
    </row>
    <row r="5" spans="2:32" ht="13.5" customHeight="1">
      <c r="B5" s="456"/>
      <c r="C5" s="456"/>
      <c r="D5" s="699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4"/>
      <c r="P5" s="694"/>
      <c r="Q5" s="694"/>
      <c r="R5" s="694"/>
      <c r="S5" s="694"/>
      <c r="T5" s="694"/>
      <c r="U5" s="694"/>
      <c r="V5" s="694"/>
      <c r="W5" s="694"/>
      <c r="X5" s="694"/>
      <c r="Y5" s="694"/>
      <c r="Z5" s="694"/>
      <c r="AA5" s="694"/>
      <c r="AB5" s="694"/>
      <c r="AC5" s="700"/>
      <c r="AD5" s="458"/>
      <c r="AE5" s="457"/>
      <c r="AF5" s="457"/>
    </row>
    <row r="6" spans="2:32" ht="12.75" customHeight="1">
      <c r="B6" s="456"/>
      <c r="C6" s="456"/>
      <c r="D6" s="699"/>
      <c r="E6" s="694"/>
      <c r="F6" s="694"/>
      <c r="G6" s="694"/>
      <c r="H6" s="694"/>
      <c r="I6" s="694"/>
      <c r="J6" s="694"/>
      <c r="K6" s="694"/>
      <c r="L6" s="694"/>
      <c r="M6" s="694"/>
      <c r="N6" s="694"/>
      <c r="O6" s="694"/>
      <c r="P6" s="694"/>
      <c r="Q6" s="694"/>
      <c r="R6" s="694"/>
      <c r="S6" s="694"/>
      <c r="T6" s="694"/>
      <c r="U6" s="694"/>
      <c r="V6" s="694"/>
      <c r="W6" s="694"/>
      <c r="X6" s="694"/>
      <c r="Y6" s="694"/>
      <c r="Z6" s="694"/>
      <c r="AA6" s="694"/>
      <c r="AB6" s="694"/>
      <c r="AC6" s="700"/>
      <c r="AE6" s="457"/>
      <c r="AF6" s="457"/>
    </row>
    <row r="7" spans="2:32" ht="12.75" customHeight="1" thickBot="1">
      <c r="B7" s="456"/>
      <c r="C7" s="456"/>
      <c r="D7" s="701"/>
      <c r="E7" s="702"/>
      <c r="F7" s="702"/>
      <c r="G7" s="702"/>
      <c r="H7" s="702"/>
      <c r="I7" s="702"/>
      <c r="J7" s="702"/>
      <c r="K7" s="702"/>
      <c r="L7" s="702"/>
      <c r="M7" s="702"/>
      <c r="N7" s="702"/>
      <c r="O7" s="702"/>
      <c r="P7" s="702"/>
      <c r="Q7" s="702"/>
      <c r="R7" s="702"/>
      <c r="S7" s="702"/>
      <c r="T7" s="702"/>
      <c r="U7" s="702"/>
      <c r="V7" s="702"/>
      <c r="W7" s="702"/>
      <c r="X7" s="702"/>
      <c r="Y7" s="702"/>
      <c r="Z7" s="702"/>
      <c r="AA7" s="702"/>
      <c r="AB7" s="702"/>
      <c r="AC7" s="703"/>
      <c r="AD7" s="460"/>
      <c r="AE7" s="457"/>
      <c r="AF7" s="457"/>
    </row>
    <row r="8" spans="2:32" ht="12.75" customHeight="1">
      <c r="B8" s="456"/>
      <c r="C8" s="456"/>
      <c r="Z8" s="459"/>
      <c r="AA8" s="459"/>
      <c r="AB8" s="459"/>
      <c r="AC8" s="460"/>
      <c r="AD8" s="460"/>
      <c r="AE8" s="457"/>
      <c r="AF8" s="457"/>
    </row>
    <row r="9" spans="2:32" ht="12.75" customHeight="1">
      <c r="B9" s="456"/>
      <c r="C9" s="456"/>
      <c r="AE9" s="457"/>
      <c r="AF9" s="457"/>
    </row>
    <row r="10" spans="2:32" ht="12.75" customHeight="1">
      <c r="B10" s="456"/>
      <c r="C10" s="456"/>
      <c r="AE10" s="457"/>
      <c r="AF10" s="457"/>
    </row>
    <row r="11" spans="2:32">
      <c r="B11" s="456"/>
      <c r="C11" s="456"/>
      <c r="D11" s="462"/>
      <c r="AE11" s="457"/>
      <c r="AF11" s="457"/>
    </row>
    <row r="12" spans="2:32">
      <c r="B12" s="456"/>
      <c r="C12" s="456"/>
      <c r="AE12" s="457"/>
      <c r="AF12" s="457"/>
    </row>
    <row r="13" spans="2:32">
      <c r="B13" s="456"/>
      <c r="C13" s="456"/>
      <c r="AE13" s="457"/>
      <c r="AF13" s="457"/>
    </row>
    <row r="14" spans="2:32">
      <c r="B14" s="456"/>
      <c r="C14" s="456"/>
      <c r="AE14" s="457"/>
      <c r="AF14" s="457"/>
    </row>
    <row r="15" spans="2:32">
      <c r="B15" s="456"/>
      <c r="C15" s="456"/>
      <c r="E15" s="461"/>
      <c r="AE15" s="457"/>
      <c r="AF15" s="457"/>
    </row>
    <row r="16" spans="2:32">
      <c r="B16" s="456"/>
      <c r="C16" s="456"/>
      <c r="AE16" s="457"/>
      <c r="AF16" s="457"/>
    </row>
    <row r="17" spans="2:32">
      <c r="B17" s="456"/>
      <c r="C17" s="456"/>
      <c r="AE17" s="457"/>
      <c r="AF17" s="457"/>
    </row>
    <row r="18" spans="2:32">
      <c r="B18" s="456"/>
      <c r="C18" s="456"/>
      <c r="AE18" s="457"/>
      <c r="AF18" s="457"/>
    </row>
    <row r="19" spans="2:32">
      <c r="B19" s="456"/>
      <c r="C19" s="456"/>
      <c r="AE19" s="457"/>
      <c r="AF19" s="457"/>
    </row>
    <row r="20" spans="2:32">
      <c r="B20" s="456"/>
      <c r="C20" s="456"/>
      <c r="AE20" s="457"/>
      <c r="AF20" s="457"/>
    </row>
    <row r="21" spans="2:32">
      <c r="B21" s="456"/>
      <c r="C21" s="456"/>
      <c r="AE21" s="457"/>
      <c r="AF21" s="457"/>
    </row>
    <row r="22" spans="2:32">
      <c r="B22" s="456"/>
      <c r="C22" s="456"/>
      <c r="AE22" s="457"/>
      <c r="AF22" s="457"/>
    </row>
    <row r="23" spans="2:32">
      <c r="B23" s="456"/>
      <c r="C23" s="456"/>
      <c r="AE23" s="457"/>
      <c r="AF23" s="457"/>
    </row>
    <row r="24" spans="2:32">
      <c r="B24" s="456"/>
      <c r="C24" s="456"/>
      <c r="AE24" s="457"/>
      <c r="AF24" s="457"/>
    </row>
    <row r="25" spans="2:32">
      <c r="B25" s="456"/>
      <c r="C25" s="456"/>
      <c r="AE25" s="457"/>
      <c r="AF25" s="457"/>
    </row>
    <row r="26" spans="2:32">
      <c r="B26" s="456"/>
      <c r="C26" s="456"/>
      <c r="AE26" s="457"/>
      <c r="AF26" s="457"/>
    </row>
    <row r="27" spans="2:32">
      <c r="B27" s="456"/>
      <c r="C27" s="456"/>
      <c r="AE27" s="457"/>
      <c r="AF27" s="457"/>
    </row>
    <row r="28" spans="2:32">
      <c r="B28" s="456"/>
      <c r="C28" s="456"/>
      <c r="AE28" s="457"/>
      <c r="AF28" s="457"/>
    </row>
    <row r="29" spans="2:32">
      <c r="B29" s="456"/>
      <c r="C29" s="456"/>
      <c r="AE29" s="457"/>
      <c r="AF29" s="457"/>
    </row>
    <row r="30" spans="2:32">
      <c r="B30" s="456"/>
      <c r="C30" s="456"/>
      <c r="AE30" s="457"/>
      <c r="AF30" s="457"/>
    </row>
    <row r="31" spans="2:32">
      <c r="B31" s="456"/>
      <c r="C31" s="456"/>
      <c r="AE31" s="457"/>
      <c r="AF31" s="457"/>
    </row>
    <row r="32" spans="2:32">
      <c r="B32" s="456"/>
      <c r="C32" s="456"/>
      <c r="AE32" s="457"/>
      <c r="AF32" s="457"/>
    </row>
    <row r="33" spans="2:32">
      <c r="B33" s="456"/>
      <c r="C33" s="456"/>
      <c r="AE33" s="457"/>
      <c r="AF33" s="457"/>
    </row>
    <row r="34" spans="2:32">
      <c r="B34" s="456"/>
      <c r="C34" s="456"/>
      <c r="AE34" s="457"/>
      <c r="AF34" s="457"/>
    </row>
    <row r="35" spans="2:32">
      <c r="B35" s="456"/>
      <c r="C35" s="456"/>
      <c r="AE35" s="457"/>
      <c r="AF35" s="457"/>
    </row>
    <row r="36" spans="2:32">
      <c r="B36" s="456"/>
      <c r="C36" s="456"/>
      <c r="AE36" s="457"/>
      <c r="AF36" s="457"/>
    </row>
    <row r="37" spans="2:32">
      <c r="B37" s="456"/>
      <c r="C37" s="456"/>
      <c r="AE37" s="457"/>
      <c r="AF37" s="457"/>
    </row>
    <row r="38" spans="2:32">
      <c r="B38" s="456"/>
      <c r="C38" s="456"/>
      <c r="AE38" s="457"/>
      <c r="AF38" s="457"/>
    </row>
    <row r="39" spans="2:32">
      <c r="B39" s="456"/>
      <c r="C39" s="456"/>
      <c r="AE39" s="457"/>
      <c r="AF39" s="457"/>
    </row>
    <row r="40" spans="2:32">
      <c r="B40" s="456"/>
      <c r="C40" s="456"/>
      <c r="AE40" s="457"/>
      <c r="AF40" s="457"/>
    </row>
    <row r="41" spans="2:32">
      <c r="B41" s="456"/>
      <c r="C41" s="456"/>
      <c r="AE41" s="457"/>
      <c r="AF41" s="457"/>
    </row>
    <row r="42" spans="2:32">
      <c r="B42" s="456"/>
      <c r="C42" s="456"/>
      <c r="AE42" s="457"/>
      <c r="AF42" s="457"/>
    </row>
    <row r="43" spans="2:32">
      <c r="B43" s="456"/>
      <c r="C43" s="456"/>
      <c r="AE43" s="457"/>
      <c r="AF43" s="457"/>
    </row>
    <row r="44" spans="2:32">
      <c r="B44" s="456"/>
      <c r="C44" s="456"/>
      <c r="AE44" s="457"/>
      <c r="AF44" s="457"/>
    </row>
    <row r="45" spans="2:32">
      <c r="B45" s="456"/>
      <c r="C45" s="456"/>
      <c r="AE45" s="457"/>
      <c r="AF45" s="457"/>
    </row>
    <row r="46" spans="2:32">
      <c r="B46" s="456"/>
      <c r="C46" s="456"/>
      <c r="AE46" s="457"/>
      <c r="AF46" s="457"/>
    </row>
    <row r="47" spans="2:32">
      <c r="B47" s="456"/>
      <c r="C47" s="456"/>
      <c r="AE47" s="457"/>
      <c r="AF47" s="457"/>
    </row>
    <row r="48" spans="2:32">
      <c r="B48" s="456"/>
      <c r="C48" s="456"/>
      <c r="AE48" s="457"/>
      <c r="AF48" s="457"/>
    </row>
    <row r="49" spans="2:32">
      <c r="B49" s="456"/>
      <c r="C49" s="456"/>
      <c r="AE49" s="457"/>
      <c r="AF49" s="457"/>
    </row>
    <row r="50" spans="2:32">
      <c r="B50" s="456"/>
      <c r="C50" s="456"/>
      <c r="AE50" s="457"/>
      <c r="AF50" s="457"/>
    </row>
    <row r="51" spans="2:32">
      <c r="B51" s="456"/>
      <c r="C51" s="456"/>
      <c r="AE51" s="457"/>
      <c r="AF51" s="457"/>
    </row>
    <row r="52" spans="2:32">
      <c r="B52" s="456"/>
      <c r="C52" s="456"/>
      <c r="AE52" s="457"/>
      <c r="AF52" s="457"/>
    </row>
    <row r="53" spans="2:32">
      <c r="B53" s="456"/>
      <c r="C53" s="456"/>
      <c r="AE53" s="457"/>
      <c r="AF53" s="457"/>
    </row>
    <row r="54" spans="2:32">
      <c r="B54" s="456"/>
      <c r="C54" s="456"/>
      <c r="AE54" s="457"/>
      <c r="AF54" s="457"/>
    </row>
    <row r="55" spans="2:32">
      <c r="B55" s="456"/>
      <c r="C55" s="456"/>
      <c r="AE55" s="457"/>
      <c r="AF55" s="457"/>
    </row>
    <row r="56" spans="2:32">
      <c r="B56" s="456"/>
      <c r="C56" s="456"/>
      <c r="AE56" s="457"/>
      <c r="AF56" s="457"/>
    </row>
    <row r="57" spans="2:32">
      <c r="B57" s="456"/>
      <c r="C57" s="456"/>
      <c r="S57" s="462"/>
      <c r="T57" s="462"/>
      <c r="U57" s="462"/>
      <c r="V57" s="463"/>
      <c r="W57" s="463"/>
      <c r="X57" s="463"/>
      <c r="Y57" s="463"/>
      <c r="Z57" s="463"/>
      <c r="AA57" s="463"/>
      <c r="AB57" s="463"/>
      <c r="AC57" s="463"/>
      <c r="AD57" s="463"/>
      <c r="AE57" s="464"/>
      <c r="AF57" s="457"/>
    </row>
    <row r="58" spans="2:32">
      <c r="B58" s="456"/>
      <c r="C58" s="456"/>
      <c r="S58" s="465"/>
      <c r="T58" s="462"/>
      <c r="U58" s="462"/>
      <c r="V58" s="463"/>
      <c r="W58" s="466"/>
      <c r="X58" s="463"/>
      <c r="Y58" s="463"/>
      <c r="Z58" s="463"/>
      <c r="AA58" s="463"/>
      <c r="AB58" s="466"/>
      <c r="AC58" s="466"/>
      <c r="AD58" s="466"/>
      <c r="AE58" s="467"/>
      <c r="AF58" s="457"/>
    </row>
    <row r="59" spans="2:32">
      <c r="B59" s="456"/>
      <c r="C59" s="456"/>
      <c r="V59" s="463"/>
      <c r="W59" s="466"/>
      <c r="X59" s="463"/>
      <c r="Y59" s="463"/>
      <c r="Z59" s="463"/>
      <c r="AA59" s="463"/>
      <c r="AB59" s="466"/>
      <c r="AC59" s="463"/>
      <c r="AD59" s="463"/>
      <c r="AE59" s="464"/>
      <c r="AF59" s="457"/>
    </row>
    <row r="60" spans="2:32">
      <c r="B60" s="456"/>
      <c r="C60" s="456"/>
      <c r="V60" s="463"/>
      <c r="W60" s="466"/>
      <c r="X60" s="463"/>
      <c r="Y60" s="463"/>
      <c r="Z60" s="463"/>
      <c r="AA60" s="463"/>
      <c r="AB60" s="463"/>
      <c r="AC60" s="463"/>
      <c r="AD60" s="463"/>
      <c r="AE60" s="464"/>
      <c r="AF60" s="457"/>
    </row>
    <row r="61" spans="2:32">
      <c r="B61" s="456"/>
      <c r="C61" s="456"/>
      <c r="V61" s="468"/>
      <c r="W61" s="468"/>
      <c r="X61" s="468"/>
      <c r="Y61" s="468"/>
      <c r="Z61" s="468"/>
      <c r="AA61" s="468"/>
      <c r="AB61" s="468"/>
      <c r="AC61" s="468"/>
      <c r="AD61" s="468"/>
      <c r="AE61" s="469"/>
      <c r="AF61" s="457"/>
    </row>
    <row r="62" spans="2:32">
      <c r="B62" s="456"/>
      <c r="C62" s="456"/>
      <c r="V62" s="463"/>
      <c r="W62" s="463"/>
      <c r="X62" s="463"/>
      <c r="Y62" s="463"/>
      <c r="Z62" s="463"/>
      <c r="AA62" s="463"/>
      <c r="AB62" s="463"/>
      <c r="AC62" s="463"/>
      <c r="AD62" s="463"/>
      <c r="AE62" s="464"/>
      <c r="AF62" s="457"/>
    </row>
    <row r="63" spans="2:32">
      <c r="B63" s="456"/>
      <c r="C63" s="456"/>
      <c r="V63" s="463"/>
      <c r="W63" s="466"/>
      <c r="X63" s="463"/>
      <c r="Y63" s="463"/>
      <c r="Z63" s="463"/>
      <c r="AA63" s="463"/>
      <c r="AB63" s="463"/>
      <c r="AC63" s="463"/>
      <c r="AD63" s="463"/>
      <c r="AE63" s="464"/>
      <c r="AF63" s="457"/>
    </row>
    <row r="64" spans="2:32">
      <c r="B64" s="456"/>
      <c r="C64" s="456"/>
      <c r="V64" s="463"/>
      <c r="W64" s="466"/>
      <c r="X64" s="463"/>
      <c r="Y64" s="463"/>
      <c r="Z64" s="463"/>
      <c r="AA64" s="463"/>
      <c r="AB64" s="463"/>
      <c r="AC64" s="463"/>
      <c r="AD64" s="463"/>
      <c r="AE64" s="464"/>
      <c r="AF64" s="457"/>
    </row>
    <row r="65" spans="2:32">
      <c r="B65" s="456"/>
      <c r="C65" s="456"/>
      <c r="V65" s="463"/>
      <c r="W65" s="466"/>
      <c r="X65" s="463"/>
      <c r="Y65" s="463"/>
      <c r="Z65" s="463"/>
      <c r="AA65" s="463"/>
      <c r="AB65" s="463"/>
      <c r="AC65" s="463"/>
      <c r="AD65" s="463"/>
      <c r="AE65" s="464"/>
      <c r="AF65" s="457"/>
    </row>
    <row r="66" spans="2:32">
      <c r="B66" s="456"/>
      <c r="C66" s="456"/>
      <c r="V66" s="463"/>
      <c r="W66" s="466"/>
      <c r="X66" s="463"/>
      <c r="Y66" s="463"/>
      <c r="Z66" s="463"/>
      <c r="AA66" s="463"/>
      <c r="AB66" s="463"/>
      <c r="AC66" s="463"/>
      <c r="AD66" s="463"/>
      <c r="AE66" s="464"/>
      <c r="AF66" s="457"/>
    </row>
    <row r="67" spans="2:32" ht="13.5" thickBot="1">
      <c r="B67" s="456"/>
      <c r="C67" s="470"/>
      <c r="D67" s="471"/>
      <c r="E67" s="471"/>
      <c r="F67" s="471"/>
      <c r="G67" s="471"/>
      <c r="H67" s="471"/>
      <c r="I67" s="471"/>
      <c r="J67" s="471"/>
      <c r="K67" s="471"/>
      <c r="L67" s="471"/>
      <c r="M67" s="471"/>
      <c r="N67" s="471"/>
      <c r="O67" s="471"/>
      <c r="P67" s="471"/>
      <c r="Q67" s="471"/>
      <c r="R67" s="471"/>
      <c r="S67" s="471"/>
      <c r="T67" s="471"/>
      <c r="U67" s="471"/>
      <c r="V67" s="472"/>
      <c r="W67" s="473"/>
      <c r="X67" s="472"/>
      <c r="Y67" s="472"/>
      <c r="Z67" s="472"/>
      <c r="AA67" s="472"/>
      <c r="AB67" s="472"/>
      <c r="AC67" s="472"/>
      <c r="AD67" s="472"/>
      <c r="AE67" s="474"/>
      <c r="AF67" s="457"/>
    </row>
    <row r="68" spans="2:32" ht="6" customHeight="1" thickBot="1">
      <c r="B68" s="470"/>
      <c r="C68" s="471"/>
      <c r="D68" s="471"/>
      <c r="E68" s="471"/>
      <c r="F68" s="471"/>
      <c r="G68" s="471"/>
      <c r="H68" s="471"/>
      <c r="I68" s="471"/>
      <c r="J68" s="471"/>
      <c r="K68" s="471"/>
      <c r="L68" s="471"/>
      <c r="M68" s="471"/>
      <c r="N68" s="471"/>
      <c r="O68" s="471"/>
      <c r="P68" s="471"/>
      <c r="Q68" s="471"/>
      <c r="R68" s="471"/>
      <c r="S68" s="471"/>
      <c r="T68" s="471"/>
      <c r="U68" s="471"/>
      <c r="V68" s="471"/>
      <c r="W68" s="471"/>
      <c r="X68" s="471"/>
      <c r="Y68" s="471"/>
      <c r="Z68" s="471"/>
      <c r="AA68" s="471"/>
      <c r="AB68" s="471"/>
      <c r="AC68" s="471"/>
      <c r="AD68" s="471"/>
      <c r="AE68" s="471"/>
      <c r="AF68" s="475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3">
        <v>1</v>
      </c>
    </row>
    <row r="2" spans="1:11" ht="48" customHeight="1">
      <c r="A2" s="363">
        <v>3</v>
      </c>
    </row>
    <row r="4" spans="1:11" ht="48" customHeight="1">
      <c r="C4" s="363">
        <v>1</v>
      </c>
    </row>
    <row r="5" spans="1:11" ht="48" customHeight="1">
      <c r="C5" s="363">
        <v>3</v>
      </c>
    </row>
    <row r="7" spans="1:11" ht="48" customHeight="1">
      <c r="E7" s="363">
        <v>1</v>
      </c>
    </row>
    <row r="8" spans="1:11" ht="48" customHeight="1">
      <c r="E8" s="363">
        <v>3</v>
      </c>
    </row>
    <row r="10" spans="1:11" ht="48" customHeight="1">
      <c r="G10" s="363">
        <v>3</v>
      </c>
    </row>
    <row r="11" spans="1:11" ht="48" customHeight="1">
      <c r="G11" s="363">
        <v>1</v>
      </c>
    </row>
    <row r="13" spans="1:11" ht="48" customHeight="1">
      <c r="I13" s="363">
        <v>3</v>
      </c>
    </row>
    <row r="14" spans="1:11" ht="48" customHeight="1">
      <c r="I14" s="363">
        <v>1</v>
      </c>
    </row>
    <row r="16" spans="1:11" ht="48" customHeight="1">
      <c r="K16" s="363">
        <v>3</v>
      </c>
    </row>
    <row r="17" spans="11:21" ht="48" customHeight="1">
      <c r="K17" s="363">
        <v>1</v>
      </c>
    </row>
    <row r="19" spans="11:21" ht="48" customHeight="1">
      <c r="M19" s="363">
        <v>3</v>
      </c>
    </row>
    <row r="20" spans="11:21" ht="48" customHeight="1">
      <c r="M20" s="363">
        <v>1</v>
      </c>
    </row>
    <row r="22" spans="11:21" ht="48" customHeight="1">
      <c r="O22" s="363">
        <v>3</v>
      </c>
    </row>
    <row r="23" spans="11:21" ht="48" customHeight="1">
      <c r="O23" s="363">
        <v>1</v>
      </c>
    </row>
    <row r="25" spans="11:21" ht="57" customHeight="1">
      <c r="Q25" s="363">
        <v>3</v>
      </c>
    </row>
    <row r="26" spans="11:21" ht="57" customHeight="1">
      <c r="Q26" s="363">
        <v>1</v>
      </c>
    </row>
    <row r="28" spans="11:21" ht="57" customHeight="1">
      <c r="S28" s="363">
        <v>3</v>
      </c>
    </row>
    <row r="29" spans="11:21" ht="57" customHeight="1">
      <c r="S29" s="363">
        <v>1</v>
      </c>
    </row>
    <row r="31" spans="11:21" ht="57" customHeight="1">
      <c r="U31" s="363">
        <v>3</v>
      </c>
    </row>
    <row r="32" spans="11:21" ht="57" customHeight="1">
      <c r="U32" s="36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6281717263236</cp:lastModifiedBy>
  <cp:lastPrinted>2023-02-27T08:00:50Z</cp:lastPrinted>
  <dcterms:created xsi:type="dcterms:W3CDTF">2011-02-06T11:57:38Z</dcterms:created>
  <dcterms:modified xsi:type="dcterms:W3CDTF">2023-10-30T04:12:55Z</dcterms:modified>
</cp:coreProperties>
</file>