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Downloads\"/>
    </mc:Choice>
  </mc:AlternateContent>
  <xr:revisionPtr revIDLastSave="0" documentId="13_ncr:1_{5E4CA90E-872E-4344-9646-A7A74FE7A9D8}" xr6:coauthVersionLast="47" xr6:coauthVersionMax="47" xr10:uidLastSave="{00000000-0000-0000-0000-000000000000}"/>
  <bookViews>
    <workbookView xWindow="-120" yWindow="-120" windowWidth="24240" windowHeight="1314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RAB!$A$1:$K$173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8"/>
</workbook>
</file>

<file path=xl/calcChain.xml><?xml version="1.0" encoding="utf-8"?>
<calcChain xmlns="http://schemas.openxmlformats.org/spreadsheetml/2006/main">
  <c r="F142" i="11" l="1"/>
  <c r="F141" i="11"/>
  <c r="F140" i="11"/>
  <c r="F139" i="11"/>
  <c r="F138" i="11"/>
  <c r="D138" i="11"/>
  <c r="D139" i="11"/>
  <c r="D140" i="11"/>
  <c r="D141" i="11"/>
  <c r="E120" i="11"/>
  <c r="E121" i="11"/>
  <c r="E122" i="11"/>
  <c r="E123" i="11"/>
  <c r="E124" i="11"/>
  <c r="E125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D14" i="59" l="1"/>
  <c r="G134" i="11"/>
  <c r="E134" i="11"/>
  <c r="D134" i="11"/>
  <c r="G133" i="11"/>
  <c r="E133" i="11"/>
  <c r="D133" i="11"/>
  <c r="J133" i="11" s="1"/>
  <c r="A133" i="11"/>
  <c r="A126" i="11"/>
  <c r="D126" i="11"/>
  <c r="J126" i="11" s="1"/>
  <c r="E126" i="11"/>
  <c r="G126" i="11"/>
  <c r="D127" i="11"/>
  <c r="J127" i="11" s="1"/>
  <c r="E127" i="11"/>
  <c r="G127" i="11"/>
  <c r="G146" i="11"/>
  <c r="G147" i="11"/>
  <c r="E146" i="11"/>
  <c r="E147" i="11"/>
  <c r="D146" i="11"/>
  <c r="H146" i="11" s="1"/>
  <c r="D147" i="11"/>
  <c r="H147" i="11" s="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8" i="11"/>
  <c r="G47" i="11"/>
  <c r="G48" i="11"/>
  <c r="G49" i="11"/>
  <c r="G5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2" i="11"/>
  <c r="F89" i="11"/>
  <c r="F88" i="11"/>
  <c r="F87" i="11"/>
  <c r="F86" i="11"/>
  <c r="F85" i="11"/>
  <c r="F84" i="11"/>
  <c r="F83" i="11"/>
  <c r="F82" i="11"/>
  <c r="F81" i="11"/>
  <c r="F78" i="11"/>
  <c r="F77" i="11"/>
  <c r="F76" i="11"/>
  <c r="F75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8" i="11"/>
  <c r="E73" i="11"/>
  <c r="E74" i="11"/>
  <c r="E75" i="11"/>
  <c r="E76" i="11"/>
  <c r="E77" i="11"/>
  <c r="E78" i="11"/>
  <c r="E79" i="11"/>
  <c r="E80" i="11"/>
  <c r="E81" i="11"/>
  <c r="E82" i="11"/>
  <c r="E83" i="11"/>
  <c r="H95" i="11" l="1"/>
  <c r="I95" i="11"/>
  <c r="J95" i="11"/>
  <c r="H93" i="11"/>
  <c r="I93" i="11"/>
  <c r="J93" i="11"/>
  <c r="H94" i="11"/>
  <c r="J94" i="11"/>
  <c r="I94" i="11"/>
  <c r="H96" i="11"/>
  <c r="I96" i="11"/>
  <c r="J96" i="11"/>
  <c r="J134" i="11"/>
  <c r="H134" i="11"/>
  <c r="H133" i="11"/>
  <c r="I134" i="11"/>
  <c r="I133" i="11"/>
  <c r="I126" i="11"/>
  <c r="H126" i="11"/>
  <c r="H127" i="11"/>
  <c r="I127" i="11"/>
  <c r="J147" i="11"/>
  <c r="J146" i="11"/>
  <c r="I147" i="11"/>
  <c r="I146" i="11"/>
  <c r="K95" i="11" l="1"/>
  <c r="K93" i="11"/>
  <c r="K94" i="11"/>
  <c r="K96" i="11"/>
  <c r="K126" i="11"/>
  <c r="K134" i="11"/>
  <c r="K133" i="11"/>
  <c r="K147" i="11"/>
  <c r="K146" i="11"/>
  <c r="K127" i="11"/>
  <c r="F72" i="11" l="1"/>
  <c r="F70" i="11"/>
  <c r="F69" i="11"/>
  <c r="F71" i="11" s="1"/>
  <c r="E25" i="11"/>
  <c r="E26" i="11"/>
  <c r="E42" i="11"/>
  <c r="E43" i="11"/>
  <c r="E44" i="11"/>
  <c r="E45" i="11"/>
  <c r="E46" i="11"/>
  <c r="E47" i="11"/>
  <c r="E48" i="11"/>
  <c r="E49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J102" i="11"/>
  <c r="A102" i="11"/>
  <c r="J101" i="11"/>
  <c r="A101" i="11"/>
  <c r="J100" i="11"/>
  <c r="A100" i="11"/>
  <c r="J99" i="11"/>
  <c r="A99" i="11"/>
  <c r="J98" i="11"/>
  <c r="A98" i="11"/>
  <c r="A97" i="11"/>
  <c r="A96" i="11"/>
  <c r="A95" i="11"/>
  <c r="A93" i="11"/>
  <c r="J92" i="11"/>
  <c r="A92" i="11"/>
  <c r="J91" i="11"/>
  <c r="A91" i="11"/>
  <c r="J90" i="11"/>
  <c r="A90" i="11"/>
  <c r="I89" i="11"/>
  <c r="A89" i="11"/>
  <c r="I88" i="11"/>
  <c r="A88" i="11"/>
  <c r="A87" i="11"/>
  <c r="A86" i="11"/>
  <c r="A85" i="11"/>
  <c r="I84" i="11"/>
  <c r="A84" i="11"/>
  <c r="H82" i="11"/>
  <c r="A82" i="11"/>
  <c r="J81" i="11"/>
  <c r="A81" i="11"/>
  <c r="J80" i="11"/>
  <c r="A80" i="11"/>
  <c r="J79" i="11"/>
  <c r="A79" i="11"/>
  <c r="J78" i="11"/>
  <c r="A78" i="11"/>
  <c r="J77" i="11"/>
  <c r="A77" i="11"/>
  <c r="J76" i="11"/>
  <c r="A76" i="11"/>
  <c r="J75" i="11"/>
  <c r="A75" i="11"/>
  <c r="J74" i="11"/>
  <c r="A74" i="11"/>
  <c r="J73" i="11"/>
  <c r="A73" i="11"/>
  <c r="D24" i="11"/>
  <c r="D25" i="11"/>
  <c r="D26" i="11"/>
  <c r="D27" i="11"/>
  <c r="D28" i="11"/>
  <c r="D29" i="11"/>
  <c r="D30" i="11"/>
  <c r="D31" i="11"/>
  <c r="E72" i="11"/>
  <c r="D72" i="11"/>
  <c r="A72" i="11"/>
  <c r="E71" i="11"/>
  <c r="D71" i="11"/>
  <c r="J71" i="11" s="1"/>
  <c r="A71" i="11"/>
  <c r="E70" i="11"/>
  <c r="D70" i="11"/>
  <c r="E69" i="11"/>
  <c r="D69" i="11"/>
  <c r="I69" i="11" s="1"/>
  <c r="A69" i="11"/>
  <c r="E68" i="11"/>
  <c r="D68" i="11"/>
  <c r="I68" i="11" s="1"/>
  <c r="A68" i="11"/>
  <c r="E67" i="11"/>
  <c r="D67" i="11"/>
  <c r="I67" i="11" s="1"/>
  <c r="A67" i="11"/>
  <c r="E66" i="11"/>
  <c r="D66" i="11"/>
  <c r="I66" i="11" s="1"/>
  <c r="A66" i="11"/>
  <c r="E65" i="11"/>
  <c r="D65" i="11"/>
  <c r="J65" i="11" s="1"/>
  <c r="A65" i="11"/>
  <c r="E64" i="11"/>
  <c r="D64" i="11"/>
  <c r="J64" i="11" s="1"/>
  <c r="A64" i="11"/>
  <c r="E63" i="11"/>
  <c r="D63" i="11"/>
  <c r="J63" i="11" s="1"/>
  <c r="A63" i="11"/>
  <c r="E62" i="11"/>
  <c r="D62" i="11"/>
  <c r="J62" i="11" s="1"/>
  <c r="A62" i="11"/>
  <c r="E61" i="11"/>
  <c r="D61" i="11"/>
  <c r="J61" i="11" s="1"/>
  <c r="A61" i="11"/>
  <c r="E60" i="11"/>
  <c r="D60" i="11"/>
  <c r="E59" i="11"/>
  <c r="D59" i="11"/>
  <c r="A59" i="11"/>
  <c r="E58" i="11"/>
  <c r="D58" i="11"/>
  <c r="A58" i="11"/>
  <c r="E57" i="11"/>
  <c r="D57" i="11"/>
  <c r="J57" i="11" s="1"/>
  <c r="A57" i="11"/>
  <c r="E56" i="11"/>
  <c r="D56" i="11"/>
  <c r="J56" i="11" s="1"/>
  <c r="A56" i="11"/>
  <c r="E55" i="11"/>
  <c r="D55" i="11"/>
  <c r="A55" i="11"/>
  <c r="E54" i="11"/>
  <c r="D54" i="11"/>
  <c r="A54" i="11"/>
  <c r="E53" i="11"/>
  <c r="D53" i="11"/>
  <c r="E52" i="11"/>
  <c r="D52" i="11"/>
  <c r="H52" i="11" s="1"/>
  <c r="A52" i="11"/>
  <c r="E51" i="11"/>
  <c r="D51" i="11"/>
  <c r="H51" i="11" s="1"/>
  <c r="A51" i="11"/>
  <c r="E50" i="11"/>
  <c r="D50" i="11"/>
  <c r="H50" i="11" s="1"/>
  <c r="A50" i="11"/>
  <c r="D49" i="11"/>
  <c r="H49" i="11" s="1"/>
  <c r="A49" i="11"/>
  <c r="D48" i="11"/>
  <c r="H48" i="11" s="1"/>
  <c r="A48" i="11"/>
  <c r="D47" i="11"/>
  <c r="I47" i="11" s="1"/>
  <c r="A47" i="11"/>
  <c r="J109" i="11"/>
  <c r="A109" i="11"/>
  <c r="J108" i="11"/>
  <c r="A108" i="11"/>
  <c r="J107" i="11"/>
  <c r="A107" i="11"/>
  <c r="J106" i="11"/>
  <c r="A106" i="11"/>
  <c r="J104" i="11"/>
  <c r="A104" i="11"/>
  <c r="J103" i="11"/>
  <c r="A103" i="11"/>
  <c r="G46" i="11"/>
  <c r="D46" i="11"/>
  <c r="I46" i="11" s="1"/>
  <c r="A46" i="11"/>
  <c r="G45" i="11"/>
  <c r="D45" i="11"/>
  <c r="G44" i="11"/>
  <c r="D44" i="11"/>
  <c r="J44" i="11" s="1"/>
  <c r="A44" i="11"/>
  <c r="J117" i="11"/>
  <c r="A117" i="11"/>
  <c r="H116" i="11"/>
  <c r="A116" i="11"/>
  <c r="H115" i="11"/>
  <c r="A115" i="11"/>
  <c r="H114" i="11"/>
  <c r="A114" i="11"/>
  <c r="A113" i="11"/>
  <c r="J111" i="11"/>
  <c r="A111" i="11"/>
  <c r="J110" i="11"/>
  <c r="A110" i="11"/>
  <c r="G43" i="11"/>
  <c r="D43" i="11"/>
  <c r="J43" i="11" s="1"/>
  <c r="A43" i="11"/>
  <c r="I85" i="11" l="1"/>
  <c r="I87" i="11"/>
  <c r="J97" i="11"/>
  <c r="J72" i="11"/>
  <c r="H97" i="11"/>
  <c r="H99" i="11"/>
  <c r="I54" i="11"/>
  <c r="I55" i="11"/>
  <c r="I58" i="11"/>
  <c r="I59" i="11"/>
  <c r="H76" i="11"/>
  <c r="H74" i="11"/>
  <c r="H78" i="11"/>
  <c r="H91" i="11"/>
  <c r="H73" i="11"/>
  <c r="H77" i="11"/>
  <c r="H90" i="11"/>
  <c r="H100" i="11"/>
  <c r="H101" i="11"/>
  <c r="H75" i="11"/>
  <c r="H92" i="11"/>
  <c r="H98" i="11"/>
  <c r="H102" i="11"/>
  <c r="H86" i="11"/>
  <c r="J86" i="11"/>
  <c r="H80" i="11"/>
  <c r="H87" i="11"/>
  <c r="J87" i="11"/>
  <c r="I80" i="11"/>
  <c r="J82" i="11"/>
  <c r="I82" i="11"/>
  <c r="H84" i="11"/>
  <c r="J84" i="11"/>
  <c r="H88" i="11"/>
  <c r="J88" i="11"/>
  <c r="I79" i="11"/>
  <c r="I81" i="11"/>
  <c r="H79" i="11"/>
  <c r="H81" i="11"/>
  <c r="H85" i="11"/>
  <c r="J85" i="11"/>
  <c r="I86" i="11"/>
  <c r="H89" i="11"/>
  <c r="J89" i="11"/>
  <c r="I97" i="11"/>
  <c r="I98" i="11"/>
  <c r="I99" i="11"/>
  <c r="K99" i="11" s="1"/>
  <c r="I100" i="11"/>
  <c r="I101" i="11"/>
  <c r="I102" i="11"/>
  <c r="I90" i="11"/>
  <c r="I91" i="11"/>
  <c r="I92" i="11"/>
  <c r="I73" i="11"/>
  <c r="I74" i="11"/>
  <c r="I75" i="11"/>
  <c r="I76" i="11"/>
  <c r="I77" i="11"/>
  <c r="I78" i="11"/>
  <c r="H67" i="11"/>
  <c r="I48" i="11"/>
  <c r="H113" i="11"/>
  <c r="J47" i="11"/>
  <c r="J54" i="11"/>
  <c r="H63" i="11"/>
  <c r="H58" i="11"/>
  <c r="H106" i="11"/>
  <c r="H64" i="11"/>
  <c r="H108" i="11"/>
  <c r="H59" i="11"/>
  <c r="H62" i="11"/>
  <c r="H69" i="11"/>
  <c r="H71" i="11"/>
  <c r="J58" i="11"/>
  <c r="J68" i="11"/>
  <c r="H46" i="11"/>
  <c r="J48" i="11"/>
  <c r="J67" i="11"/>
  <c r="J69" i="11"/>
  <c r="J66" i="11"/>
  <c r="H111" i="11"/>
  <c r="H109" i="11"/>
  <c r="J55" i="11"/>
  <c r="J59" i="11"/>
  <c r="H61" i="11"/>
  <c r="H66" i="11"/>
  <c r="H68" i="11"/>
  <c r="H72" i="11"/>
  <c r="H47" i="11"/>
  <c r="H54" i="11"/>
  <c r="H55" i="11"/>
  <c r="H56" i="11"/>
  <c r="H57" i="11"/>
  <c r="I61" i="11"/>
  <c r="I62" i="11"/>
  <c r="I63" i="11"/>
  <c r="I64" i="11"/>
  <c r="H65" i="11"/>
  <c r="I71" i="11"/>
  <c r="I72" i="11"/>
  <c r="I49" i="11"/>
  <c r="I50" i="11"/>
  <c r="I51" i="11"/>
  <c r="I52" i="11"/>
  <c r="J46" i="11"/>
  <c r="J49" i="11"/>
  <c r="J50" i="11"/>
  <c r="J51" i="11"/>
  <c r="J52" i="11"/>
  <c r="H110" i="11"/>
  <c r="H107" i="11"/>
  <c r="I56" i="11"/>
  <c r="I57" i="11"/>
  <c r="I65" i="11"/>
  <c r="H44" i="11"/>
  <c r="H103" i="11"/>
  <c r="H104" i="11"/>
  <c r="I106" i="11"/>
  <c r="I107" i="11"/>
  <c r="I108" i="11"/>
  <c r="I109" i="11"/>
  <c r="H43" i="11"/>
  <c r="I44" i="11"/>
  <c r="I103" i="11"/>
  <c r="I104" i="11"/>
  <c r="I113" i="11"/>
  <c r="I114" i="11"/>
  <c r="I116" i="11"/>
  <c r="H117" i="11"/>
  <c r="I111" i="11"/>
  <c r="J113" i="11"/>
  <c r="J114" i="11"/>
  <c r="J115" i="11"/>
  <c r="J116" i="11"/>
  <c r="I117" i="11"/>
  <c r="I110" i="11"/>
  <c r="I115" i="11"/>
  <c r="K115" i="11" s="1"/>
  <c r="I43" i="11"/>
  <c r="K106" i="11" l="1"/>
  <c r="K110" i="11"/>
  <c r="K72" i="11"/>
  <c r="K97" i="11"/>
  <c r="K78" i="11"/>
  <c r="K77" i="11"/>
  <c r="K55" i="11"/>
  <c r="K75" i="11"/>
  <c r="K102" i="11"/>
  <c r="K76" i="11"/>
  <c r="K74" i="11"/>
  <c r="K90" i="11"/>
  <c r="K98" i="11"/>
  <c r="K88" i="11"/>
  <c r="K82" i="11"/>
  <c r="K100" i="11"/>
  <c r="K91" i="11"/>
  <c r="K81" i="11"/>
  <c r="K87" i="11"/>
  <c r="K85" i="11"/>
  <c r="K64" i="11"/>
  <c r="K89" i="11"/>
  <c r="K80" i="11"/>
  <c r="K63" i="11"/>
  <c r="K48" i="11"/>
  <c r="K73" i="11"/>
  <c r="K101" i="11"/>
  <c r="K92" i="11"/>
  <c r="K86" i="11"/>
  <c r="K67" i="11"/>
  <c r="K79" i="11"/>
  <c r="K84" i="11"/>
  <c r="K111" i="11"/>
  <c r="K108" i="11"/>
  <c r="K71" i="11"/>
  <c r="K107" i="11"/>
  <c r="K47" i="11"/>
  <c r="K66" i="11"/>
  <c r="K69" i="11"/>
  <c r="K46" i="11"/>
  <c r="K58" i="11"/>
  <c r="K59" i="11"/>
  <c r="K54" i="11"/>
  <c r="K49" i="11"/>
  <c r="K62" i="11"/>
  <c r="K68" i="11"/>
  <c r="K43" i="11"/>
  <c r="K61" i="11"/>
  <c r="K51" i="11"/>
  <c r="K50" i="11"/>
  <c r="K114" i="11"/>
  <c r="K52" i="11"/>
  <c r="K113" i="11"/>
  <c r="K109" i="11"/>
  <c r="K104" i="11"/>
  <c r="K44" i="11"/>
  <c r="K117" i="11"/>
  <c r="K65" i="11"/>
  <c r="K57" i="11"/>
  <c r="K56" i="11"/>
  <c r="K116" i="11"/>
  <c r="K103" i="11"/>
  <c r="G35" i="11" l="1"/>
  <c r="E35" i="11"/>
  <c r="D35" i="11"/>
  <c r="J35" i="11" s="1"/>
  <c r="A35" i="11"/>
  <c r="G34" i="11"/>
  <c r="E34" i="11"/>
  <c r="D34" i="11"/>
  <c r="J34" i="11" s="1"/>
  <c r="A34" i="11"/>
  <c r="G33" i="11"/>
  <c r="E33" i="11"/>
  <c r="D33" i="11"/>
  <c r="J33" i="11" s="1"/>
  <c r="A33" i="11"/>
  <c r="G32" i="11"/>
  <c r="E32" i="11"/>
  <c r="D32" i="11"/>
  <c r="J32" i="11" s="1"/>
  <c r="A32" i="11"/>
  <c r="H31" i="11"/>
  <c r="G31" i="11"/>
  <c r="E31" i="11"/>
  <c r="J31" i="11"/>
  <c r="A31" i="11"/>
  <c r="G30" i="11"/>
  <c r="E30" i="11"/>
  <c r="J30" i="11"/>
  <c r="A30" i="11"/>
  <c r="G29" i="11"/>
  <c r="E29" i="11"/>
  <c r="J29" i="11"/>
  <c r="A29" i="11"/>
  <c r="G28" i="11"/>
  <c r="E28" i="11"/>
  <c r="J28" i="11"/>
  <c r="A28" i="11"/>
  <c r="G27" i="11"/>
  <c r="E27" i="11"/>
  <c r="J27" i="11"/>
  <c r="A27" i="11"/>
  <c r="D36" i="11"/>
  <c r="D37" i="11"/>
  <c r="D38" i="11"/>
  <c r="D39" i="11"/>
  <c r="D40" i="11"/>
  <c r="D41" i="11"/>
  <c r="D42" i="11"/>
  <c r="G17" i="11"/>
  <c r="E17" i="11"/>
  <c r="D17" i="11"/>
  <c r="A17" i="11"/>
  <c r="G16" i="11"/>
  <c r="E16" i="11"/>
  <c r="D16" i="11"/>
  <c r="J16" i="11" s="1"/>
  <c r="A16" i="11"/>
  <c r="G19" i="11"/>
  <c r="E19" i="11"/>
  <c r="D19" i="11"/>
  <c r="A19" i="11"/>
  <c r="G18" i="11"/>
  <c r="E18" i="11"/>
  <c r="D18" i="11"/>
  <c r="J18" i="11" s="1"/>
  <c r="A18" i="11"/>
  <c r="W48" i="91"/>
  <c r="H27" i="11" l="1"/>
  <c r="H30" i="11"/>
  <c r="H34" i="11"/>
  <c r="H35" i="11"/>
  <c r="H28" i="11"/>
  <c r="H32" i="11"/>
  <c r="H29" i="11"/>
  <c r="H33" i="11"/>
  <c r="I27" i="11"/>
  <c r="K27" i="11" s="1"/>
  <c r="I28" i="11"/>
  <c r="I29" i="11"/>
  <c r="I30" i="11"/>
  <c r="I31" i="11"/>
  <c r="K31" i="11" s="1"/>
  <c r="I32" i="11"/>
  <c r="K32" i="11" s="1"/>
  <c r="I33" i="11"/>
  <c r="I34" i="11"/>
  <c r="I35" i="11"/>
  <c r="J19" i="11"/>
  <c r="J17" i="11"/>
  <c r="H16" i="11"/>
  <c r="H17" i="11"/>
  <c r="I16" i="11"/>
  <c r="I17" i="11"/>
  <c r="H18" i="11"/>
  <c r="H19" i="11"/>
  <c r="I18" i="11"/>
  <c r="I19" i="11"/>
  <c r="K30" i="11" l="1"/>
  <c r="K29" i="11"/>
  <c r="K34" i="11"/>
  <c r="K35" i="11"/>
  <c r="K33" i="11"/>
  <c r="K16" i="11"/>
  <c r="K28" i="11"/>
  <c r="K19" i="11"/>
  <c r="K17" i="11"/>
  <c r="K18" i="11"/>
  <c r="W49" i="91" l="1"/>
  <c r="G139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150" i="11"/>
  <c r="D150" i="11"/>
  <c r="H150" i="11" s="1"/>
  <c r="E149" i="11"/>
  <c r="D149" i="11"/>
  <c r="A149" i="11"/>
  <c r="E148" i="11"/>
  <c r="D148" i="11"/>
  <c r="A147" i="11"/>
  <c r="E145" i="11"/>
  <c r="D145" i="11"/>
  <c r="A145" i="11"/>
  <c r="E144" i="11"/>
  <c r="D144" i="11"/>
  <c r="J144" i="11" s="1"/>
  <c r="A144" i="11"/>
  <c r="E143" i="11"/>
  <c r="D143" i="11"/>
  <c r="E142" i="11"/>
  <c r="D142" i="11"/>
  <c r="A142" i="11"/>
  <c r="E141" i="11"/>
  <c r="E140" i="11"/>
  <c r="J140" i="11"/>
  <c r="A140" i="11"/>
  <c r="E139" i="11"/>
  <c r="H42" i="11"/>
  <c r="A42" i="11"/>
  <c r="E41" i="11"/>
  <c r="H41" i="11"/>
  <c r="A41" i="11"/>
  <c r="E40" i="11"/>
  <c r="H40" i="11"/>
  <c r="A40" i="11"/>
  <c r="E39" i="11"/>
  <c r="J39" i="11"/>
  <c r="A39" i="11"/>
  <c r="E38" i="11"/>
  <c r="A38" i="11"/>
  <c r="E37" i="11"/>
  <c r="A37" i="11"/>
  <c r="G36" i="11"/>
  <c r="I36" i="11" s="1"/>
  <c r="E36" i="11"/>
  <c r="G26" i="11"/>
  <c r="A26" i="11"/>
  <c r="G25" i="11"/>
  <c r="I25" i="11"/>
  <c r="A25" i="11"/>
  <c r="G138" i="11"/>
  <c r="E138" i="11"/>
  <c r="J138" i="11"/>
  <c r="A138" i="11"/>
  <c r="E137" i="11"/>
  <c r="D137" i="11"/>
  <c r="A137" i="11"/>
  <c r="E136" i="11"/>
  <c r="D136" i="11"/>
  <c r="H136" i="11" s="1"/>
  <c r="E135" i="11"/>
  <c r="D135" i="11"/>
  <c r="H135" i="11" s="1"/>
  <c r="A135" i="11"/>
  <c r="E132" i="11"/>
  <c r="D132" i="11"/>
  <c r="H132" i="11" s="1"/>
  <c r="E131" i="11"/>
  <c r="D131" i="11"/>
  <c r="J131" i="11" s="1"/>
  <c r="A131" i="11"/>
  <c r="G130" i="11"/>
  <c r="E130" i="11"/>
  <c r="D130" i="11"/>
  <c r="J130" i="11" s="1"/>
  <c r="D151" i="11"/>
  <c r="J151" i="11" s="1"/>
  <c r="A118" i="1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J124" i="11"/>
  <c r="A123" i="11"/>
  <c r="H122" i="11"/>
  <c r="A122" i="11"/>
  <c r="A121" i="11"/>
  <c r="A120" i="11"/>
  <c r="A119" i="11"/>
  <c r="E129" i="11"/>
  <c r="D129" i="11"/>
  <c r="H129" i="11" s="1"/>
  <c r="A129" i="11"/>
  <c r="E128" i="11"/>
  <c r="H128" i="11"/>
  <c r="A128" i="11"/>
  <c r="A124" i="11"/>
  <c r="A125" i="11"/>
  <c r="G151" i="11"/>
  <c r="E151" i="11"/>
  <c r="E20" i="11"/>
  <c r="D20" i="11"/>
  <c r="J20" i="11" s="1"/>
  <c r="A20" i="11"/>
  <c r="G24" i="11"/>
  <c r="E24" i="11"/>
  <c r="J24" i="11"/>
  <c r="A24" i="11"/>
  <c r="G23" i="11"/>
  <c r="E23" i="11"/>
  <c r="D23" i="11"/>
  <c r="D5" i="60"/>
  <c r="K5" i="60" s="1"/>
  <c r="F3" i="54"/>
  <c r="D8" i="59"/>
  <c r="D9" i="59" s="1"/>
  <c r="K7" i="54" s="1"/>
  <c r="G15" i="11"/>
  <c r="E15" i="11"/>
  <c r="D15" i="11"/>
  <c r="J15" i="11" s="1"/>
  <c r="A15" i="11"/>
  <c r="E21" i="11"/>
  <c r="D21" i="11"/>
  <c r="A21" i="11"/>
  <c r="D22" i="11"/>
  <c r="H22" i="11" s="1"/>
  <c r="E22" i="11"/>
  <c r="D153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22" i="11"/>
  <c r="G152" i="11"/>
  <c r="E152" i="11"/>
  <c r="D152" i="11"/>
  <c r="H152" i="11" s="1"/>
  <c r="E153" i="11"/>
  <c r="D154" i="11"/>
  <c r="H154" i="11" s="1"/>
  <c r="E154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 s="1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5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38" i="11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G143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22" i="11"/>
  <c r="I225" i="10"/>
  <c r="I276" i="10"/>
  <c r="I305" i="10"/>
  <c r="I331" i="10"/>
  <c r="I363" i="10"/>
  <c r="I391" i="10"/>
  <c r="I417" i="10"/>
  <c r="I449" i="10"/>
  <c r="I476" i="10"/>
  <c r="I503" i="10"/>
  <c r="I536" i="10"/>
  <c r="G136" i="11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42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141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39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150" i="1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142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41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145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G137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40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131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149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144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148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129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6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21" i="11"/>
  <c r="G132" i="11"/>
  <c r="G37" i="11"/>
  <c r="G140" i="11"/>
  <c r="N1362" i="10"/>
  <c r="N1357" i="10"/>
  <c r="N1349" i="10"/>
  <c r="N1332" i="10"/>
  <c r="N1316" i="10"/>
  <c r="N1309" i="10"/>
  <c r="N1258" i="10"/>
  <c r="G153" i="11"/>
  <c r="G2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135" i="11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F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H149" i="11" l="1"/>
  <c r="I149" i="11"/>
  <c r="J149" i="11"/>
  <c r="H148" i="11"/>
  <c r="I148" i="11"/>
  <c r="J148" i="11"/>
  <c r="J139" i="11"/>
  <c r="I139" i="11"/>
  <c r="H139" i="11"/>
  <c r="C65" i="39"/>
  <c r="D65" i="39" s="1"/>
  <c r="E65" i="39" s="1"/>
  <c r="C70" i="39"/>
  <c r="D70" i="39" s="1"/>
  <c r="E70" i="39" s="1"/>
  <c r="C68" i="39"/>
  <c r="D68" i="39" s="1"/>
  <c r="E68" i="39" s="1"/>
  <c r="C63" i="39"/>
  <c r="D63" i="39" s="1"/>
  <c r="E63" i="39" s="1"/>
  <c r="C67" i="39"/>
  <c r="D67" i="39" s="1"/>
  <c r="E67" i="39" s="1"/>
  <c r="C66" i="39"/>
  <c r="D66" i="39" s="1"/>
  <c r="E66" i="39" s="1"/>
  <c r="C72" i="39"/>
  <c r="D72" i="39" s="1"/>
  <c r="E72" i="39" s="1"/>
  <c r="C71" i="39"/>
  <c r="D71" i="39" s="1"/>
  <c r="E71" i="39" s="1"/>
  <c r="C73" i="39"/>
  <c r="D73" i="39" s="1"/>
  <c r="E73" i="39" s="1"/>
  <c r="C64" i="39"/>
  <c r="D64" i="39" s="1"/>
  <c r="E64" i="39" s="1"/>
  <c r="C76" i="39"/>
  <c r="D76" i="39" s="1"/>
  <c r="E76" i="39" s="1"/>
  <c r="C69" i="39"/>
  <c r="D69" i="39" s="1"/>
  <c r="E69" i="39" s="1"/>
  <c r="C74" i="39"/>
  <c r="D74" i="39" s="1"/>
  <c r="E74" i="39" s="1"/>
  <c r="C75" i="39"/>
  <c r="D75" i="39" s="1"/>
  <c r="E75" i="39" s="1"/>
  <c r="H143" i="11"/>
  <c r="J121" i="11"/>
  <c r="J141" i="11"/>
  <c r="H137" i="11"/>
  <c r="K9" i="60"/>
  <c r="K16" i="60" s="1"/>
  <c r="K20" i="60" s="1"/>
  <c r="C8" i="54"/>
  <c r="I8" i="54" s="1"/>
  <c r="C7" i="54"/>
  <c r="I7" i="54" s="1"/>
  <c r="D9" i="60"/>
  <c r="E858" i="41"/>
  <c r="E241" i="29"/>
  <c r="H144" i="11"/>
  <c r="E862" i="41"/>
  <c r="E831" i="41"/>
  <c r="F58" i="39"/>
  <c r="E761" i="41"/>
  <c r="E751" i="41"/>
  <c r="E757" i="41"/>
  <c r="I143" i="11"/>
  <c r="I128" i="11"/>
  <c r="E717" i="41"/>
  <c r="E866" i="41"/>
  <c r="I150" i="11"/>
  <c r="J150" i="11"/>
  <c r="F811" i="41"/>
  <c r="E842" i="41"/>
  <c r="I141" i="11"/>
  <c r="H140" i="11"/>
  <c r="I140" i="11"/>
  <c r="F834" i="41"/>
  <c r="E269" i="29"/>
  <c r="I39" i="11"/>
  <c r="F352" i="29"/>
  <c r="J36" i="39"/>
  <c r="E748" i="41"/>
  <c r="E351" i="29"/>
  <c r="F806" i="41"/>
  <c r="I136" i="11"/>
  <c r="J119" i="11"/>
  <c r="H36" i="11"/>
  <c r="H37" i="11"/>
  <c r="I144" i="11"/>
  <c r="H141" i="11"/>
  <c r="I41" i="11"/>
  <c r="J125" i="11"/>
  <c r="H38" i="11"/>
  <c r="J36" i="11"/>
  <c r="E743" i="41"/>
  <c r="F304" i="29"/>
  <c r="I142" i="11"/>
  <c r="H151" i="11"/>
  <c r="F762" i="41"/>
  <c r="E766" i="41"/>
  <c r="E823" i="41"/>
  <c r="E845" i="41"/>
  <c r="E840" i="41"/>
  <c r="F744" i="41"/>
  <c r="F827" i="41"/>
  <c r="E732" i="41"/>
  <c r="E795" i="41"/>
  <c r="F289" i="29"/>
  <c r="E796" i="41"/>
  <c r="I122" i="11"/>
  <c r="F752" i="41"/>
  <c r="I37" i="11"/>
  <c r="F237" i="29"/>
  <c r="H138" i="11"/>
  <c r="F353" i="29"/>
  <c r="E319" i="29"/>
  <c r="F225" i="29"/>
  <c r="E1227" i="41"/>
  <c r="I154" i="11"/>
  <c r="E1244" i="41"/>
  <c r="E985" i="41"/>
  <c r="E895" i="41"/>
  <c r="F248" i="29"/>
  <c r="E949" i="41"/>
  <c r="E955" i="41"/>
  <c r="F764" i="41"/>
  <c r="E897" i="41"/>
  <c r="I121" i="11"/>
  <c r="E1115" i="41"/>
  <c r="E998" i="41"/>
  <c r="E902" i="41"/>
  <c r="E1099" i="41"/>
  <c r="F727" i="41"/>
  <c r="E346" i="29"/>
  <c r="I40" i="11"/>
  <c r="E793" i="41"/>
  <c r="E917" i="41"/>
  <c r="E1146" i="41"/>
  <c r="E754" i="41"/>
  <c r="E1147" i="41"/>
  <c r="E882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I135" i="11"/>
  <c r="I42" i="11"/>
  <c r="E1047" i="41"/>
  <c r="E1272" i="41"/>
  <c r="E818" i="41"/>
  <c r="E1317" i="41"/>
  <c r="F846" i="41"/>
  <c r="E932" i="41"/>
  <c r="E1265" i="41"/>
  <c r="E1085" i="41"/>
  <c r="F857" i="41"/>
  <c r="E1306" i="41"/>
  <c r="E1112" i="41"/>
  <c r="E981" i="41"/>
  <c r="F768" i="41"/>
  <c r="E890" i="41"/>
  <c r="E841" i="41"/>
  <c r="E1068" i="41"/>
  <c r="E749" i="41"/>
  <c r="H25" i="11"/>
  <c r="E1082" i="41"/>
  <c r="E868" i="41"/>
  <c r="E734" i="41"/>
  <c r="E872" i="41"/>
  <c r="E1103" i="41"/>
  <c r="H124" i="1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J41" i="11"/>
  <c r="E1008" i="41"/>
  <c r="E758" i="41"/>
  <c r="F736" i="41"/>
  <c r="E763" i="41"/>
  <c r="I137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E1320" i="41"/>
  <c r="E1234" i="41"/>
  <c r="E838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22" i="11"/>
  <c r="J22" i="11"/>
  <c r="H20" i="11"/>
  <c r="F242" i="29"/>
  <c r="F298" i="29"/>
  <c r="E276" i="29"/>
  <c r="J154" i="11"/>
  <c r="F798" i="41"/>
  <c r="E1235" i="41"/>
  <c r="E1289" i="41"/>
  <c r="E1045" i="41"/>
  <c r="F737" i="41"/>
  <c r="F305" i="29"/>
  <c r="J40" i="11"/>
  <c r="E851" i="41"/>
  <c r="E1171" i="41"/>
  <c r="E794" i="41"/>
  <c r="E740" i="41"/>
  <c r="E1216" i="41"/>
  <c r="E819" i="41"/>
  <c r="E778" i="41"/>
  <c r="F760" i="41"/>
  <c r="F59" i="39"/>
  <c r="I20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143" i="11"/>
  <c r="F769" i="41"/>
  <c r="E1101" i="41"/>
  <c r="E1079" i="41"/>
  <c r="E1249" i="41"/>
  <c r="F745" i="41"/>
  <c r="F801" i="41"/>
  <c r="F782" i="41"/>
  <c r="I131" i="11"/>
  <c r="E861" i="41"/>
  <c r="E1150" i="41"/>
  <c r="E1040" i="41"/>
  <c r="F812" i="41"/>
  <c r="F730" i="41"/>
  <c r="F61" i="39"/>
  <c r="E315" i="29"/>
  <c r="H39" i="11"/>
  <c r="F738" i="41"/>
  <c r="E1064" i="41"/>
  <c r="E332" i="29"/>
  <c r="F324" i="29"/>
  <c r="E278" i="29"/>
  <c r="I124" i="11"/>
  <c r="F843" i="41"/>
  <c r="E1030" i="41"/>
  <c r="F821" i="41"/>
  <c r="F847" i="41"/>
  <c r="E776" i="41"/>
  <c r="E1066" i="41"/>
  <c r="E1168" i="41"/>
  <c r="E790" i="41"/>
  <c r="F772" i="41"/>
  <c r="E735" i="41"/>
  <c r="E971" i="41"/>
  <c r="J135" i="11"/>
  <c r="E249" i="29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I129" i="11"/>
  <c r="J37" i="11"/>
  <c r="J129" i="11"/>
  <c r="I130" i="11"/>
  <c r="I132" i="11"/>
  <c r="H131" i="11"/>
  <c r="J42" i="11"/>
  <c r="F240" i="29"/>
  <c r="J122" i="11"/>
  <c r="H130" i="11"/>
  <c r="E263" i="29"/>
  <c r="F277" i="29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E1081" i="41"/>
  <c r="E755" i="41"/>
  <c r="F755" i="41"/>
  <c r="E320" i="29"/>
  <c r="F320" i="29"/>
  <c r="E291" i="29"/>
  <c r="E284" i="29"/>
  <c r="F284" i="29"/>
  <c r="F273" i="29"/>
  <c r="E273" i="29"/>
  <c r="E979" i="41"/>
  <c r="E844" i="41"/>
  <c r="F844" i="41"/>
  <c r="E944" i="41"/>
  <c r="E355" i="29"/>
  <c r="F355" i="2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J120" i="11"/>
  <c r="H120" i="11"/>
  <c r="I120" i="11"/>
  <c r="H23" i="11"/>
  <c r="J23" i="11"/>
  <c r="I23" i="11"/>
  <c r="F339" i="29"/>
  <c r="E255" i="29"/>
  <c r="E364" i="29"/>
  <c r="F318" i="29"/>
  <c r="F243" i="29"/>
  <c r="E243" i="29"/>
  <c r="F245" i="29"/>
  <c r="E245" i="29"/>
  <c r="F335" i="29"/>
  <c r="E335" i="29"/>
  <c r="E331" i="29"/>
  <c r="F331" i="29"/>
  <c r="E258" i="29"/>
  <c r="F258" i="29"/>
  <c r="E290" i="29"/>
  <c r="E373" i="29"/>
  <c r="E297" i="29"/>
  <c r="F297" i="29"/>
  <c r="F302" i="29"/>
  <c r="E302" i="29"/>
  <c r="F309" i="29"/>
  <c r="E309" i="29"/>
  <c r="J21" i="11"/>
  <c r="H21" i="11"/>
  <c r="I145" i="11"/>
  <c r="H145" i="11"/>
  <c r="E328" i="29"/>
  <c r="F328" i="29"/>
  <c r="E226" i="29"/>
  <c r="E295" i="29"/>
  <c r="F295" i="29"/>
  <c r="H118" i="11"/>
  <c r="J118" i="11"/>
  <c r="I118" i="11"/>
  <c r="I26" i="11"/>
  <c r="J26" i="11"/>
  <c r="H26" i="11"/>
  <c r="E340" i="29"/>
  <c r="E252" i="29"/>
  <c r="F270" i="29"/>
  <c r="E280" i="29"/>
  <c r="H121" i="11"/>
  <c r="I138" i="11"/>
  <c r="F286" i="29"/>
  <c r="E246" i="29"/>
  <c r="F266" i="29"/>
  <c r="F60" i="39"/>
  <c r="J145" i="11"/>
  <c r="H24" i="11"/>
  <c r="E327" i="29"/>
  <c r="E342" i="29"/>
  <c r="F321" i="29"/>
  <c r="H15" i="11"/>
  <c r="I21" i="11"/>
  <c r="J132" i="11"/>
  <c r="J25" i="11"/>
  <c r="E239" i="29"/>
  <c r="I36" i="39"/>
  <c r="J128" i="11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E336" i="29"/>
  <c r="F341" i="29"/>
  <c r="E341" i="29"/>
  <c r="F354" i="29"/>
  <c r="E354" i="29"/>
  <c r="F231" i="29"/>
  <c r="E231" i="29"/>
  <c r="F36" i="39"/>
  <c r="E251" i="29"/>
  <c r="F251" i="29"/>
  <c r="F236" i="29"/>
  <c r="E236" i="29"/>
  <c r="F267" i="29"/>
  <c r="E229" i="29"/>
  <c r="F229" i="29"/>
  <c r="F306" i="29"/>
  <c r="F62" i="39"/>
  <c r="E287" i="29"/>
  <c r="F287" i="29"/>
  <c r="F260" i="29"/>
  <c r="E260" i="29"/>
  <c r="E300" i="29"/>
  <c r="E232" i="29"/>
  <c r="F232" i="29"/>
  <c r="F357" i="29"/>
  <c r="E325" i="29"/>
  <c r="F325" i="29"/>
  <c r="E372" i="29"/>
  <c r="E323" i="29"/>
  <c r="E299" i="29"/>
  <c r="E303" i="29"/>
  <c r="F303" i="29"/>
  <c r="F265" i="29"/>
  <c r="E265" i="29"/>
  <c r="F301" i="29"/>
  <c r="F271" i="29"/>
  <c r="E250" i="29"/>
  <c r="F250" i="29"/>
  <c r="E244" i="29"/>
  <c r="F343" i="29"/>
  <c r="F264" i="29"/>
  <c r="E264" i="29"/>
  <c r="E317" i="29"/>
  <c r="F317" i="29"/>
  <c r="E234" i="29"/>
  <c r="F234" i="29"/>
  <c r="F344" i="29"/>
  <c r="F358" i="29"/>
  <c r="E272" i="29"/>
  <c r="E275" i="29"/>
  <c r="F275" i="29"/>
  <c r="E310" i="29"/>
  <c r="F310" i="29"/>
  <c r="I15" i="11"/>
  <c r="H123" i="11"/>
  <c r="I123" i="11"/>
  <c r="E283" i="29"/>
  <c r="F283" i="29"/>
  <c r="K15" i="29"/>
  <c r="E288" i="29"/>
  <c r="F288" i="29"/>
  <c r="H119" i="11"/>
  <c r="I119" i="11"/>
  <c r="E281" i="29"/>
  <c r="F253" i="29"/>
  <c r="E293" i="29"/>
  <c r="F261" i="29"/>
  <c r="E256" i="29"/>
  <c r="E294" i="29"/>
  <c r="J123" i="11"/>
  <c r="H125" i="11"/>
  <c r="I125" i="11"/>
  <c r="J38" i="11"/>
  <c r="I38" i="11"/>
  <c r="E268" i="29"/>
  <c r="F268" i="29"/>
  <c r="J152" i="11"/>
  <c r="I152" i="11"/>
  <c r="H142" i="11"/>
  <c r="J142" i="11"/>
  <c r="E313" i="29"/>
  <c r="J137" i="11"/>
  <c r="I24" i="11"/>
  <c r="I151" i="11"/>
  <c r="J136" i="11"/>
  <c r="F299" i="29" l="1"/>
  <c r="F789" i="41"/>
  <c r="K148" i="11"/>
  <c r="K149" i="11"/>
  <c r="F841" i="41"/>
  <c r="F323" i="29"/>
  <c r="F351" i="29"/>
  <c r="F813" i="41"/>
  <c r="F826" i="41"/>
  <c r="F336" i="29"/>
  <c r="F334" i="29"/>
  <c r="F824" i="41"/>
  <c r="F805" i="41"/>
  <c r="F315" i="29"/>
  <c r="K139" i="11"/>
  <c r="F783" i="41"/>
  <c r="F293" i="29"/>
  <c r="F809" i="41"/>
  <c r="F319" i="29"/>
  <c r="F300" i="29"/>
  <c r="F790" i="41"/>
  <c r="F345" i="29"/>
  <c r="F835" i="41"/>
  <c r="F729" i="4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K143" i="11"/>
  <c r="H7" i="54"/>
  <c r="D7" i="54"/>
  <c r="H8" i="54"/>
  <c r="D8" i="54"/>
  <c r="E8" i="54" s="1"/>
  <c r="C9" i="54"/>
  <c r="K144" i="11"/>
  <c r="F373" i="29"/>
  <c r="F1089" i="41"/>
  <c r="F65" i="39"/>
  <c r="F69" i="39"/>
  <c r="F372" i="29"/>
  <c r="F1158" i="41"/>
  <c r="F1052" i="41"/>
  <c r="F371" i="29"/>
  <c r="F940" i="41"/>
  <c r="F369" i="29"/>
  <c r="K128" i="11"/>
  <c r="K150" i="11"/>
  <c r="K141" i="11"/>
  <c r="K140" i="11"/>
  <c r="K36" i="39"/>
  <c r="K39" i="11"/>
  <c r="F852" i="41"/>
  <c r="K42" i="11"/>
  <c r="K25" i="1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41" i="11"/>
  <c r="K36" i="11"/>
  <c r="K136" i="11"/>
  <c r="K151" i="11"/>
  <c r="K124" i="11"/>
  <c r="K138" i="11"/>
  <c r="K122" i="11"/>
  <c r="K129" i="11"/>
  <c r="K40" i="11"/>
  <c r="K37" i="11"/>
  <c r="K20" i="11"/>
  <c r="K131" i="11"/>
  <c r="K137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154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24" i="11"/>
  <c r="K135" i="11"/>
  <c r="K121" i="11"/>
  <c r="K132" i="11"/>
  <c r="K22" i="11"/>
  <c r="K130" i="11"/>
  <c r="K118" i="11"/>
  <c r="F338" i="29"/>
  <c r="K123" i="11"/>
  <c r="F837" i="41"/>
  <c r="K21" i="11"/>
  <c r="K119" i="11"/>
  <c r="K142" i="11"/>
  <c r="K145" i="11"/>
  <c r="K26" i="11"/>
  <c r="K125" i="11"/>
  <c r="K152" i="11"/>
  <c r="F347" i="29"/>
  <c r="K23" i="11"/>
  <c r="K120" i="11"/>
  <c r="H156" i="11"/>
  <c r="F828" i="41"/>
  <c r="F802" i="41"/>
  <c r="F312" i="29"/>
  <c r="F233" i="29"/>
  <c r="I156" i="11"/>
  <c r="K15" i="11"/>
  <c r="K38" i="11"/>
  <c r="I9" i="54" l="1"/>
  <c r="H9" i="54"/>
  <c r="C10" i="54"/>
  <c r="D9" i="54"/>
  <c r="L8" i="54"/>
  <c r="M8" i="54" s="1"/>
  <c r="E7" i="54"/>
  <c r="L7" i="54" s="1"/>
  <c r="M7" i="54" s="1"/>
  <c r="C19" i="39"/>
  <c r="D19" i="39" s="1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B26" i="39" s="1"/>
  <c r="E26" i="39" s="1"/>
  <c r="C22" i="39"/>
  <c r="G22" i="39" s="1"/>
  <c r="C34" i="39"/>
  <c r="B34" i="39" s="1"/>
  <c r="E34" i="39" s="1"/>
  <c r="C13" i="41"/>
  <c r="L13" i="41" s="1"/>
  <c r="F29" i="39"/>
  <c r="C30" i="39"/>
  <c r="D30" i="39" s="1"/>
  <c r="J30" i="39" s="1"/>
  <c r="F35" i="39"/>
  <c r="C33" i="39"/>
  <c r="D33" i="39" s="1"/>
  <c r="C24" i="39"/>
  <c r="G24" i="39" s="1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G27" i="39" s="1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L614" i="41" s="1"/>
  <c r="F126" i="41"/>
  <c r="C171" i="41"/>
  <c r="G171" i="41" s="1"/>
  <c r="F62" i="41"/>
  <c r="C86" i="29"/>
  <c r="G86" i="29" s="1"/>
  <c r="F18" i="41"/>
  <c r="F63" i="29"/>
  <c r="F33" i="29"/>
  <c r="C83" i="29"/>
  <c r="B83" i="29" s="1"/>
  <c r="E83" i="29" s="1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B191" i="41" s="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D412" i="41" s="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L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B66" i="29" s="1"/>
  <c r="E66" i="29" s="1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F89" i="29"/>
  <c r="B24" i="39"/>
  <c r="E24" i="39" s="1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157" i="11"/>
  <c r="H158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I157" i="11"/>
  <c r="I158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C17" i="29"/>
  <c r="G20" i="39"/>
  <c r="J153" i="11"/>
  <c r="F20" i="29"/>
  <c r="C93" i="29"/>
  <c r="C442" i="41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D614" i="41" l="1"/>
  <c r="D513" i="41"/>
  <c r="L495" i="41"/>
  <c r="D26" i="39"/>
  <c r="G25" i="39"/>
  <c r="G26" i="39"/>
  <c r="D380" i="41"/>
  <c r="D24" i="39"/>
  <c r="D83" i="29"/>
  <c r="J83" i="29" s="1"/>
  <c r="B27" i="39"/>
  <c r="E27" i="39" s="1"/>
  <c r="G614" i="41"/>
  <c r="L191" i="41"/>
  <c r="G34" i="39"/>
  <c r="D27" i="39"/>
  <c r="B614" i="41"/>
  <c r="G83" i="29"/>
  <c r="G191" i="41"/>
  <c r="D34" i="39"/>
  <c r="D191" i="41"/>
  <c r="G19" i="39"/>
  <c r="B339" i="41"/>
  <c r="I339" i="41" s="1"/>
  <c r="D48" i="29"/>
  <c r="B16" i="29"/>
  <c r="E16" i="29" s="1"/>
  <c r="D43" i="29"/>
  <c r="J43" i="29" s="1"/>
  <c r="L496" i="41"/>
  <c r="B13" i="41"/>
  <c r="K13" i="41" s="1"/>
  <c r="G35" i="39"/>
  <c r="B412" i="41"/>
  <c r="E412" i="41" s="1"/>
  <c r="D339" i="41"/>
  <c r="G546" i="41"/>
  <c r="L412" i="41"/>
  <c r="G412" i="41"/>
  <c r="G339" i="41"/>
  <c r="D61" i="29"/>
  <c r="J61" i="29" s="1"/>
  <c r="G66" i="29"/>
  <c r="D86" i="29"/>
  <c r="H86" i="29" s="1"/>
  <c r="D66" i="29"/>
  <c r="J66" i="29" s="1"/>
  <c r="D599" i="41"/>
  <c r="B19" i="39"/>
  <c r="E19" i="39" s="1"/>
  <c r="L370" i="41"/>
  <c r="D106" i="29"/>
  <c r="H106" i="29" s="1"/>
  <c r="G554" i="41"/>
  <c r="D22" i="39"/>
  <c r="H22" i="39" s="1"/>
  <c r="D202" i="41"/>
  <c r="D21" i="39"/>
  <c r="J21" i="39" s="1"/>
  <c r="B495" i="41"/>
  <c r="K495" i="41" s="1"/>
  <c r="B22" i="39"/>
  <c r="E22" i="39" s="1"/>
  <c r="L202" i="41"/>
  <c r="D398" i="41"/>
  <c r="G21" i="39"/>
  <c r="B202" i="41"/>
  <c r="H202" i="41" s="1"/>
  <c r="L398" i="41"/>
  <c r="B398" i="41"/>
  <c r="J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I61" i="29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153" i="11"/>
  <c r="K156" i="11" s="1"/>
  <c r="J156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I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H13" i="4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H495" i="41"/>
  <c r="I495" i="41"/>
  <c r="J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H83" i="29" l="1"/>
  <c r="I83" i="29"/>
  <c r="I43" i="29"/>
  <c r="E202" i="41"/>
  <c r="E339" i="41"/>
  <c r="J339" i="41"/>
  <c r="H339" i="41"/>
  <c r="I106" i="29"/>
  <c r="J106" i="29"/>
  <c r="H412" i="41"/>
  <c r="J412" i="41"/>
  <c r="K412" i="41"/>
  <c r="I412" i="41"/>
  <c r="K133" i="41"/>
  <c r="H43" i="29"/>
  <c r="K43" i="29" s="1"/>
  <c r="I608" i="41"/>
  <c r="I86" i="29"/>
  <c r="J86" i="29"/>
  <c r="E495" i="41"/>
  <c r="E13" i="41"/>
  <c r="J13" i="41"/>
  <c r="H327" i="41"/>
  <c r="H426" i="41"/>
  <c r="I13" i="41"/>
  <c r="E164" i="41"/>
  <c r="H61" i="29"/>
  <c r="K61" i="29" s="1"/>
  <c r="J22" i="39"/>
  <c r="E393" i="41"/>
  <c r="J202" i="41"/>
  <c r="I22" i="39"/>
  <c r="K202" i="41"/>
  <c r="I202" i="41"/>
  <c r="H21" i="39"/>
  <c r="I21" i="39"/>
  <c r="H66" i="29"/>
  <c r="I66" i="29"/>
  <c r="I398" i="41"/>
  <c r="H130" i="29"/>
  <c r="K398" i="41"/>
  <c r="E398" i="41"/>
  <c r="J503" i="41"/>
  <c r="K503" i="41"/>
  <c r="H398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157" i="11"/>
  <c r="J158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157" i="11"/>
  <c r="K158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106" i="29" l="1"/>
  <c r="K86" i="29"/>
  <c r="K22" i="39"/>
  <c r="K21" i="39"/>
  <c r="K66" i="29"/>
  <c r="K130" i="29"/>
  <c r="K87" i="29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159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E23" i="54" s="1"/>
  <c r="C24" i="54"/>
  <c r="S13" i="54"/>
  <c r="Q14" i="54"/>
  <c r="T13" i="54"/>
  <c r="J23" i="54" l="1"/>
  <c r="D24" i="54"/>
  <c r="E24" i="54" s="1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J25" i="54" l="1"/>
  <c r="N25" i="54" s="1"/>
  <c r="P25" i="54" s="1"/>
  <c r="N24" i="54"/>
  <c r="P24" i="54" s="1"/>
  <c r="C27" i="54"/>
  <c r="I26" i="54"/>
  <c r="H26" i="54"/>
  <c r="D26" i="54"/>
  <c r="S16" i="54"/>
  <c r="Q17" i="54"/>
  <c r="T17" i="54" s="1"/>
  <c r="J26" i="54" l="1"/>
  <c r="E26" i="54"/>
  <c r="L26" i="54" s="1"/>
  <c r="M26" i="54" s="1"/>
  <c r="D27" i="54"/>
  <c r="E27" i="54" s="1"/>
  <c r="L27" i="54" s="1"/>
  <c r="M27" i="54" s="1"/>
  <c r="C28" i="54"/>
  <c r="I27" i="54"/>
  <c r="H27" i="54"/>
  <c r="J27" i="54" s="1"/>
  <c r="S17" i="54"/>
  <c r="Q18" i="54"/>
  <c r="T18" i="54" s="1"/>
  <c r="N26" i="54" l="1"/>
  <c r="P26" i="54" s="1"/>
  <c r="N27" i="54"/>
  <c r="P27" i="54" s="1"/>
  <c r="I28" i="54"/>
  <c r="H28" i="54"/>
  <c r="C29" i="54"/>
  <c r="D28" i="54"/>
  <c r="E28" i="54" s="1"/>
  <c r="L28" i="54" s="1"/>
  <c r="M28" i="54" s="1"/>
  <c r="S18" i="54"/>
  <c r="Q19" i="54"/>
  <c r="T19" i="54" s="1"/>
  <c r="J28" i="54" l="1"/>
  <c r="N28" i="54" s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 s="1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<sst xmlns="http://schemas.openxmlformats.org/spreadsheetml/2006/main" count="4884" uniqueCount="1663">
  <si>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</si>
  <si>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</si>
  <si>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</si>
  <si>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</si>
  <si>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</si>
  <si>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</si>
  <si>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</si>
  <si>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</si>
  <si>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</si>
  <si>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</si>
  <si>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</si>
  <si>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</si>
  <si>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</si>
  <si>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</si>
  <si>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</si>
  <si>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</si>
  <si>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</si>
  <si>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</si>
  <si>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</si>
  <si>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</si>
  <si>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</si>
  <si>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</si>
  <si>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</si>
  <si>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</si>
  <si>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</si>
  <si>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</si>
  <si>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</si>
  <si>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</si>
  <si>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</si>
  <si>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</si>
  <si>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</si>
  <si>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</si>
  <si>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</si>
  <si>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</si>
  <si>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</si>
  <si>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</si>
  <si>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</si>
  <si>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</si>
  <si>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</si>
  <si>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</si>
  <si>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</si>
  <si>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</si>
  <si>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</si>
  <si>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</si>
  <si>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</si>
  <si>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</si>
  <si>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</si>
  <si>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</si>
  <si>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</si>
  <si>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</si>
  <si>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</si>
  <si>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</si>
  <si>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</si>
  <si>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</si>
  <si>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</si>
  <si>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</si>
  <si>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</si>
  <si>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</si>
  <si>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</si>
  <si>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</si>
  <si>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</si>
  <si>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</si>
  <si>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</si>
  <si>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</si>
  <si>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</si>
  <si>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</si>
  <si>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</si>
  <si>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</si>
  <si>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</si>
  <si>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</si>
  <si>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</si>
  <si>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</si>
  <si>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</si>
  <si>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</si>
  <si>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</si>
  <si>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</si>
  <si>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</si>
  <si>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</si>
  <si>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</si>
  <si>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</si>
  <si>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</si>
  <si>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</si>
  <si>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</si>
  <si>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</si>
  <si>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</si>
  <si>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</si>
  <si>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</si>
  <si>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</si>
  <si>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</si>
  <si>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</si>
  <si>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</si>
  <si>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</si>
  <si>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</si>
  <si>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</si>
  <si>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</si>
  <si>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</si>
  <si>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</si>
  <si>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</si>
  <si>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</si>
  <si>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</si>
  <si>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</si>
  <si>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</si>
  <si>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</si>
  <si>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</si>
  <si>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</si>
  <si>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</si>
  <si>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</si>
  <si>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</si>
  <si>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</si>
  <si>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</si>
  <si>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</si>
  <si>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</si>
  <si>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</si>
  <si>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</si>
  <si>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</si>
  <si>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</si>
  <si>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</si>
  <si>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</si>
  <si>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</si>
  <si>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</si>
  <si>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</si>
  <si>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</si>
  <si>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</si>
  <si>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</si>
  <si>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</si>
  <si>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</si>
  <si>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</si>
  <si>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</si>
  <si>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</si>
  <si>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</si>
  <si>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</si>
  <si>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</si>
  <si>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</si>
  <si>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</si>
  <si>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</si>
  <si>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</si>
  <si>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</si>
  <si>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</si>
  <si>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</si>
  <si>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</si>
  <si>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</si>
  <si>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</si>
  <si>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</si>
  <si>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</si>
  <si>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</si>
  <si>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</si>
  <si>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</si>
  <si>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</si>
  <si>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</si>
  <si>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</si>
  <si>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</si>
  <si>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</si>
  <si>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</si>
  <si>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</si>
  <si>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</si>
  <si>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</si>
  <si>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</si>
  <si>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</si>
  <si>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</si>
  <si>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</si>
  <si>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</si>
  <si>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</si>
  <si>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</si>
  <si>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</si>
  <si>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</si>
  <si>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</si>
  <si>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</si>
  <si>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</si>
  <si>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</si>
  <si>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</si>
  <si>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</si>
  <si>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</si>
  <si>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</si>
  <si>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</si>
  <si>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</si>
  <si>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</si>
  <si>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</si>
  <si>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</si>
  <si>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</si>
  <si>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</si>
  <si>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</si>
  <si>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</si>
  <si>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</si>
  <si>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</si>
  <si>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</si>
  <si>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</si>
  <si>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</si>
  <si>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</si>
  <si>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</si>
  <si>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</si>
  <si>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</si>
  <si>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</si>
  <si>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</si>
  <si>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</si>
  <si>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</si>
  <si>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</si>
  <si>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</si>
  <si>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</si>
  <si>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</si>
  <si>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</si>
  <si>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</si>
  <si>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</si>
  <si>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</si>
  <si>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</si>
  <si>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</si>
  <si>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</si>
  <si>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</si>
  <si>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</si>
  <si>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</si>
  <si>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</si>
  <si>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</si>
  <si>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</si>
  <si>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</si>
  <si>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</si>
  <si>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</si>
  <si>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</si>
  <si>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</si>
  <si>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</si>
  <si>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</si>
  <si>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</si>
  <si>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</si>
  <si>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</si>
  <si>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</si>
  <si>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</si>
  <si>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</si>
  <si>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</si>
  <si>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</si>
  <si>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</si>
  <si>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</si>
  <si>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</si>
  <si>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</si>
  <si>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</si>
  <si>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</si>
  <si>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</si>
  <si>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</si>
  <si>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</si>
  <si>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</si>
  <si>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</si>
  <si>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</si>
  <si>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</si>
  <si>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</si>
  <si>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</si>
  <si>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</si>
  <si>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</si>
  <si>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</si>
  <si>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</si>
  <si>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</si>
  <si>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</si>
  <si>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</si>
  <si>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</si>
  <si>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</si>
  <si>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</si>
  <si>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</si>
  <si>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</si>
  <si>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</si>
  <si>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</si>
  <si>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</si>
  <si>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</si>
  <si>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</si>
  <si>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</si>
  <si>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</si>
  <si>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</si>
  <si>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</si>
  <si>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</si>
  <si>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</si>
  <si>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</si>
  <si>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</si>
  <si>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</si>
  <si>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</si>
  <si>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</si>
  <si>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</si>
  <si>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</si>
  <si>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</si>
  <si>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</si>
  <si>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</si>
  <si>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</si>
  <si>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</si>
  <si>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</si>
  <si>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</si>
  <si>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</si>
  <si>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</si>
  <si>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</si>
  <si>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</si>
  <si>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</si>
  <si>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</si>
  <si>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</si>
  <si>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</si>
  <si>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</si>
  <si>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</si>
  <si>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</si>
  <si>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</si>
  <si>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</si>
  <si>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</si>
  <si>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</si>
  <si>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</si>
  <si>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</si>
  <si>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</si>
  <si>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</si>
  <si>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</si>
  <si>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</si>
  <si>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</si>
  <si>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</si>
  <si>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</si>
  <si>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</si>
  <si>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</si>
  <si>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</si>
  <si>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</si>
  <si>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</si>
  <si>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</si>
  <si>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</si>
  <si>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</si>
  <si>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</si>
  <si>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</si>
  <si>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</si>
  <si>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</si>
  <si>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</si>
  <si>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</si>
  <si>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</si>
  <si>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</si>
  <si>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</si>
  <si>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</si>
  <si>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</si>
  <si>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</si>
  <si>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</si>
  <si>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</si>
  <si>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</si>
  <si>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</si>
  <si>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</si>
  <si>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</si>
  <si>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</si>
  <si>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</si>
  <si>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</si>
  <si>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</si>
  <si>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</si>
  <si>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</si>
  <si>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</si>
  <si>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</si>
  <si>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</si>
  <si>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</si>
  <si>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</si>
  <si>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</si>
  <si>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</si>
  <si>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</si>
  <si>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</si>
  <si>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</si>
  <si>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</si>
  <si>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</si>
  <si>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</si>
  <si>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</si>
  <si>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</si>
  <si>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</si>
  <si>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</si>
  <si>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</si>
  <si>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</si>
  <si>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</si>
  <si>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</si>
  <si>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</si>
  <si>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</si>
  <si>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</si>
  <si>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</si>
  <si>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</si>
  <si>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</si>
  <si>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</si>
  <si>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</si>
  <si>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</si>
  <si>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</si>
  <si>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</si>
  <si>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</si>
  <si>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</si>
  <si>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</si>
  <si>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</si>
  <si>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</si>
  <si>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</si>
  <si>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</si>
  <si>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</si>
  <si>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</si>
  <si>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</si>
  <si>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</si>
  <si>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</si>
  <si>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</si>
  <si>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</si>
  <si>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</si>
  <si>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</si>
  <si>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</si>
  <si>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</si>
  <si>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</si>
  <si>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</si>
  <si>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</si>
  <si>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</si>
  <si>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</si>
  <si>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</si>
  <si>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</si>
  <si>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</si>
  <si>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</si>
  <si>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</si>
  <si>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</si>
  <si>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</si>
  <si>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</si>
  <si>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</si>
  <si>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</si>
  <si>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</si>
  <si>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</si>
  <si>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</si>
  <si>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</si>
  <si>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</si>
  <si>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</si>
  <si>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</si>
  <si>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</si>
  <si>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</si>
  <si>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</si>
  <si>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</si>
  <si>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</si>
  <si>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</si>
  <si>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</si>
  <si>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</si>
  <si>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</si>
  <si>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</si>
  <si>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</si>
  <si>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</si>
  <si>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</si>
  <si>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</si>
  <si>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</si>
  <si>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</si>
  <si>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</si>
  <si>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</si>
  <si>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</si>
  <si>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</si>
  <si>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</si>
  <si>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</si>
  <si>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</si>
  <si>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</si>
  <si>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</si>
  <si>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</si>
  <si>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</si>
  <si>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</si>
  <si>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</si>
  <si>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</si>
  <si>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</si>
  <si>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</si>
  <si>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</si>
  <si>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</si>
  <si>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</si>
  <si>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</si>
  <si>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</si>
  <si>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</si>
  <si>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</si>
  <si>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</si>
  <si>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</si>
  <si>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</si>
  <si>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</si>
  <si>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</si>
  <si>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</si>
  <si>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</si>
  <si>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</si>
  <si>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</si>
  <si>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</si>
  <si>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</si>
  <si>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</si>
  <si>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</si>
  <si>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</si>
  <si>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</si>
  <si>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</si>
  <si>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</si>
  <si>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</si>
  <si>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</si>
  <si>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</si>
  <si>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</si>
  <si>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</si>
  <si>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</si>
  <si>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</si>
  <si>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</si>
  <si>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</si>
  <si>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</si>
  <si>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</si>
  <si>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</si>
  <si>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</si>
  <si>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</si>
  <si>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</si>
  <si>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</si>
  <si>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</si>
  <si>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</si>
  <si>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</si>
  <si>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</si>
  <si>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</si>
  <si>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</si>
  <si>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</si>
  <si>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</si>
  <si>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</si>
  <si>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</si>
  <si>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</si>
  <si>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</si>
  <si>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</si>
  <si>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</si>
  <si>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</si>
  <si>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</si>
  <si>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</si>
  <si>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</si>
  <si>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</si>
  <si>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</si>
  <si>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</si>
  <si>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</si>
  <si>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</si>
  <si>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</si>
  <si>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</si>
  <si>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</si>
  <si>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</si>
  <si>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</si>
  <si>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</si>
  <si>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</si>
  <si>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</si>
  <si>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</si>
  <si>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</si>
  <si>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</si>
  <si>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</si>
  <si>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</si>
  <si>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</si>
  <si>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</si>
  <si>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</si>
  <si>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</si>
  <si>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</si>
  <si>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</si>
  <si>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</si>
  <si>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</si>
  <si>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</si>
  <si>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</si>
  <si>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</si>
  <si>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</si>
  <si>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</si>
  <si>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</si>
  <si>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</si>
  <si>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</si>
  <si>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</si>
  <si>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</si>
  <si>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</si>
  <si>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</si>
  <si>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</si>
  <si>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</si>
  <si>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</si>
  <si>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</si>
  <si>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</si>
  <si>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</si>
  <si>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</si>
  <si>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</si>
  <si>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</si>
  <si>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</si>
  <si>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</si>
  <si>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</si>
  <si>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</si>
  <si>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</si>
  <si>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</si>
  <si>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</si>
  <si>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</si>
  <si>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</si>
  <si>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</si>
  <si>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</si>
  <si>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</si>
  <si>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</si>
  <si>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</si>
  <si>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</si>
  <si>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</si>
  <si>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</si>
  <si>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</si>
  <si>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</si>
  <si>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</si>
  <si>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</si>
  <si>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</si>
  <si>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</si>
  <si>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</si>
  <si>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</si>
  <si>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</si>
  <si>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</si>
  <si>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</si>
  <si>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</si>
  <si>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</si>
  <si>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</si>
  <si>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</si>
  <si>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</si>
  <si>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</si>
  <si>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</si>
  <si>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</si>
  <si>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</si>
  <si>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</si>
  <si>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</si>
  <si>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</si>
  <si>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</si>
  <si>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</si>
  <si>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</si>
  <si>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</si>
  <si>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</si>
  <si>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</si>
  <si>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</si>
  <si>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</si>
  <si>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</si>
  <si>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</si>
  <si>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</si>
  <si>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</si>
  <si>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</si>
  <si>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</si>
  <si>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</si>
  <si>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</si>
  <si>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</si>
  <si>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</si>
  <si>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</si>
  <si>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</si>
  <si>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</si>
  <si>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</si>
  <si>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</si>
  <si>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</si>
  <si>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</si>
  <si>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</si>
  <si>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</si>
  <si>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</si>
  <si>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</si>
  <si>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</si>
  <si>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</si>
  <si>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</si>
  <si>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</si>
  <si>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</si>
  <si>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</si>
  <si>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</si>
  <si>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</si>
  <si>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</si>
  <si>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</si>
  <si>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</si>
  <si>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</si>
  <si>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</si>
  <si>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</si>
  <si>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</si>
  <si>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</si>
  <si>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</si>
  <si>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</si>
  <si>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</si>
  <si>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</si>
  <si>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</si>
  <si>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</si>
  <si>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</si>
  <si>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</si>
  <si>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</si>
  <si>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</si>
  <si>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</si>
  <si>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</si>
  <si>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</si>
  <si>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</si>
  <si>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</si>
  <si>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</si>
  <si>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</si>
  <si>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</si>
  <si>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</si>
  <si>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</si>
  <si>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</si>
  <si>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</si>
  <si>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</si>
  <si>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</si>
  <si>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</si>
  <si>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</si>
  <si>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</si>
  <si>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</si>
  <si>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</si>
  <si>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</si>
  <si>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</si>
  <si>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</si>
  <si>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</si>
  <si>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</si>
  <si>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</si>
  <si>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</si>
  <si>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</si>
  <si>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</si>
  <si>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</si>
  <si>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</si>
  <si>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</si>
  <si>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</si>
  <si>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</si>
  <si>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</si>
  <si>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</si>
  <si>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</si>
  <si>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</si>
  <si>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</si>
  <si>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</si>
  <si>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</si>
  <si>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</si>
  <si>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</si>
  <si>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</si>
  <si>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</si>
  <si>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</si>
  <si>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</si>
  <si>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</si>
  <si>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</si>
  <si>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</si>
  <si>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</si>
  <si>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</si>
  <si>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</si>
  <si>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</si>
  <si>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</si>
  <si>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</si>
  <si>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</si>
  <si>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</si>
  <si>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</si>
  <si>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</si>
  <si>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</si>
  <si>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</si>
  <si>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</si>
  <si>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</si>
  <si>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</si>
  <si>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</si>
  <si>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</si>
  <si>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</si>
  <si>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</si>
  <si>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</si>
  <si>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</si>
  <si>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</si>
  <si>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</si>
  <si>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</si>
  <si>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</si>
  <si>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</si>
  <si>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</si>
  <si>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</si>
  <si>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</si>
  <si>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</si>
  <si>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</si>
  <si>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</si>
  <si>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</si>
  <si>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</si>
  <si>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</si>
  <si>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</si>
  <si>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</si>
  <si>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</si>
  <si>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</si>
  <si>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</si>
  <si>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</si>
  <si>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</si>
  <si>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</si>
  <si>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</si>
  <si>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</si>
  <si>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</si>
  <si>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</si>
  <si>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</si>
  <si>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</si>
  <si>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</si>
  <si>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</si>
  <si>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</si>
  <si>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</si>
  <si>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</si>
  <si>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</si>
  <si>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</si>
  <si>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</si>
  <si>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</si>
  <si>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</si>
  <si>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</si>
  <si>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</si>
  <si>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</si>
  <si>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</si>
  <si>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</si>
  <si>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</si>
  <si>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</si>
  <si>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</si>
  <si>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</si>
  <si>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</si>
  <si>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</si>
  <si>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</si>
  <si>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</si>
  <si>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</si>
  <si>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</si>
  <si>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</si>
  <si>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</si>
  <si>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</si>
  <si>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</si>
  <si>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</si>
  <si>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</si>
  <si>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</si>
  <si>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</si>
  <si>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</si>
  <si>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</si>
  <si>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</si>
  <si>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</si>
  <si>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</si>
  <si>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</si>
  <si>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</si>
  <si>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</si>
  <si>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</si>
  <si>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</si>
  <si>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</si>
  <si>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</si>
  <si>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</si>
  <si>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</si>
  <si>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</si>
  <si>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</si>
  <si>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</si>
  <si>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</si>
  <si>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</si>
  <si>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</si>
  <si>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</si>
  <si>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</si>
  <si>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</si>
  <si>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</si>
  <si>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</si>
  <si>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</si>
  <si>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</si>
  <si>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</si>
  <si>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</si>
  <si>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</si>
  <si>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</si>
  <si>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</si>
  <si>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</si>
  <si>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</si>
  <si>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</si>
  <si>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</si>
  <si>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</si>
  <si>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</si>
  <si>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</si>
  <si>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</si>
  <si>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</si>
  <si>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</si>
  <si>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</si>
  <si>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</si>
  <si>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</si>
  <si>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</si>
  <si>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</si>
  <si>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</si>
  <si>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</si>
  <si>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</si>
  <si>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</si>
  <si>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</si>
  <si>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</si>
  <si>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</si>
  <si>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</si>
  <si>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</si>
  <si>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</si>
  <si>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</si>
  <si>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</si>
  <si>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</si>
  <si>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</si>
  <si>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</si>
  <si>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</si>
  <si>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</si>
  <si>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</si>
  <si>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</si>
  <si>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</si>
  <si>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</si>
  <si>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</si>
  <si>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</si>
  <si>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</si>
  <si>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</si>
  <si>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</si>
  <si>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</si>
  <si>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</si>
  <si>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</si>
  <si>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</si>
  <si>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</si>
  <si>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</si>
  <si>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</si>
  <si>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</si>
  <si>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</si>
  <si>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</si>
  <si>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</si>
  <si>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</si>
  <si>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</si>
  <si>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</si>
  <si>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</si>
  <si>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</si>
  <si>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</si>
  <si>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</si>
  <si>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</si>
  <si>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</si>
  <si>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</si>
  <si>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</si>
  <si>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</si>
  <si>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</si>
  <si>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</si>
  <si>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</si>
  <si>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</si>
  <si>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</si>
  <si>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</si>
  <si>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</si>
  <si>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</si>
  <si>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</si>
  <si>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</si>
  <si>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</si>
  <si>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</si>
  <si>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</si>
  <si>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</si>
  <si>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</si>
  <si>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</si>
  <si>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</si>
  <si>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</si>
  <si>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</si>
  <si>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</si>
  <si>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</si>
  <si>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</si>
  <si>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</si>
  <si>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</si>
  <si>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</si>
  <si>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</si>
  <si>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</si>
  <si>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</si>
  <si>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</si>
  <si>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</si>
  <si>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</si>
  <si>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</si>
  <si>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</si>
  <si>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</si>
  <si>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</si>
  <si>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</si>
  <si>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</si>
  <si>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</si>
  <si>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</si>
  <si>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</si>
  <si>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</si>
  <si>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</si>
  <si>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</si>
  <si>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</si>
  <si>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</si>
  <si>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</si>
  <si>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</si>
  <si>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</si>
  <si>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</si>
  <si>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</si>
  <si>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</si>
  <si>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</si>
  <si>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</si>
  <si>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</si>
  <si>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</si>
  <si>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</si>
  <si>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</si>
  <si>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</si>
  <si>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</si>
  <si>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</si>
  <si>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</si>
  <si>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</si>
  <si>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</si>
  <si>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</si>
  <si>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</si>
  <si>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</si>
  <si>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</si>
  <si>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</si>
  <si>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</si>
  <si>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</si>
  <si>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</si>
  <si>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</si>
  <si>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</si>
  <si>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</si>
  <si>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</si>
  <si>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</si>
  <si>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</si>
  <si>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</si>
  <si>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</si>
  <si>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</si>
  <si>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</si>
  <si>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</si>
  <si>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</si>
  <si>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</si>
  <si>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</si>
  <si>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</si>
  <si>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</si>
  <si>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</si>
  <si>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</si>
  <si>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</si>
  <si>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</si>
  <si>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</si>
  <si>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</si>
  <si>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</si>
  <si>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</si>
  <si>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</si>
  <si>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</si>
  <si>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</si>
  <si>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</si>
  <si>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</si>
  <si>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</si>
  <si>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</si>
  <si>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</si>
  <si>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</si>
  <si>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</si>
  <si>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</si>
  <si>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</si>
  <si>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</si>
  <si>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</si>
  <si>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</si>
  <si>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</si>
  <si>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</si>
  <si>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</si>
  <si>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</si>
  <si>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</si>
  <si>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</si>
  <si>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</si>
  <si>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</si>
  <si>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</si>
  <si>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</si>
  <si>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</si>
  <si>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</si>
  <si>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</si>
  <si>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</si>
  <si>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</si>
  <si>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</si>
  <si>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</si>
  <si>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</si>
  <si>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</si>
  <si>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</si>
  <si>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</si>
  <si>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</si>
  <si>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</si>
  <si>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</si>
  <si>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</si>
  <si>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</si>
  <si>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</si>
  <si>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</si>
  <si>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</si>
  <si>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</si>
  <si>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</si>
  <si>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</si>
  <si>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</si>
  <si>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</si>
  <si>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</si>
  <si>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</si>
  <si>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</si>
  <si>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</si>
  <si>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</si>
  <si>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</si>
  <si>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</si>
  <si>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</si>
  <si>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</si>
  <si>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</si>
  <si>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</si>
  <si>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</si>
  <si>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</si>
  <si>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</si>
  <si>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</si>
  <si>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</si>
  <si>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</si>
  <si>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</si>
  <si>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</si>
  <si>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</si>
  <si>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</si>
  <si>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</si>
  <si>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</si>
  <si>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</si>
  <si>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</si>
  <si>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</si>
  <si>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</si>
  <si>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</si>
  <si>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</si>
  <si>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</si>
  <si>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</si>
  <si>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</si>
  <si>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</si>
  <si>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</si>
  <si>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</si>
  <si>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</si>
  <si>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</si>
  <si>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</si>
  <si>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</si>
  <si>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</si>
  <si>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</si>
  <si>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</si>
  <si>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</si>
  <si>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</si>
  <si>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</si>
  <si>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</si>
  <si>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</si>
  <si>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</si>
  <si>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</si>
  <si>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</si>
  <si>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</si>
  <si>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</si>
  <si>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</si>
  <si>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</si>
  <si>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</si>
  <si>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</si>
  <si>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</si>
  <si>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</si>
  <si>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</si>
  <si>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</si>
  <si>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</si>
  <si>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</si>
  <si>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</si>
  <si>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</si>
  <si>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</si>
  <si>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</si>
  <si>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</si>
  <si>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</si>
  <si>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</si>
  <si>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</si>
  <si>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</si>
  <si>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</si>
  <si>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</si>
  <si>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</si>
  <si>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</si>
  <si>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</si>
  <si>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</si>
  <si>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</si>
  <si>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</si>
  <si>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</si>
  <si>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</si>
  <si>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</si>
  <si>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</si>
  <si>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</si>
  <si>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</si>
  <si>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</si>
  <si>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</si>
  <si>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</si>
  <si>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</si>
  <si>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</si>
  <si>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</si>
  <si>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</si>
  <si>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</si>
  <si>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</si>
  <si>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</si>
  <si>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</si>
  <si>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</si>
  <si>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</si>
  <si>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</si>
  <si>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</si>
  <si>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</si>
  <si>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</si>
  <si>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</si>
  <si>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</si>
  <si>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</si>
  <si>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</si>
  <si>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</si>
  <si>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</si>
  <si>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</si>
  <si>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</si>
  <si>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</si>
  <si>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</si>
  <si>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</si>
  <si>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</si>
  <si>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</si>
  <si>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</si>
  <si>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</si>
  <si>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</si>
  <si>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</si>
  <si>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</si>
  <si>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</si>
  <si>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</si>
  <si>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</si>
  <si>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</si>
  <si>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</si>
  <si>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</si>
  <si>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</si>
  <si>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</si>
  <si>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</si>
  <si>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</si>
  <si>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</si>
  <si>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</si>
  <si>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</si>
  <si>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</si>
  <si>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</si>
  <si>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</si>
  <si>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</si>
  <si>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</si>
  <si>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</si>
  <si>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</si>
  <si>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</si>
  <si>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</si>
  <si>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</si>
  <si>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</si>
  <si>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</si>
  <si>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</si>
  <si>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</si>
  <si>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</si>
  <si>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</si>
  <si>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</si>
  <si>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</si>
  <si>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</si>
  <si>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</si>
  <si>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</si>
  <si>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</si>
  <si>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</si>
  <si>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</si>
  <si>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</si>
  <si>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</si>
  <si>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</si>
  <si>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</si>
  <si>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</si>
  <si>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</si>
  <si>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</si>
  <si>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</si>
  <si>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</si>
  <si>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</si>
  <si>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</si>
  <si>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</si>
  <si>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</si>
  <si>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</si>
  <si>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</si>
  <si>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</si>
  <si>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</si>
  <si>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</si>
  <si>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</si>
  <si>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</si>
  <si>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</si>
  <si>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</si>
  <si>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</si>
  <si>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</si>
  <si>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</si>
  <si>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</si>
  <si>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</si>
  <si>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</si>
  <si>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</si>
  <si>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</si>
  <si>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</si>
  <si>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</si>
  <si>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</si>
  <si>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</si>
  <si>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</si>
  <si>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</si>
  <si>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</si>
  <si>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</si>
  <si>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</si>
  <si>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</si>
  <si>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</si>
  <si>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</si>
  <si>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</si>
  <si>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</si>
  <si>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</si>
  <si>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</si>
  <si>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</si>
  <si>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</si>
  <si>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</si>
  <si>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</si>
  <si>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</si>
  <si>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</si>
  <si>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</si>
  <si>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</si>
  <si>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</si>
  <si>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</si>
  <si>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</si>
  <si>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</si>
  <si>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</si>
  <si>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</si>
  <si>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</si>
  <si>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</si>
  <si>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</si>
  <si>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</si>
  <si>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</si>
  <si>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</si>
  <si>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</si>
  <si>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</si>
  <si>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</si>
  <si>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</si>
  <si>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</si>
  <si>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</si>
  <si>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</si>
  <si>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</si>
  <si>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</si>
  <si>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</si>
  <si>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</si>
  <si>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</si>
  <si>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</si>
  <si>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</si>
  <si>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</si>
  <si>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</si>
  <si>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</si>
  <si>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</si>
  <si>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</si>
  <si>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</si>
  <si>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</si>
  <si>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</si>
  <si>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</si>
  <si>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</si>
  <si>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</si>
  <si>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</si>
  <si>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</si>
  <si>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</si>
  <si>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</si>
  <si>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</si>
  <si>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</si>
  <si>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</si>
  <si>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</si>
  <si>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</si>
  <si>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</si>
  <si>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</si>
  <si>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</si>
  <si>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</si>
  <si>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</si>
  <si>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</si>
  <si>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</si>
  <si>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</si>
  <si>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</si>
  <si>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</si>
  <si>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</si>
  <si>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</si>
  <si>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</si>
  <si>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</si>
  <si>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</si>
  <si>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</si>
  <si>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</si>
  <si>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</si>
  <si>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</si>
  <si>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</si>
  <si>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</si>
  <si>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</si>
  <si>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</si>
  <si>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</si>
  <si>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</si>
  <si>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</si>
  <si>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</si>
  <si>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</si>
  <si>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</si>
  <si>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</si>
  <si>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</si>
  <si>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</si>
  <si>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</si>
  <si>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</si>
  <si>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</si>
  <si>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</si>
  <si>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</si>
  <si>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</si>
  <si>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</si>
  <si>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</si>
  <si>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</si>
  <si>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</si>
  <si>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</si>
  <si>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</si>
  <si>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</si>
  <si>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</si>
  <si>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</si>
  <si>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</si>
  <si>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</si>
  <si>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</si>
  <si>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</si>
  <si>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</si>
  <si>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</si>
  <si>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</si>
  <si>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</si>
  <si>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</si>
  <si>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</si>
  <si>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</si>
  <si>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</si>
  <si>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</si>
  <si>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</si>
  <si>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</si>
  <si>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</si>
  <si>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</si>
  <si>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</si>
  <si>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</si>
  <si>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</si>
  <si>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</si>
  <si>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</si>
  <si>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</si>
  <si>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</si>
  <si>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</si>
  <si>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</si>
  <si>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</si>
  <si>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</si>
  <si>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</si>
  <si>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</si>
  <si>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</si>
  <si>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</si>
  <si>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</si>
  <si>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</si>
  <si>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</si>
  <si>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</si>
  <si>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</si>
  <si>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</si>
  <si>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</si>
  <si>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</si>
  <si>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</si>
  <si>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</si>
  <si>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</si>
  <si>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</si>
  <si>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</si>
  <si>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</si>
  <si>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</si>
  <si>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</si>
  <si>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</si>
  <si>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</si>
  <si>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</si>
  <si>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</si>
  <si>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</si>
  <si>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</si>
  <si>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</si>
  <si>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</si>
  <si>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</si>
  <si>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</si>
  <si>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</si>
  <si>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</si>
  <si>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</si>
  <si>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</si>
  <si>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</si>
  <si>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</si>
  <si>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</si>
  <si>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</si>
  <si>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</si>
  <si>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</si>
  <si>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</si>
  <si>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</si>
  <si>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</si>
  <si>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</si>
  <si>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</si>
  <si>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</si>
  <si>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</si>
  <si>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</si>
  <si>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</si>
  <si>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</si>
  <si>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</si>
  <si>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</si>
  <si>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</si>
  <si>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</si>
  <si>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</si>
  <si>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</si>
  <si>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</si>
  <si>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</si>
  <si>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</si>
  <si>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</si>
  <si>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</si>
  <si>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</si>
  <si>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</si>
  <si>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</si>
  <si>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</si>
  <si>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</si>
  <si>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</si>
  <si>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</si>
  <si>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</si>
  <si>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</si>
  <si>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</si>
  <si>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</si>
  <si>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</si>
  <si>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</si>
  <si>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</si>
  <si>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</si>
  <si>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</si>
  <si>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</si>
  <si>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</si>
  <si>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</si>
  <si>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</si>
  <si>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</si>
  <si>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</si>
  <si>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</si>
  <si>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</si>
  <si>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</si>
  <si>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</si>
  <si>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</si>
  <si>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</si>
  <si>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</si>
  <si>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</si>
  <si>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</si>
  <si>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</si>
  <si>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</si>
  <si>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</si>
  <si>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</si>
  <si>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</si>
  <si>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</si>
  <si>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</si>
  <si>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</si>
  <si>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</si>
  <si>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</si>
  <si>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</si>
  <si>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</si>
  <si>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</si>
  <si>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</si>
  <si>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</si>
  <si>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</si>
  <si>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</si>
  <si>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</si>
  <si>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</si>
  <si>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</si>
  <si>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</si>
  <si>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</si>
  <si>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</si>
  <si>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</si>
  <si>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</si>
  <si>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</si>
  <si>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</si>
  <si>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</si>
  <si>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</si>
  <si>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</si>
  <si>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</si>
  <si>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</si>
  <si>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</si>
  <si>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</si>
  <si>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</si>
  <si>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</si>
  <si>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</si>
  <si>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</si>
  <si>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</si>
  <si>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</si>
  <si>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</si>
  <si>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</si>
  <si>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</si>
  <si>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</si>
  <si>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</si>
  <si>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</si>
  <si>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</si>
  <si>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</si>
  <si>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</si>
  <si>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</si>
  <si>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</si>
  <si>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</si>
  <si>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</si>
  <si>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</si>
  <si>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</si>
  <si>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</si>
  <si>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</si>
  <si>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</si>
  <si>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</si>
  <si>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</si>
  <si>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</si>
  <si>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</si>
  <si>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</si>
  <si>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</si>
  <si>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</si>
  <si>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</si>
  <si>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</si>
  <si>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</si>
  <si>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</si>
  <si>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</si>
  <si>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</si>
  <si>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</si>
  <si>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</si>
  <si>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</si>
  <si>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</si>
  <si>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</si>
  <si>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</si>
  <si>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</si>
  <si>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</si>
  <si>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</si>
  <si>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</si>
  <si>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</si>
  <si>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</si>
  <si>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</si>
  <si>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</si>
  <si>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</si>
  <si>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</si>
  <si>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</si>
  <si>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</si>
  <si>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</si>
  <si>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</si>
  <si>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</si>
  <si>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</si>
  <si>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</si>
  <si>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</si>
  <si>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</si>
  <si>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</si>
  <si>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</si>
  <si>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</si>
  <si>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</si>
  <si>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</si>
  <si>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</si>
  <si>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</si>
  <si>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</si>
  <si>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</si>
  <si>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</si>
  <si>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</si>
  <si>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</si>
  <si>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</si>
  <si>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</si>
  <si>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</si>
  <si>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</si>
  <si>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</si>
  <si>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</si>
  <si>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</si>
  <si>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</si>
  <si>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</si>
  <si>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</si>
  <si>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</si>
  <si>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</si>
  <si>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</si>
  <si>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</si>
  <si>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</si>
  <si>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</si>
  <si>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</si>
  <si>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</si>
  <si>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</si>
  <si>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</si>
  <si>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</si>
  <si>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</si>
  <si>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</si>
  <si>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</si>
  <si>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</si>
  <si>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</si>
  <si>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</si>
  <si>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</si>
  <si>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</si>
  <si>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</si>
  <si>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</si>
  <si>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</si>
  <si>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</si>
  <si>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</si>
  <si>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</si>
  <si>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</si>
  <si>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KONDUKTOR</t>
  </si>
  <si>
    <t>PEKERJAAN PEMASANGAN APP</t>
  </si>
  <si>
    <t>PEMBONGKARAN</t>
  </si>
  <si>
    <t>B2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</si>
  <si>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</si>
  <si>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</si>
  <si>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</si>
  <si>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</si>
  <si>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</si>
  <si>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</si>
  <si>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</si>
  <si>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</si>
  <si>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</si>
  <si>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</si>
  <si>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</si>
  <si>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</si>
  <si>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</si>
  <si>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</si>
  <si>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</si>
  <si>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</si>
  <si>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</si>
  <si>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</si>
  <si>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</si>
  <si>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</si>
  <si>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</si>
  <si>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</si>
  <si>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</si>
  <si>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</si>
  <si>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</si>
  <si>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</si>
  <si>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</si>
  <si>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</si>
  <si>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</si>
  <si>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</si>
  <si>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</si>
  <si>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</si>
  <si>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</si>
  <si>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</si>
  <si>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</si>
  <si>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</si>
  <si>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</si>
  <si>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</si>
  <si>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</si>
  <si>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</si>
  <si>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</si>
  <si>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</si>
  <si>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Hasil Ukur Trafo 3 Ph 50 KVA ( X ) di SYG5-206A/4</t>
  </si>
  <si>
    <t>CJ6-T</t>
  </si>
  <si>
    <t>G312-A 50KVA</t>
  </si>
  <si>
    <t>LVTC 3X35+35</t>
  </si>
  <si>
    <t>MTR</t>
  </si>
  <si>
    <t>LVTC 3X70+70</t>
  </si>
  <si>
    <t>MANAGER ULP TEGOWANU</t>
  </si>
  <si>
    <t>HARY PRATAMA</t>
  </si>
  <si>
    <t>G313A 160KVA</t>
  </si>
  <si>
    <t>SJ6</t>
  </si>
  <si>
    <t>BTG</t>
  </si>
  <si>
    <t>CC7</t>
  </si>
  <si>
    <t>CM5-5</t>
  </si>
  <si>
    <t>CM2-12</t>
  </si>
  <si>
    <t>CM2-12A</t>
  </si>
  <si>
    <t>CE1-2</t>
  </si>
  <si>
    <t>F1-3</t>
  </si>
  <si>
    <t>CM8-A1</t>
  </si>
  <si>
    <t>NYY 1X70 mm2</t>
  </si>
  <si>
    <t>CCO 70-70</t>
  </si>
  <si>
    <t>BH</t>
  </si>
  <si>
    <t>CCO 240-70</t>
  </si>
  <si>
    <t>CCO 150-70</t>
  </si>
  <si>
    <t>TL. Teknik</t>
  </si>
  <si>
    <t>Trafo 3 Fasa 160 KVA 2 Tiang (G313)</t>
  </si>
  <si>
    <t>AAAC 70 mm2</t>
  </si>
  <si>
    <t>Keterangan Tambahan : '-7.051012,110.651694</t>
  </si>
  <si>
    <t>APP 164KVA</t>
  </si>
  <si>
    <t>C12-350E</t>
  </si>
  <si>
    <t>CC8</t>
  </si>
  <si>
    <t>Sepatu kabel CU-CU 70 mm2</t>
  </si>
  <si>
    <t>SR + APP 5,5KVA</t>
  </si>
  <si>
    <t>PT AGUSTA JAYA BETON</t>
  </si>
  <si>
    <t>JL. RAYA SEMARANG-PURWODADI DESA GUBUG</t>
  </si>
  <si>
    <t>Daya 164.000 VA</t>
  </si>
  <si>
    <t>Tegowanu, Nopember 2023</t>
  </si>
  <si>
    <t>KOORDINAT LOKASI :  '-7.051012,110.651694</t>
  </si>
  <si>
    <t>MGN06-335</t>
  </si>
  <si>
    <t>MGN06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</si>
</sst>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8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731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5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5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5" fillId="0" borderId="0" applyFont="0" applyFill="0" applyBorder="0" applyAlignment="0" applyProtection="0"/>
    <xf numFmtId="164" fontId="66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6" fontId="22" fillId="0" borderId="0" applyFont="0" applyFill="0" applyBorder="0" applyAlignment="0" applyProtection="0"/>
    <xf numFmtId="166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41" fontId="15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6" fillId="0" borderId="0"/>
    <xf numFmtId="43" fontId="10" fillId="0" borderId="0" applyFont="0" applyFill="0" applyBorder="0" applyAlignment="0" applyProtection="0"/>
    <xf numFmtId="0" fontId="6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721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4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4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4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5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5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5" fontId="43" fillId="0" borderId="0" xfId="1615" applyNumberFormat="1" applyFont="1" applyAlignment="1">
      <alignment horizontal="left" vertical="center"/>
    </xf>
    <xf numFmtId="165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4" fontId="94" fillId="0" borderId="0" xfId="1448" applyNumberFormat="1" applyFont="1" applyAlignment="1">
      <alignment wrapText="1"/>
    </xf>
    <xf numFmtId="164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4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5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4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165" fontId="127" fillId="36" borderId="0" xfId="2672" applyFont="1" applyFill="1" applyBorder="1" applyAlignment="1" applyProtection="1">
      <alignment horizontal="right" vertical="center"/>
    </xf>
    <xf numFmtId="165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9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11" fillId="0" borderId="0" xfId="1538"/>
    <xf numFmtId="165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5" fontId="0" fillId="0" borderId="3" xfId="1026" applyFont="1" applyFill="1" applyBorder="1" applyProtection="1"/>
    <xf numFmtId="165" fontId="111" fillId="0" borderId="3" xfId="1538" applyNumberFormat="1" applyBorder="1"/>
    <xf numFmtId="165" fontId="122" fillId="0" borderId="3" xfId="1026" applyFont="1" applyBorder="1" applyProtection="1"/>
    <xf numFmtId="165" fontId="0" fillId="0" borderId="3" xfId="1026" applyFont="1" applyBorder="1" applyProtection="1"/>
    <xf numFmtId="165" fontId="114" fillId="0" borderId="3" xfId="1538" applyNumberFormat="1" applyFont="1" applyBorder="1"/>
    <xf numFmtId="0" fontId="61" fillId="0" borderId="3" xfId="1538" applyFont="1" applyBorder="1"/>
    <xf numFmtId="164" fontId="111" fillId="0" borderId="3" xfId="1538" applyNumberFormat="1" applyBorder="1"/>
    <xf numFmtId="165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5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5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5" fontId="111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165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0" fontId="133" fillId="0" borderId="21" xfId="1653" applyFont="1" applyBorder="1" applyAlignment="1">
      <alignment horizontal="center" vertic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1" fillId="0" borderId="21" xfId="1451" applyFont="1" applyBorder="1" applyAlignment="1">
      <alignment horizontal="left" vertical="center" wrapText="1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0" fontId="131" fillId="0" borderId="20" xfId="1652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7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164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40" fillId="0" borderId="0" xfId="1644" applyFont="1" applyAlignment="1">
      <alignment horizontal="center" vertical="center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165" fontId="123" fillId="40" borderId="61" xfId="2672" applyFont="1" applyFill="1" applyBorder="1" applyAlignment="1" applyProtection="1">
      <alignment horizontal="right" vertical="center" wrapText="1"/>
      <protection locked="0"/>
    </xf>
    <xf numFmtId="165" fontId="123" fillId="40" borderId="63" xfId="2672" applyFont="1" applyFill="1" applyBorder="1" applyAlignment="1" applyProtection="1">
      <alignment horizontal="right" vertical="center"/>
      <protection locked="0"/>
    </xf>
    <xf numFmtId="169" fontId="123" fillId="40" borderId="63" xfId="2672" applyNumberFormat="1" applyFont="1" applyFill="1" applyBorder="1" applyAlignment="1" applyProtection="1">
      <alignment horizontal="right" vertical="center"/>
      <protection locked="0"/>
    </xf>
    <xf numFmtId="169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41" fontId="134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27" fillId="47" borderId="0" xfId="2672" applyNumberFormat="1" applyFont="1" applyFill="1" applyBorder="1" applyAlignment="1" applyProtection="1">
      <alignment horizontal="right" vertical="center"/>
    </xf>
    <xf numFmtId="0" fontId="138" fillId="0" borderId="21" xfId="1615" applyFont="1" applyBorder="1" applyAlignment="1">
      <alignment horizontal="center" vertical="center"/>
    </xf>
    <xf numFmtId="20" fontId="155" fillId="33" borderId="101" xfId="0" applyNumberFormat="1" applyFont="1" applyFill="1" applyBorder="1" applyAlignment="1">
      <alignment horizontal="center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horizontal="left" vertical="center" wrapText="1"/>
    </xf>
    <xf numFmtId="0" fontId="155" fillId="33" borderId="26" xfId="0" applyFont="1" applyFill="1" applyBorder="1" applyAlignment="1">
      <alignment horizontal="center"/>
    </xf>
    <xf numFmtId="0" fontId="155" fillId="33" borderId="36" xfId="0" applyFont="1" applyFill="1" applyBorder="1" applyAlignment="1">
      <alignment horizontal="center"/>
    </xf>
    <xf numFmtId="0" fontId="155" fillId="33" borderId="28" xfId="0" applyFont="1" applyFill="1" applyBorder="1" applyAlignment="1">
      <alignment horizontal="center"/>
    </xf>
    <xf numFmtId="0" fontId="159" fillId="33" borderId="18" xfId="0" applyFont="1" applyFill="1" applyBorder="1" applyAlignment="1">
      <alignment horizontal="left"/>
    </xf>
    <xf numFmtId="0" fontId="155" fillId="33" borderId="37" xfId="0" applyFont="1" applyFill="1" applyBorder="1" applyAlignment="1">
      <alignment horizontal="center"/>
    </xf>
    <xf numFmtId="0" fontId="158" fillId="33" borderId="0" xfId="0" applyFont="1" applyFill="1" applyAlignment="1">
      <alignment horizontal="center"/>
    </xf>
    <xf numFmtId="0" fontId="160" fillId="33" borderId="28" xfId="0" applyFont="1" applyFill="1" applyBorder="1" applyAlignment="1">
      <alignment horizontal="center"/>
    </xf>
    <xf numFmtId="0" fontId="160" fillId="33" borderId="0" xfId="0" applyFont="1" applyFill="1" applyAlignment="1">
      <alignment horizontal="center"/>
    </xf>
    <xf numFmtId="0" fontId="162" fillId="33" borderId="81" xfId="0" applyFont="1" applyFill="1" applyBorder="1" applyAlignment="1">
      <alignment horizontal="center" vertical="center"/>
    </xf>
    <xf numFmtId="0" fontId="162" fillId="33" borderId="82" xfId="0" applyFont="1" applyFill="1" applyBorder="1" applyAlignment="1">
      <alignment horizontal="center" vertical="center"/>
    </xf>
    <xf numFmtId="0" fontId="164" fillId="33" borderId="85" xfId="0" applyFont="1" applyFill="1" applyBorder="1" applyAlignment="1">
      <alignment horizontal="center" vertical="center"/>
    </xf>
    <xf numFmtId="0" fontId="162" fillId="33" borderId="86" xfId="0" applyFont="1" applyFill="1" applyBorder="1" applyAlignment="1">
      <alignment horizontal="center" vertical="center"/>
    </xf>
    <xf numFmtId="0" fontId="165" fillId="33" borderId="0" xfId="0" applyFont="1" applyFill="1" applyAlignment="1">
      <alignment horizontal="center"/>
    </xf>
    <xf numFmtId="0" fontId="164" fillId="33" borderId="91" xfId="0" applyFont="1" applyFill="1" applyBorder="1" applyAlignment="1">
      <alignment horizontal="center" vertical="center"/>
    </xf>
    <xf numFmtId="0" fontId="166" fillId="33" borderId="94" xfId="0" applyFont="1" applyFill="1" applyBorder="1" applyAlignment="1">
      <alignment horizontal="center" vertical="top" wrapText="1"/>
    </xf>
    <xf numFmtId="0" fontId="166" fillId="33" borderId="95" xfId="0" applyFont="1" applyFill="1" applyBorder="1" applyAlignment="1">
      <alignment horizontal="center" vertical="top" wrapText="1"/>
    </xf>
    <xf numFmtId="0" fontId="155" fillId="33" borderId="40" xfId="0" applyFont="1" applyFill="1" applyBorder="1" applyAlignment="1">
      <alignment horizontal="center"/>
    </xf>
    <xf numFmtId="0" fontId="155" fillId="33" borderId="41" xfId="0" applyFont="1" applyFill="1" applyBorder="1" applyAlignment="1">
      <alignment vertical="top" wrapText="1"/>
    </xf>
    <xf numFmtId="0" fontId="155" fillId="33" borderId="42" xfId="0" applyFont="1" applyFill="1" applyBorder="1" applyAlignment="1">
      <alignment vertical="top" wrapText="1"/>
    </xf>
    <xf numFmtId="0" fontId="155" fillId="33" borderId="77" xfId="0" applyFont="1" applyFill="1" applyBorder="1" applyAlignment="1">
      <alignment vertical="top" wrapText="1"/>
    </xf>
    <xf numFmtId="0" fontId="166" fillId="33" borderId="28" xfId="0" applyFont="1" applyFill="1" applyBorder="1" applyAlignment="1">
      <alignment horizontal="center"/>
    </xf>
    <xf numFmtId="0" fontId="166" fillId="33" borderId="0" xfId="0" applyFont="1" applyFill="1" applyAlignment="1">
      <alignment horizontal="center"/>
    </xf>
    <xf numFmtId="0" fontId="155" fillId="33" borderId="40" xfId="0" applyFont="1" applyFill="1" applyBorder="1" applyAlignment="1">
      <alignment horizontal="center" vertical="center" wrapText="1"/>
    </xf>
    <xf numFmtId="0" fontId="166" fillId="33" borderId="34" xfId="0" applyFont="1" applyFill="1" applyBorder="1" applyAlignment="1">
      <alignment horizontal="center"/>
    </xf>
    <xf numFmtId="0" fontId="166" fillId="33" borderId="19" xfId="0" applyFont="1" applyFill="1" applyBorder="1" applyAlignment="1">
      <alignment horizontal="center"/>
    </xf>
    <xf numFmtId="0" fontId="155" fillId="33" borderId="19" xfId="0" applyFont="1" applyFill="1" applyBorder="1" applyAlignment="1">
      <alignment horizontal="center"/>
    </xf>
    <xf numFmtId="0" fontId="155" fillId="33" borderId="96" xfId="0" applyFont="1" applyFill="1" applyBorder="1" applyAlignment="1">
      <alignment horizontal="center"/>
    </xf>
    <xf numFmtId="0" fontId="155" fillId="33" borderId="99" xfId="0" applyFont="1" applyFill="1" applyBorder="1" applyAlignment="1">
      <alignment horizontal="center" vertical="top" wrapText="1"/>
    </xf>
    <xf numFmtId="0" fontId="155" fillId="33" borderId="101" xfId="0" applyFont="1" applyFill="1" applyBorder="1" applyAlignment="1">
      <alignment vertical="top" wrapText="1"/>
    </xf>
    <xf numFmtId="0" fontId="155" fillId="33" borderId="100" xfId="0" applyFont="1" applyFill="1" applyBorder="1" applyAlignment="1">
      <alignment vertical="top" wrapText="1"/>
    </xf>
    <xf numFmtId="49" fontId="155" fillId="33" borderId="99" xfId="0" applyNumberFormat="1" applyFont="1" applyFill="1" applyBorder="1" applyAlignment="1">
      <alignment horizontal="center" vertical="top" wrapText="1"/>
    </xf>
    <xf numFmtId="49" fontId="155" fillId="33" borderId="102" xfId="0" applyNumberFormat="1" applyFont="1" applyFill="1" applyBorder="1" applyAlignment="1">
      <alignment horizontal="center" vertical="top" wrapText="1"/>
    </xf>
    <xf numFmtId="0" fontId="155" fillId="33" borderId="101" xfId="0" applyFont="1" applyFill="1" applyBorder="1" applyAlignment="1">
      <alignment horizontal="center" vertical="center"/>
    </xf>
    <xf numFmtId="0" fontId="155" fillId="33" borderId="100" xfId="0" applyFont="1" applyFill="1" applyBorder="1" applyAlignment="1">
      <alignment horizontal="center" vertical="center"/>
    </xf>
    <xf numFmtId="0" fontId="155" fillId="33" borderId="100" xfId="0" applyFont="1" applyFill="1" applyBorder="1" applyAlignment="1">
      <alignment horizontal="left" vertical="center"/>
    </xf>
    <xf numFmtId="0" fontId="155" fillId="33" borderId="105" xfId="0" applyFont="1" applyFill="1" applyBorder="1" applyAlignment="1">
      <alignment horizontal="center"/>
    </xf>
    <xf numFmtId="0" fontId="155" fillId="33" borderId="101" xfId="0" applyFont="1" applyFill="1" applyBorder="1" applyAlignment="1">
      <alignment horizontal="center"/>
    </xf>
    <xf numFmtId="0" fontId="155" fillId="33" borderId="100" xfId="0" applyFont="1" applyFill="1" applyBorder="1" applyAlignment="1">
      <alignment horizontal="center"/>
    </xf>
    <xf numFmtId="0" fontId="158" fillId="0" borderId="100" xfId="1450" applyFont="1" applyBorder="1" applyAlignment="1">
      <alignment horizontal="center"/>
    </xf>
    <xf numFmtId="0" fontId="155" fillId="33" borderId="102" xfId="0" applyFont="1" applyFill="1" applyBorder="1" applyAlignment="1">
      <alignment horizontal="center" vertical="top" wrapText="1"/>
    </xf>
    <xf numFmtId="0" fontId="39" fillId="0" borderId="0" xfId="1614" applyFont="1" applyAlignment="1">
      <alignment horizontal="center" vertical="center"/>
    </xf>
    <xf numFmtId="0" fontId="167" fillId="0" borderId="26" xfId="1451" applyFont="1" applyBorder="1"/>
    <xf numFmtId="0" fontId="167" fillId="0" borderId="36" xfId="1451" applyFont="1" applyBorder="1"/>
    <xf numFmtId="0" fontId="167" fillId="0" borderId="43" xfId="1451" applyFont="1" applyBorder="1"/>
    <xf numFmtId="0" fontId="167" fillId="0" borderId="28" xfId="1451" applyFont="1" applyBorder="1"/>
    <xf numFmtId="0" fontId="167" fillId="0" borderId="37" xfId="1451" applyFont="1" applyBorder="1"/>
    <xf numFmtId="0" fontId="159" fillId="0" borderId="37" xfId="1451" applyFont="1" applyBorder="1" applyAlignment="1">
      <alignment vertical="center"/>
    </xf>
    <xf numFmtId="0" fontId="167" fillId="0" borderId="34" xfId="1451" applyFont="1" applyBorder="1"/>
    <xf numFmtId="0" fontId="167" fillId="0" borderId="19" xfId="1451" applyFont="1" applyBorder="1"/>
    <xf numFmtId="0" fontId="159" fillId="0" borderId="19" xfId="1451" applyFont="1" applyBorder="1" applyAlignment="1">
      <alignment vertical="center"/>
    </xf>
    <xf numFmtId="0" fontId="159" fillId="0" borderId="19" xfId="1451" applyFont="1" applyBorder="1" applyAlignment="1">
      <alignment horizontal="center" vertical="center"/>
    </xf>
    <xf numFmtId="0" fontId="159" fillId="0" borderId="31" xfId="1451" applyFont="1" applyBorder="1" applyAlignment="1">
      <alignment vertical="center"/>
    </xf>
    <xf numFmtId="0" fontId="44" fillId="0" borderId="21" xfId="0" applyFont="1" applyBorder="1" applyAlignment="1">
      <alignment horizontal="left" vertical="center" wrapText="1"/>
    </xf>
    <xf numFmtId="0" fontId="167" fillId="33" borderId="0" xfId="1451" applyFont="1" applyFill="1"/>
    <xf numFmtId="0" fontId="167" fillId="33" borderId="26" xfId="1451" applyFont="1" applyFill="1" applyBorder="1"/>
    <xf numFmtId="0" fontId="167" fillId="33" borderId="36" xfId="1451" applyFont="1" applyFill="1" applyBorder="1"/>
    <xf numFmtId="0" fontId="167" fillId="33" borderId="43" xfId="1451" applyFont="1" applyFill="1" applyBorder="1"/>
    <xf numFmtId="0" fontId="167" fillId="33" borderId="28" xfId="1451" applyFont="1" applyFill="1" applyBorder="1"/>
    <xf numFmtId="0" fontId="167" fillId="33" borderId="37" xfId="1451" applyFont="1" applyFill="1" applyBorder="1"/>
    <xf numFmtId="0" fontId="169" fillId="33" borderId="0" xfId="1451" applyFont="1" applyFill="1" applyAlignment="1">
      <alignment vertical="center"/>
    </xf>
    <xf numFmtId="0" fontId="168" fillId="33" borderId="0" xfId="1451" applyFont="1" applyFill="1" applyAlignment="1">
      <alignment vertical="center"/>
    </xf>
    <xf numFmtId="0" fontId="172" fillId="33" borderId="0" xfId="1451" applyFont="1" applyFill="1" applyAlignment="1">
      <alignment horizontal="center" vertical="center"/>
    </xf>
    <xf numFmtId="0" fontId="173" fillId="33" borderId="0" xfId="1451" applyFont="1" applyFill="1"/>
    <xf numFmtId="0" fontId="174" fillId="33" borderId="0" xfId="1451" applyFont="1" applyFill="1"/>
    <xf numFmtId="0" fontId="159" fillId="33" borderId="0" xfId="1451" applyFont="1" applyFill="1" applyAlignment="1">
      <alignment vertical="center"/>
    </xf>
    <xf numFmtId="0" fontId="159" fillId="33" borderId="37" xfId="1451" applyFont="1" applyFill="1" applyBorder="1" applyAlignment="1">
      <alignment vertical="center"/>
    </xf>
    <xf numFmtId="0" fontId="174" fillId="33" borderId="0" xfId="1451" applyFont="1" applyFill="1" applyAlignment="1">
      <alignment horizontal="center"/>
    </xf>
    <xf numFmtId="0" fontId="159" fillId="33" borderId="0" xfId="1451" applyFont="1" applyFill="1" applyAlignment="1">
      <alignment horizontal="center" vertical="center"/>
    </xf>
    <xf numFmtId="0" fontId="159" fillId="33" borderId="37" xfId="1451" applyFont="1" applyFill="1" applyBorder="1" applyAlignment="1">
      <alignment horizontal="center" vertical="center"/>
    </xf>
    <xf numFmtId="0" fontId="175" fillId="33" borderId="0" xfId="1451" applyFont="1" applyFill="1" applyAlignment="1">
      <alignment vertical="center"/>
    </xf>
    <xf numFmtId="0" fontId="175" fillId="33" borderId="37" xfId="1451" applyFont="1" applyFill="1" applyBorder="1" applyAlignment="1">
      <alignment vertical="center"/>
    </xf>
    <xf numFmtId="0" fontId="167" fillId="33" borderId="34" xfId="1451" applyFont="1" applyFill="1" applyBorder="1"/>
    <xf numFmtId="0" fontId="167" fillId="33" borderId="19" xfId="1451" applyFont="1" applyFill="1" applyBorder="1"/>
    <xf numFmtId="0" fontId="159" fillId="33" borderId="19" xfId="1451" applyFont="1" applyFill="1" applyBorder="1" applyAlignment="1">
      <alignment vertical="center"/>
    </xf>
    <xf numFmtId="0" fontId="159" fillId="33" borderId="19" xfId="1451" applyFont="1" applyFill="1" applyBorder="1" applyAlignment="1">
      <alignment horizontal="center" vertical="center"/>
    </xf>
    <xf numFmtId="0" fontId="159" fillId="33" borderId="31" xfId="1451" applyFont="1" applyFill="1" applyBorder="1" applyAlignment="1">
      <alignment vertical="center"/>
    </xf>
    <xf numFmtId="0" fontId="167" fillId="33" borderId="31" xfId="1451" applyFont="1" applyFill="1" applyBorder="1"/>
    <xf numFmtId="0" fontId="155" fillId="33" borderId="0" xfId="0" applyFont="1" applyFill="1" applyAlignment="1">
      <alignment horizontal="center"/>
    </xf>
    <xf numFmtId="0" fontId="132" fillId="0" borderId="20" xfId="1653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137" fillId="0" borderId="20" xfId="1653" applyFont="1" applyBorder="1" applyAlignment="1">
      <alignment horizontal="center" vertical="center"/>
    </xf>
    <xf numFmtId="0" fontId="133" fillId="0" borderId="20" xfId="1653" applyFont="1" applyBorder="1" applyAlignment="1">
      <alignment horizontal="center" vertical="center"/>
    </xf>
    <xf numFmtId="0" fontId="167" fillId="0" borderId="0" xfId="1451" applyFont="1"/>
    <xf numFmtId="0" fontId="169" fillId="0" borderId="0" xfId="1451" applyFont="1" applyAlignment="1">
      <alignment vertical="center"/>
    </xf>
    <xf numFmtId="0" fontId="170" fillId="0" borderId="0" xfId="1451" applyFont="1"/>
    <xf numFmtId="0" fontId="168" fillId="0" borderId="0" xfId="1451" applyFont="1" applyAlignment="1">
      <alignment vertical="center"/>
    </xf>
    <xf numFmtId="0" fontId="172" fillId="0" borderId="0" xfId="1451" applyFont="1" applyAlignment="1">
      <alignment horizontal="center" vertical="center"/>
    </xf>
    <xf numFmtId="0" fontId="173" fillId="0" borderId="0" xfId="1451" applyFont="1"/>
    <xf numFmtId="0" fontId="174" fillId="0" borderId="0" xfId="1451" applyFont="1"/>
    <xf numFmtId="0" fontId="159" fillId="0" borderId="0" xfId="1451" applyFont="1" applyAlignment="1">
      <alignment vertical="center"/>
    </xf>
    <xf numFmtId="0" fontId="159" fillId="0" borderId="0" xfId="1451" applyFont="1" applyAlignment="1">
      <alignment horizontal="center" vertical="center"/>
    </xf>
    <xf numFmtId="0" fontId="167" fillId="0" borderId="0" xfId="1451" applyFont="1" applyAlignment="1">
      <alignment horizontal="center" vertical="center"/>
    </xf>
    <xf numFmtId="0" fontId="167" fillId="0" borderId="0" xfId="1451" applyFont="1" applyAlignment="1">
      <alignment horizontal="center"/>
    </xf>
    <xf numFmtId="0" fontId="168" fillId="35" borderId="0" xfId="1451" applyFont="1" applyFill="1" applyAlignment="1">
      <alignment vertical="center"/>
    </xf>
    <xf numFmtId="0" fontId="174" fillId="0" borderId="19" xfId="1451" applyFont="1" applyBorder="1" applyAlignment="1">
      <alignment horizontal="center"/>
    </xf>
    <xf numFmtId="0" fontId="174" fillId="0" borderId="19" xfId="1451" applyFont="1" applyBorder="1"/>
    <xf numFmtId="0" fontId="157" fillId="0" borderId="0" xfId="2669" applyFont="1" applyAlignment="1">
      <alignment vertical="center"/>
    </xf>
    <xf numFmtId="0" fontId="158" fillId="0" borderId="0" xfId="1450" applyFont="1" applyAlignment="1">
      <alignment horizontal="center"/>
    </xf>
    <xf numFmtId="0" fontId="131" fillId="0" borderId="21" xfId="1615" applyFont="1" applyBorder="1" applyAlignment="1">
      <alignment horizontal="left" vertical="center" wrapText="1"/>
    </xf>
    <xf numFmtId="0" fontId="113" fillId="0" borderId="20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33" fillId="33" borderId="21" xfId="1652" applyFont="1" applyFill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138" fillId="33" borderId="21" xfId="1615" applyFont="1" applyFill="1" applyBorder="1" applyAlignment="1">
      <alignment horizontal="center" vertical="center"/>
    </xf>
    <xf numFmtId="0" fontId="10" fillId="33" borderId="21" xfId="1614" applyFont="1" applyFill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55" fillId="33" borderId="0" xfId="0" applyFont="1" applyFill="1" applyAlignment="1">
      <alignment vertical="center"/>
    </xf>
    <xf numFmtId="0" fontId="155" fillId="33" borderId="37" xfId="0" applyFont="1" applyFill="1" applyBorder="1" applyAlignment="1">
      <alignment vertical="center"/>
    </xf>
    <xf numFmtId="0" fontId="155" fillId="33" borderId="42" xfId="0" applyFont="1" applyFill="1" applyBorder="1" applyAlignment="1">
      <alignment vertical="center"/>
    </xf>
    <xf numFmtId="0" fontId="155" fillId="33" borderId="77" xfId="0" applyFont="1" applyFill="1" applyBorder="1" applyAlignment="1">
      <alignment vertical="center"/>
    </xf>
    <xf numFmtId="0" fontId="10" fillId="0" borderId="21" xfId="1614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44" fillId="0" borderId="21" xfId="1450" applyFont="1" applyBorder="1" applyAlignment="1">
      <alignment horizontal="left" vertical="center" wrapText="1"/>
    </xf>
    <xf numFmtId="0" fontId="2" fillId="0" borderId="0" xfId="2673" applyFont="1" applyAlignment="1">
      <alignment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43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1" fontId="129" fillId="44" borderId="45" xfId="2673" applyNumberFormat="1" applyFont="1" applyFill="1" applyBorder="1" applyAlignment="1">
      <alignment horizontal="center" vertical="center" wrapText="1"/>
    </xf>
    <xf numFmtId="1" fontId="129" fillId="44" borderId="50" xfId="2673" applyNumberFormat="1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43" fontId="129" fillId="44" borderId="75" xfId="2673" applyNumberFormat="1" applyFont="1" applyFill="1" applyBorder="1" applyAlignment="1">
      <alignment horizontal="center" vertical="center" wrapText="1"/>
    </xf>
    <xf numFmtId="43" fontId="129" fillId="44" borderId="69" xfId="2673" applyNumberFormat="1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0" fontId="147" fillId="0" borderId="45" xfId="2673" applyFont="1" applyBorder="1" applyAlignment="1">
      <alignment horizontal="center" vertical="center" wrapText="1"/>
    </xf>
    <xf numFmtId="0" fontId="147" fillId="0" borderId="50" xfId="2673" applyFont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43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43" fontId="129" fillId="0" borderId="48" xfId="2673" applyNumberFormat="1" applyFont="1" applyBorder="1" applyAlignment="1">
      <alignment horizontal="center" vertical="center" wrapText="1"/>
    </xf>
    <xf numFmtId="0" fontId="129" fillId="0" borderId="49" xfId="2673" applyFont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2" fillId="0" borderId="42" xfId="1538" applyFont="1" applyBorder="1" applyAlignment="1">
      <alignment horizontal="left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7" fillId="35" borderId="49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56" fillId="35" borderId="76" xfId="0" applyFont="1" applyFill="1" applyBorder="1" applyAlignment="1">
      <alignment horizontal="center" vertical="center"/>
    </xf>
    <xf numFmtId="0" fontId="156" fillId="35" borderId="36" xfId="0" applyFont="1" applyFill="1" applyBorder="1" applyAlignment="1">
      <alignment horizontal="center" vertical="center"/>
    </xf>
    <xf numFmtId="0" fontId="156" fillId="35" borderId="43" xfId="0" applyFont="1" applyFill="1" applyBorder="1" applyAlignment="1">
      <alignment horizontal="center" vertical="center"/>
    </xf>
    <xf numFmtId="0" fontId="156" fillId="35" borderId="41" xfId="0" applyFont="1" applyFill="1" applyBorder="1" applyAlignment="1">
      <alignment horizontal="center" vertical="center"/>
    </xf>
    <xf numFmtId="0" fontId="156" fillId="35" borderId="42" xfId="0" applyFont="1" applyFill="1" applyBorder="1" applyAlignment="1">
      <alignment horizontal="center" vertical="center"/>
    </xf>
    <xf numFmtId="0" fontId="156" fillId="35" borderId="77" xfId="0" applyFont="1" applyFill="1" applyBorder="1" applyAlignment="1">
      <alignment horizontal="center" vertical="center"/>
    </xf>
    <xf numFmtId="0" fontId="157" fillId="0" borderId="100" xfId="2669" applyFont="1" applyBorder="1" applyAlignment="1">
      <alignment horizontal="center" vertical="center"/>
    </xf>
    <xf numFmtId="0" fontId="157" fillId="0" borderId="98" xfId="2669" applyFont="1" applyBorder="1" applyAlignment="1">
      <alignment horizontal="center" vertical="center"/>
    </xf>
    <xf numFmtId="0" fontId="157" fillId="0" borderId="99" xfId="2669" applyFont="1" applyBorder="1" applyAlignment="1">
      <alignment horizontal="center" vertical="center"/>
    </xf>
    <xf numFmtId="0" fontId="157" fillId="0" borderId="98" xfId="2669" applyFont="1" applyBorder="1" applyAlignment="1">
      <alignment horizontal="center" vertical="center" wrapText="1"/>
    </xf>
    <xf numFmtId="0" fontId="157" fillId="0" borderId="99" xfId="2669" applyFont="1" applyBorder="1" applyAlignment="1">
      <alignment horizontal="center" vertical="center" wrapText="1"/>
    </xf>
    <xf numFmtId="0" fontId="155" fillId="33" borderId="100" xfId="0" applyFont="1" applyFill="1" applyBorder="1" applyAlignment="1">
      <alignment horizontal="center"/>
    </xf>
    <xf numFmtId="0" fontId="155" fillId="33" borderId="101" xfId="0" applyFont="1" applyFill="1" applyBorder="1" applyAlignment="1">
      <alignment horizontal="center"/>
    </xf>
    <xf numFmtId="0" fontId="155" fillId="33" borderId="78" xfId="0" applyFont="1" applyFill="1" applyBorder="1" applyAlignment="1">
      <alignment horizontal="center"/>
    </xf>
    <xf numFmtId="0" fontId="155" fillId="33" borderId="104" xfId="0" applyFont="1" applyFill="1" applyBorder="1" applyAlignment="1">
      <alignment horizontal="center"/>
    </xf>
    <xf numFmtId="0" fontId="159" fillId="33" borderId="18" xfId="0" applyFont="1" applyFill="1" applyBorder="1" applyAlignment="1">
      <alignment horizontal="left"/>
    </xf>
    <xf numFmtId="0" fontId="159" fillId="33" borderId="0" xfId="0" applyFont="1" applyFill="1" applyAlignment="1">
      <alignment horizontal="left"/>
    </xf>
    <xf numFmtId="0" fontId="159" fillId="33" borderId="37" xfId="0" applyFont="1" applyFill="1" applyBorder="1" applyAlignment="1">
      <alignment horizontal="left"/>
    </xf>
    <xf numFmtId="0" fontId="161" fillId="33" borderId="98" xfId="0" applyFont="1" applyFill="1" applyBorder="1" applyAlignment="1">
      <alignment horizontal="center" vertical="center"/>
    </xf>
    <xf numFmtId="0" fontId="161" fillId="33" borderId="102" xfId="0" applyFont="1" applyFill="1" applyBorder="1" applyAlignment="1">
      <alignment horizontal="center" vertical="center"/>
    </xf>
    <xf numFmtId="0" fontId="161" fillId="33" borderId="99" xfId="0" applyFont="1" applyFill="1" applyBorder="1" applyAlignment="1">
      <alignment horizontal="center" vertical="center"/>
    </xf>
    <xf numFmtId="0" fontId="159" fillId="33" borderId="98" xfId="0" applyFont="1" applyFill="1" applyBorder="1" applyAlignment="1">
      <alignment horizontal="center" vertical="center"/>
    </xf>
    <xf numFmtId="0" fontId="159" fillId="33" borderId="102" xfId="0" applyFont="1" applyFill="1" applyBorder="1" applyAlignment="1">
      <alignment horizontal="center" vertical="center"/>
    </xf>
    <xf numFmtId="0" fontId="159" fillId="33" borderId="103" xfId="0" applyFont="1" applyFill="1" applyBorder="1" applyAlignment="1">
      <alignment horizontal="center" vertical="center"/>
    </xf>
    <xf numFmtId="0" fontId="164" fillId="33" borderId="79" xfId="0" applyFont="1" applyFill="1" applyBorder="1" applyAlignment="1">
      <alignment horizontal="left" vertical="center"/>
    </xf>
    <xf numFmtId="0" fontId="164" fillId="33" borderId="80" xfId="0" applyFont="1" applyFill="1" applyBorder="1" applyAlignment="1">
      <alignment horizontal="left" vertical="center"/>
    </xf>
    <xf numFmtId="49" fontId="155" fillId="33" borderId="98" xfId="0" applyNumberFormat="1" applyFont="1" applyFill="1" applyBorder="1" applyAlignment="1">
      <alignment horizontal="left" vertical="center"/>
    </xf>
    <xf numFmtId="49" fontId="155" fillId="33" borderId="99" xfId="0" applyNumberFormat="1" applyFont="1" applyFill="1" applyBorder="1" applyAlignment="1">
      <alignment horizontal="left" vertical="center"/>
    </xf>
    <xf numFmtId="0" fontId="162" fillId="33" borderId="79" xfId="0" applyFont="1" applyFill="1" applyBorder="1" applyAlignment="1">
      <alignment horizontal="left" vertical="center"/>
    </xf>
    <xf numFmtId="0" fontId="162" fillId="33" borderId="80" xfId="0" applyFont="1" applyFill="1" applyBorder="1" applyAlignment="1">
      <alignment horizontal="left" vertical="center"/>
    </xf>
    <xf numFmtId="49" fontId="155" fillId="33" borderId="98" xfId="0" applyNumberFormat="1" applyFont="1" applyFill="1" applyBorder="1" applyAlignment="1">
      <alignment horizontal="center" vertical="center"/>
    </xf>
    <xf numFmtId="49" fontId="155" fillId="33" borderId="99" xfId="0" applyNumberFormat="1" applyFont="1" applyFill="1" applyBorder="1" applyAlignment="1">
      <alignment horizontal="center" vertical="center"/>
    </xf>
    <xf numFmtId="0" fontId="162" fillId="33" borderId="83" xfId="0" applyFont="1" applyFill="1" applyBorder="1" applyAlignment="1">
      <alignment horizontal="left" vertical="center"/>
    </xf>
    <xf numFmtId="0" fontId="162" fillId="33" borderId="81" xfId="0" applyFont="1" applyFill="1" applyBorder="1" applyAlignment="1">
      <alignment horizontal="left" vertical="center"/>
    </xf>
    <xf numFmtId="0" fontId="163" fillId="33" borderId="79" xfId="0" applyFont="1" applyFill="1" applyBorder="1" applyAlignment="1">
      <alignment horizontal="left" vertical="center"/>
    </xf>
    <xf numFmtId="0" fontId="163" fillId="33" borderId="84" xfId="0" applyFont="1" applyFill="1" applyBorder="1" applyAlignment="1">
      <alignment horizontal="left" vertical="center"/>
    </xf>
    <xf numFmtId="0" fontId="162" fillId="33" borderId="84" xfId="0" applyFont="1" applyFill="1" applyBorder="1" applyAlignment="1">
      <alignment horizontal="left" vertical="center"/>
    </xf>
    <xf numFmtId="0" fontId="164" fillId="33" borderId="89" xfId="0" applyFont="1" applyFill="1" applyBorder="1" applyAlignment="1">
      <alignment horizontal="left" vertical="center"/>
    </xf>
    <xf numFmtId="0" fontId="164" fillId="33" borderId="90" xfId="0" applyFont="1" applyFill="1" applyBorder="1" applyAlignment="1">
      <alignment horizontal="left" vertical="center"/>
    </xf>
    <xf numFmtId="0" fontId="155" fillId="33" borderId="102" xfId="0" applyFont="1" applyFill="1" applyBorder="1" applyAlignment="1">
      <alignment horizontal="center" vertical="top" wrapText="1"/>
    </xf>
    <xf numFmtId="0" fontId="155" fillId="33" borderId="99" xfId="0" applyFont="1" applyFill="1" applyBorder="1" applyAlignment="1">
      <alignment horizontal="center" vertical="top" wrapText="1"/>
    </xf>
    <xf numFmtId="0" fontId="166" fillId="33" borderId="92" xfId="0" applyFont="1" applyFill="1" applyBorder="1" applyAlignment="1">
      <alignment horizontal="left" vertical="center" wrapText="1"/>
    </xf>
    <xf numFmtId="0" fontId="166" fillId="33" borderId="93" xfId="0" applyFont="1" applyFill="1" applyBorder="1" applyAlignment="1">
      <alignment horizontal="left" vertical="center" wrapText="1"/>
    </xf>
    <xf numFmtId="0" fontId="162" fillId="33" borderId="87" xfId="0" applyFont="1" applyFill="1" applyBorder="1" applyAlignment="1">
      <alignment horizontal="left" vertical="center"/>
    </xf>
    <xf numFmtId="0" fontId="162" fillId="33" borderId="88" xfId="0" applyFont="1" applyFill="1" applyBorder="1" applyAlignment="1">
      <alignment horizontal="left" vertical="center"/>
    </xf>
    <xf numFmtId="49" fontId="155" fillId="33" borderId="102" xfId="0" applyNumberFormat="1" applyFont="1" applyFill="1" applyBorder="1" applyAlignment="1">
      <alignment horizontal="center" vertical="center"/>
    </xf>
    <xf numFmtId="49" fontId="155" fillId="33" borderId="102" xfId="0" applyNumberFormat="1" applyFont="1" applyFill="1" applyBorder="1" applyAlignment="1">
      <alignment horizontal="center" vertical="top" wrapText="1"/>
    </xf>
    <xf numFmtId="49" fontId="155" fillId="33" borderId="99" xfId="0" applyNumberFormat="1" applyFont="1" applyFill="1" applyBorder="1" applyAlignment="1">
      <alignment horizontal="center" vertical="top" wrapText="1"/>
    </xf>
    <xf numFmtId="0" fontId="155" fillId="33" borderId="102" xfId="0" applyFont="1" applyFill="1" applyBorder="1" applyAlignment="1">
      <alignment horizontal="center"/>
    </xf>
    <xf numFmtId="0" fontId="155" fillId="33" borderId="99" xfId="0" applyFont="1" applyFill="1" applyBorder="1" applyAlignment="1">
      <alignment horizontal="center"/>
    </xf>
    <xf numFmtId="15" fontId="155" fillId="33" borderId="100" xfId="0" applyNumberFormat="1" applyFont="1" applyFill="1" applyBorder="1" applyAlignment="1">
      <alignment horizontal="center"/>
    </xf>
    <xf numFmtId="0" fontId="155" fillId="33" borderId="78" xfId="0" applyFont="1" applyFill="1" applyBorder="1" applyAlignment="1">
      <alignment horizontal="center" vertical="center"/>
    </xf>
    <xf numFmtId="0" fontId="155" fillId="33" borderId="104" xfId="0" applyFont="1" applyFill="1" applyBorder="1" applyAlignment="1">
      <alignment horizontal="center" vertical="center"/>
    </xf>
    <xf numFmtId="0" fontId="159" fillId="33" borderId="105" xfId="0" applyFont="1" applyFill="1" applyBorder="1" applyAlignment="1">
      <alignment horizontal="left" vertical="top" wrapText="1"/>
    </xf>
    <xf numFmtId="0" fontId="159" fillId="33" borderId="78" xfId="0" applyFont="1" applyFill="1" applyBorder="1" applyAlignment="1">
      <alignment horizontal="left" vertical="top" wrapText="1"/>
    </xf>
    <xf numFmtId="0" fontId="159" fillId="33" borderId="104" xfId="0" applyFont="1" applyFill="1" applyBorder="1" applyAlignment="1">
      <alignment horizontal="left" vertical="top" wrapText="1"/>
    </xf>
    <xf numFmtId="0" fontId="155" fillId="33" borderId="51" xfId="0" applyFont="1" applyFill="1" applyBorder="1" applyAlignment="1">
      <alignment horizontal="center"/>
    </xf>
    <xf numFmtId="0" fontId="155" fillId="33" borderId="97" xfId="0" applyFont="1" applyFill="1" applyBorder="1" applyAlignment="1">
      <alignment horizontal="center"/>
    </xf>
    <xf numFmtId="0" fontId="155" fillId="33" borderId="52" xfId="0" applyFont="1" applyFill="1" applyBorder="1" applyAlignment="1">
      <alignment horizontal="center"/>
    </xf>
    <xf numFmtId="0" fontId="155" fillId="33" borderId="53" xfId="0" applyFont="1" applyFill="1" applyBorder="1" applyAlignment="1">
      <alignment horizontal="center"/>
    </xf>
    <xf numFmtId="0" fontId="168" fillId="35" borderId="0" xfId="1451" applyFont="1" applyFill="1" applyAlignment="1">
      <alignment horizontal="center" vertical="center"/>
    </xf>
    <xf numFmtId="0" fontId="171" fillId="0" borderId="0" xfId="1451" applyFont="1" applyAlignment="1">
      <alignment horizontal="left"/>
    </xf>
    <xf numFmtId="0" fontId="168" fillId="35" borderId="26" xfId="1451" applyFont="1" applyFill="1" applyBorder="1" applyAlignment="1">
      <alignment horizontal="center" vertical="center"/>
    </xf>
    <xf numFmtId="0" fontId="168" fillId="35" borderId="36" xfId="1451" applyFont="1" applyFill="1" applyBorder="1" applyAlignment="1">
      <alignment horizontal="center" vertical="center"/>
    </xf>
    <xf numFmtId="0" fontId="168" fillId="35" borderId="43" xfId="1451" applyFont="1" applyFill="1" applyBorder="1" applyAlignment="1">
      <alignment horizontal="center" vertical="center"/>
    </xf>
    <xf numFmtId="0" fontId="168" fillId="35" borderId="28" xfId="1451" applyFont="1" applyFill="1" applyBorder="1" applyAlignment="1">
      <alignment horizontal="center" vertical="center"/>
    </xf>
    <xf numFmtId="0" fontId="168" fillId="35" borderId="37" xfId="1451" applyFont="1" applyFill="1" applyBorder="1" applyAlignment="1">
      <alignment horizontal="center" vertical="center"/>
    </xf>
    <xf numFmtId="0" fontId="168" fillId="35" borderId="34" xfId="1451" applyFont="1" applyFill="1" applyBorder="1" applyAlignment="1">
      <alignment horizontal="center" vertical="center"/>
    </xf>
    <xf numFmtId="0" fontId="168" fillId="35" borderId="19" xfId="1451" applyFont="1" applyFill="1" applyBorder="1" applyAlignment="1">
      <alignment horizontal="center" vertical="center"/>
    </xf>
    <xf numFmtId="0" fontId="168" fillId="35" borderId="31" xfId="1451" applyFont="1" applyFill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10" fillId="0" borderId="21" xfId="1614" applyBorder="1" applyAlignment="1">
      <alignment horizontal="center" vertical="center"/>
    </xf>
  </cellXfs>
  <cellStyles count="373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67C677F4-B39D-45BC-9819-6FBA7714C671}"/>
    <cellStyle name="20% - Accent1 11" xfId="4" xr:uid="{00000000-0005-0000-0000-000003000000}"/>
    <cellStyle name="20% - Accent1 11 2" xfId="2680" xr:uid="{A48690B3-7A77-415C-8261-E0EFC02B9DBF}"/>
    <cellStyle name="20% - Accent1 12" xfId="5" xr:uid="{00000000-0005-0000-0000-000004000000}"/>
    <cellStyle name="20% - Accent1 12 2" xfId="2681" xr:uid="{F2F0CBB0-C15C-4AA3-980E-D9BCFC1EC479}"/>
    <cellStyle name="20% - Accent1 13" xfId="6" xr:uid="{00000000-0005-0000-0000-000005000000}"/>
    <cellStyle name="20% - Accent1 13 2" xfId="2682" xr:uid="{BE802765-E7C2-49BD-AC32-585DE32EA649}"/>
    <cellStyle name="20% - Accent1 14" xfId="7" xr:uid="{00000000-0005-0000-0000-000006000000}"/>
    <cellStyle name="20% - Accent1 14 2" xfId="2683" xr:uid="{2D1DE69A-7206-42AD-8579-9B6398ADEE5B}"/>
    <cellStyle name="20% - Accent1 15" xfId="8" xr:uid="{00000000-0005-0000-0000-000007000000}"/>
    <cellStyle name="20% - Accent1 15 2" xfId="2684" xr:uid="{22D13CCB-C84B-413A-949A-36A6C297F3CD}"/>
    <cellStyle name="20% - Accent1 16" xfId="9" xr:uid="{00000000-0005-0000-0000-000008000000}"/>
    <cellStyle name="20% - Accent1 16 2" xfId="2685" xr:uid="{9E0EFB42-2312-4AA3-A1BC-421632B240BF}"/>
    <cellStyle name="20% - Accent1 17" xfId="2678" xr:uid="{25947A03-A72D-44F5-9490-226C95BE95FA}"/>
    <cellStyle name="20% - Accent1 2" xfId="10" xr:uid="{00000000-0005-0000-0000-000009000000}"/>
    <cellStyle name="20% - Accent1 2 2" xfId="11" xr:uid="{00000000-0005-0000-0000-00000A000000}"/>
    <cellStyle name="20% - Accent1 2 2 2" xfId="2687" xr:uid="{A7A5D0B7-211F-4AEE-98C7-34170F159FD3}"/>
    <cellStyle name="20% - Accent1 2 3" xfId="12" xr:uid="{00000000-0005-0000-0000-00000B000000}"/>
    <cellStyle name="20% - Accent1 2 3 2" xfId="2688" xr:uid="{9569D0F2-1B92-426A-AE48-3AF069BD67F3}"/>
    <cellStyle name="20% - Accent1 2 4" xfId="2686" xr:uid="{6D068522-2086-4D61-A9E7-8C7DBC30B3EE}"/>
    <cellStyle name="20% - Accent1 3" xfId="13" xr:uid="{00000000-0005-0000-0000-00000C000000}"/>
    <cellStyle name="20% - Accent1 3 2" xfId="2689" xr:uid="{6A9754ED-896D-455D-96A5-69C17A0EB869}"/>
    <cellStyle name="20% - Accent1 4" xfId="14" xr:uid="{00000000-0005-0000-0000-00000D000000}"/>
    <cellStyle name="20% - Accent1 4 2" xfId="2690" xr:uid="{09B9C442-2B4D-4A93-BB39-412CD845C26E}"/>
    <cellStyle name="20% - Accent1 5" xfId="15" xr:uid="{00000000-0005-0000-0000-00000E000000}"/>
    <cellStyle name="20% - Accent1 5 2" xfId="2691" xr:uid="{B0E86AB3-6ACD-4DDF-890C-EDA001F42A80}"/>
    <cellStyle name="20% - Accent1 6" xfId="16" xr:uid="{00000000-0005-0000-0000-00000F000000}"/>
    <cellStyle name="20% - Accent1 6 2" xfId="2692" xr:uid="{CBC7174D-E94B-4DA3-8240-03D1444D77B5}"/>
    <cellStyle name="20% - Accent1 7" xfId="17" xr:uid="{00000000-0005-0000-0000-000010000000}"/>
    <cellStyle name="20% - Accent1 7 2" xfId="2693" xr:uid="{D51121F3-650C-4321-926B-2B014FC64996}"/>
    <cellStyle name="20% - Accent1 8" xfId="18" xr:uid="{00000000-0005-0000-0000-000011000000}"/>
    <cellStyle name="20% - Accent1 8 2" xfId="2694" xr:uid="{79CAF0BA-4C51-41C8-B720-D876B16553AE}"/>
    <cellStyle name="20% - Accent1 9" xfId="19" xr:uid="{00000000-0005-0000-0000-000012000000}"/>
    <cellStyle name="20% - Accent1 9 2" xfId="2695" xr:uid="{89C27005-C7EA-4369-9FD4-C0983F4EA33A}"/>
    <cellStyle name="20% - Accent2" xfId="20" builtinId="34" customBuiltin="1"/>
    <cellStyle name="20% - Accent2 10" xfId="21" xr:uid="{00000000-0005-0000-0000-000014000000}"/>
    <cellStyle name="20% - Accent2 10 2" xfId="2697" xr:uid="{4735A12C-679B-4F65-B130-3E332637DCAB}"/>
    <cellStyle name="20% - Accent2 11" xfId="22" xr:uid="{00000000-0005-0000-0000-000015000000}"/>
    <cellStyle name="20% - Accent2 11 2" xfId="2698" xr:uid="{2968919C-1894-49A7-B2AB-E4C2F42FFA83}"/>
    <cellStyle name="20% - Accent2 12" xfId="23" xr:uid="{00000000-0005-0000-0000-000016000000}"/>
    <cellStyle name="20% - Accent2 12 2" xfId="2699" xr:uid="{653F7B46-3B62-49DA-9473-EBB35A26E60F}"/>
    <cellStyle name="20% - Accent2 13" xfId="24" xr:uid="{00000000-0005-0000-0000-000017000000}"/>
    <cellStyle name="20% - Accent2 13 2" xfId="2700" xr:uid="{29AD8173-5AE5-406F-BE3B-C2DA37B868E8}"/>
    <cellStyle name="20% - Accent2 14" xfId="25" xr:uid="{00000000-0005-0000-0000-000018000000}"/>
    <cellStyle name="20% - Accent2 14 2" xfId="2701" xr:uid="{856EBBC7-F670-4478-A7F3-219F12A354DE}"/>
    <cellStyle name="20% - Accent2 15" xfId="26" xr:uid="{00000000-0005-0000-0000-000019000000}"/>
    <cellStyle name="20% - Accent2 15 2" xfId="2702" xr:uid="{1AAFC1B6-DF11-41A6-9883-72F61750706F}"/>
    <cellStyle name="20% - Accent2 16" xfId="27" xr:uid="{00000000-0005-0000-0000-00001A000000}"/>
    <cellStyle name="20% - Accent2 16 2" xfId="2703" xr:uid="{460B49C3-AA9F-49B5-9223-FDCCB32297A2}"/>
    <cellStyle name="20% - Accent2 17" xfId="2696" xr:uid="{8AD3BFD4-47B9-4EE6-B62D-3F93A38992DD}"/>
    <cellStyle name="20% - Accent2 2" xfId="28" xr:uid="{00000000-0005-0000-0000-00001B000000}"/>
    <cellStyle name="20% - Accent2 2 2" xfId="29" xr:uid="{00000000-0005-0000-0000-00001C000000}"/>
    <cellStyle name="20% - Accent2 2 2 2" xfId="2705" xr:uid="{BD53737E-AC57-49CC-AB57-C9B1D62CCB7F}"/>
    <cellStyle name="20% - Accent2 2 3" xfId="30" xr:uid="{00000000-0005-0000-0000-00001D000000}"/>
    <cellStyle name="20% - Accent2 2 3 2" xfId="2706" xr:uid="{E80A09FE-3C6D-4711-B8E7-EDC12C69DEEE}"/>
    <cellStyle name="20% - Accent2 2 4" xfId="2704" xr:uid="{69D84521-29AA-4C27-B8EF-23B920EBF1AB}"/>
    <cellStyle name="20% - Accent2 3" xfId="31" xr:uid="{00000000-0005-0000-0000-00001E000000}"/>
    <cellStyle name="20% - Accent2 3 2" xfId="2707" xr:uid="{56D8CCB8-0458-4719-A736-CA660C07C01A}"/>
    <cellStyle name="20% - Accent2 4" xfId="32" xr:uid="{00000000-0005-0000-0000-00001F000000}"/>
    <cellStyle name="20% - Accent2 4 2" xfId="2708" xr:uid="{60D616B3-B6E3-4A03-A880-9D2560C765F6}"/>
    <cellStyle name="20% - Accent2 5" xfId="33" xr:uid="{00000000-0005-0000-0000-000020000000}"/>
    <cellStyle name="20% - Accent2 5 2" xfId="2709" xr:uid="{52B5241A-DD35-4102-84EA-831D18C38E68}"/>
    <cellStyle name="20% - Accent2 6" xfId="34" xr:uid="{00000000-0005-0000-0000-000021000000}"/>
    <cellStyle name="20% - Accent2 6 2" xfId="2710" xr:uid="{4C2ABB46-3CBE-4537-9AFE-996371D17A75}"/>
    <cellStyle name="20% - Accent2 7" xfId="35" xr:uid="{00000000-0005-0000-0000-000022000000}"/>
    <cellStyle name="20% - Accent2 7 2" xfId="2711" xr:uid="{3273BDA4-2F71-45F3-9455-0931D3BEF944}"/>
    <cellStyle name="20% - Accent2 8" xfId="36" xr:uid="{00000000-0005-0000-0000-000023000000}"/>
    <cellStyle name="20% - Accent2 8 2" xfId="2712" xr:uid="{9AC9D707-5E5B-4A84-A6ED-938C89CB8EB0}"/>
    <cellStyle name="20% - Accent2 9" xfId="37" xr:uid="{00000000-0005-0000-0000-000024000000}"/>
    <cellStyle name="20% - Accent2 9 2" xfId="2713" xr:uid="{97E2DC3C-C60E-409F-9F05-CAC93835B3A7}"/>
    <cellStyle name="20% - Accent3" xfId="38" builtinId="38" customBuiltin="1"/>
    <cellStyle name="20% - Accent3 10" xfId="39" xr:uid="{00000000-0005-0000-0000-000026000000}"/>
    <cellStyle name="20% - Accent3 10 2" xfId="2715" xr:uid="{AD5BD287-92BE-4E16-A0E0-A5DB88CB99D6}"/>
    <cellStyle name="20% - Accent3 11" xfId="40" xr:uid="{00000000-0005-0000-0000-000027000000}"/>
    <cellStyle name="20% - Accent3 11 2" xfId="2716" xr:uid="{420A8500-8B8B-43D1-84E2-EAB84C24D5A1}"/>
    <cellStyle name="20% - Accent3 12" xfId="41" xr:uid="{00000000-0005-0000-0000-000028000000}"/>
    <cellStyle name="20% - Accent3 12 2" xfId="2717" xr:uid="{5C1608A9-41E3-48BF-A591-DA0C3F3F5FC6}"/>
    <cellStyle name="20% - Accent3 13" xfId="42" xr:uid="{00000000-0005-0000-0000-000029000000}"/>
    <cellStyle name="20% - Accent3 13 2" xfId="2718" xr:uid="{F1DBF507-667D-4B33-8F4B-9F99E9026B21}"/>
    <cellStyle name="20% - Accent3 14" xfId="43" xr:uid="{00000000-0005-0000-0000-00002A000000}"/>
    <cellStyle name="20% - Accent3 14 2" xfId="2719" xr:uid="{9F99D396-35CA-427C-9896-58D02FCFD590}"/>
    <cellStyle name="20% - Accent3 15" xfId="44" xr:uid="{00000000-0005-0000-0000-00002B000000}"/>
    <cellStyle name="20% - Accent3 15 2" xfId="2720" xr:uid="{C3F79E34-9D3A-4E8E-A46F-B5E4ED74CDEB}"/>
    <cellStyle name="20% - Accent3 16" xfId="45" xr:uid="{00000000-0005-0000-0000-00002C000000}"/>
    <cellStyle name="20% - Accent3 16 2" xfId="2721" xr:uid="{0F5898C1-AAE5-470C-8154-434B389B4FB3}"/>
    <cellStyle name="20% - Accent3 17" xfId="2714" xr:uid="{641F9386-0E40-4FF4-B030-C7E4ABDCD02D}"/>
    <cellStyle name="20% - Accent3 2" xfId="46" xr:uid="{00000000-0005-0000-0000-00002D000000}"/>
    <cellStyle name="20% - Accent3 2 2" xfId="47" xr:uid="{00000000-0005-0000-0000-00002E000000}"/>
    <cellStyle name="20% - Accent3 2 2 2" xfId="2723" xr:uid="{5D098EB2-365E-43F0-85D9-3E0659B60C3C}"/>
    <cellStyle name="20% - Accent3 2 3" xfId="48" xr:uid="{00000000-0005-0000-0000-00002F000000}"/>
    <cellStyle name="20% - Accent3 2 3 2" xfId="2724" xr:uid="{34B4806F-C7C3-46D4-934B-69AFD8F8D1AC}"/>
    <cellStyle name="20% - Accent3 2 4" xfId="2722" xr:uid="{BD4ABEA8-7C80-4E43-9155-3A342319C9A4}"/>
    <cellStyle name="20% - Accent3 3" xfId="49" xr:uid="{00000000-0005-0000-0000-000030000000}"/>
    <cellStyle name="20% - Accent3 3 2" xfId="2725" xr:uid="{10E33178-D26E-4F92-93EB-E69ACEAF09DC}"/>
    <cellStyle name="20% - Accent3 4" xfId="50" xr:uid="{00000000-0005-0000-0000-000031000000}"/>
    <cellStyle name="20% - Accent3 4 2" xfId="2726" xr:uid="{4344B74D-518A-482A-9492-23C5893D77F1}"/>
    <cellStyle name="20% - Accent3 5" xfId="51" xr:uid="{00000000-0005-0000-0000-000032000000}"/>
    <cellStyle name="20% - Accent3 5 2" xfId="2727" xr:uid="{2BA04B82-F670-4028-94CB-2D64C61C4613}"/>
    <cellStyle name="20% - Accent3 6" xfId="52" xr:uid="{00000000-0005-0000-0000-000033000000}"/>
    <cellStyle name="20% - Accent3 6 2" xfId="2728" xr:uid="{AA20EFB4-0850-4C42-B79C-6CE4D8FCAA4F}"/>
    <cellStyle name="20% - Accent3 7" xfId="53" xr:uid="{00000000-0005-0000-0000-000034000000}"/>
    <cellStyle name="20% - Accent3 7 2" xfId="2729" xr:uid="{921D1E2B-A8AE-462B-8EB7-526D4738F41F}"/>
    <cellStyle name="20% - Accent3 8" xfId="54" xr:uid="{00000000-0005-0000-0000-000035000000}"/>
    <cellStyle name="20% - Accent3 8 2" xfId="2730" xr:uid="{4AF23492-8803-4D93-9F09-7A639D8B1162}"/>
    <cellStyle name="20% - Accent3 9" xfId="55" xr:uid="{00000000-0005-0000-0000-000036000000}"/>
    <cellStyle name="20% - Accent3 9 2" xfId="2731" xr:uid="{51A76199-6CC9-4A55-969A-212341CFA90F}"/>
    <cellStyle name="20% - Accent4" xfId="56" builtinId="42" customBuiltin="1"/>
    <cellStyle name="20% - Accent4 10" xfId="57" xr:uid="{00000000-0005-0000-0000-000038000000}"/>
    <cellStyle name="20% - Accent4 10 2" xfId="2733" xr:uid="{99121274-56AA-4F38-886E-A4C4DE703239}"/>
    <cellStyle name="20% - Accent4 11" xfId="58" xr:uid="{00000000-0005-0000-0000-000039000000}"/>
    <cellStyle name="20% - Accent4 11 2" xfId="2734" xr:uid="{19FB031F-C256-4C38-83BA-BEBE750A5A7A}"/>
    <cellStyle name="20% - Accent4 12" xfId="59" xr:uid="{00000000-0005-0000-0000-00003A000000}"/>
    <cellStyle name="20% - Accent4 12 2" xfId="2735" xr:uid="{6C3F034A-F0C3-46D8-92E3-D2FD28C7C3DA}"/>
    <cellStyle name="20% - Accent4 13" xfId="60" xr:uid="{00000000-0005-0000-0000-00003B000000}"/>
    <cellStyle name="20% - Accent4 13 2" xfId="2736" xr:uid="{0DA93372-C5C8-4389-BB1A-4BD1E2195697}"/>
    <cellStyle name="20% - Accent4 14" xfId="61" xr:uid="{00000000-0005-0000-0000-00003C000000}"/>
    <cellStyle name="20% - Accent4 14 2" xfId="2737" xr:uid="{5EBBAF8C-5169-438E-BD85-6AAD1172804A}"/>
    <cellStyle name="20% - Accent4 15" xfId="62" xr:uid="{00000000-0005-0000-0000-00003D000000}"/>
    <cellStyle name="20% - Accent4 15 2" xfId="2738" xr:uid="{05912155-165C-4143-B0BD-A521523A984F}"/>
    <cellStyle name="20% - Accent4 16" xfId="63" xr:uid="{00000000-0005-0000-0000-00003E000000}"/>
    <cellStyle name="20% - Accent4 16 2" xfId="2739" xr:uid="{1CEFFF78-C739-4E5C-AC99-A3B6B5C6F7ED}"/>
    <cellStyle name="20% - Accent4 17" xfId="2732" xr:uid="{3D649E74-DFF2-4196-96F9-DC7DD32C56DF}"/>
    <cellStyle name="20% - Accent4 2" xfId="64" xr:uid="{00000000-0005-0000-0000-00003F000000}"/>
    <cellStyle name="20% - Accent4 2 2" xfId="65" xr:uid="{00000000-0005-0000-0000-000040000000}"/>
    <cellStyle name="20% - Accent4 2 2 2" xfId="2741" xr:uid="{EAF3A4D5-7D27-401A-9466-80DF82AF1653}"/>
    <cellStyle name="20% - Accent4 2 3" xfId="66" xr:uid="{00000000-0005-0000-0000-000041000000}"/>
    <cellStyle name="20% - Accent4 2 3 2" xfId="2742" xr:uid="{F2E5AF1C-C86A-4DCB-9942-3CC7755C055D}"/>
    <cellStyle name="20% - Accent4 2 4" xfId="2740" xr:uid="{B8A13261-245A-4A83-88A7-81079D209916}"/>
    <cellStyle name="20% - Accent4 3" xfId="67" xr:uid="{00000000-0005-0000-0000-000042000000}"/>
    <cellStyle name="20% - Accent4 3 2" xfId="2743" xr:uid="{6AB0D14F-9EEC-4E5A-A7F8-5370D0A24F13}"/>
    <cellStyle name="20% - Accent4 4" xfId="68" xr:uid="{00000000-0005-0000-0000-000043000000}"/>
    <cellStyle name="20% - Accent4 4 2" xfId="2744" xr:uid="{D2DBA76D-03C4-4909-8511-BA089E0472F8}"/>
    <cellStyle name="20% - Accent4 5" xfId="69" xr:uid="{00000000-0005-0000-0000-000044000000}"/>
    <cellStyle name="20% - Accent4 5 2" xfId="2745" xr:uid="{1680FA8D-028B-44BE-BC12-DE9AABE3CC90}"/>
    <cellStyle name="20% - Accent4 6" xfId="70" xr:uid="{00000000-0005-0000-0000-000045000000}"/>
    <cellStyle name="20% - Accent4 6 2" xfId="2746" xr:uid="{07DCC6C6-DFB6-475E-A490-E151BD624FAE}"/>
    <cellStyle name="20% - Accent4 7" xfId="71" xr:uid="{00000000-0005-0000-0000-000046000000}"/>
    <cellStyle name="20% - Accent4 7 2" xfId="2747" xr:uid="{A7816148-904B-418D-8E19-C595B4E25BBF}"/>
    <cellStyle name="20% - Accent4 8" xfId="72" xr:uid="{00000000-0005-0000-0000-000047000000}"/>
    <cellStyle name="20% - Accent4 8 2" xfId="2748" xr:uid="{51FB9897-CF62-4F0A-97F1-FC486E0ED436}"/>
    <cellStyle name="20% - Accent4 9" xfId="73" xr:uid="{00000000-0005-0000-0000-000048000000}"/>
    <cellStyle name="20% - Accent4 9 2" xfId="2749" xr:uid="{41E87652-B1C0-4CD1-957E-50C2C81D7F4D}"/>
    <cellStyle name="20% - Accent5" xfId="74" builtinId="46" customBuiltin="1"/>
    <cellStyle name="20% - Accent5 10" xfId="75" xr:uid="{00000000-0005-0000-0000-00004A000000}"/>
    <cellStyle name="20% - Accent5 10 2" xfId="2751" xr:uid="{651CF26D-975A-4658-B43A-585F08DFF6BB}"/>
    <cellStyle name="20% - Accent5 11" xfId="76" xr:uid="{00000000-0005-0000-0000-00004B000000}"/>
    <cellStyle name="20% - Accent5 11 2" xfId="2752" xr:uid="{1DE38116-8171-4E62-B49D-0C5118FE9A2D}"/>
    <cellStyle name="20% - Accent5 12" xfId="77" xr:uid="{00000000-0005-0000-0000-00004C000000}"/>
    <cellStyle name="20% - Accent5 12 2" xfId="2753" xr:uid="{B1A688C8-B258-45E0-A127-32A3E9459702}"/>
    <cellStyle name="20% - Accent5 13" xfId="78" xr:uid="{00000000-0005-0000-0000-00004D000000}"/>
    <cellStyle name="20% - Accent5 13 2" xfId="2754" xr:uid="{B2E839AD-179D-495A-8AF4-8C3347A45CC5}"/>
    <cellStyle name="20% - Accent5 14" xfId="79" xr:uid="{00000000-0005-0000-0000-00004E000000}"/>
    <cellStyle name="20% - Accent5 14 2" xfId="2755" xr:uid="{05D1616D-B2ED-4F44-A498-A4E9DE168306}"/>
    <cellStyle name="20% - Accent5 15" xfId="80" xr:uid="{00000000-0005-0000-0000-00004F000000}"/>
    <cellStyle name="20% - Accent5 15 2" xfId="2756" xr:uid="{C399A9BE-9F02-4AC0-A93B-54E8DC254F18}"/>
    <cellStyle name="20% - Accent5 16" xfId="81" xr:uid="{00000000-0005-0000-0000-000050000000}"/>
    <cellStyle name="20% - Accent5 16 2" xfId="2757" xr:uid="{98312B0E-BB7D-4CAF-A148-8D0B50F8988B}"/>
    <cellStyle name="20% - Accent5 17" xfId="2750" xr:uid="{5FAEC184-F61A-4E0F-B11E-8155B050FF5D}"/>
    <cellStyle name="20% - Accent5 2" xfId="82" xr:uid="{00000000-0005-0000-0000-000051000000}"/>
    <cellStyle name="20% - Accent5 2 2" xfId="83" xr:uid="{00000000-0005-0000-0000-000052000000}"/>
    <cellStyle name="20% - Accent5 2 2 2" xfId="2759" xr:uid="{52E2C6F8-57CA-4601-B919-9CB5BC67DB39}"/>
    <cellStyle name="20% - Accent5 2 3" xfId="84" xr:uid="{00000000-0005-0000-0000-000053000000}"/>
    <cellStyle name="20% - Accent5 2 3 2" xfId="2760" xr:uid="{561AB5A9-B282-48D0-AB5A-F4C44C9B8F15}"/>
    <cellStyle name="20% - Accent5 2 4" xfId="2758" xr:uid="{ABE9A9EB-6A0B-48BC-97E4-238138E40D2A}"/>
    <cellStyle name="20% - Accent5 3" xfId="85" xr:uid="{00000000-0005-0000-0000-000054000000}"/>
    <cellStyle name="20% - Accent5 3 2" xfId="2761" xr:uid="{32DD5C79-F8E0-4555-B248-DBFDDE6A2DD7}"/>
    <cellStyle name="20% - Accent5 4" xfId="86" xr:uid="{00000000-0005-0000-0000-000055000000}"/>
    <cellStyle name="20% - Accent5 4 2" xfId="2762" xr:uid="{DE779DF2-7E56-4C9B-B18D-365B418B7B01}"/>
    <cellStyle name="20% - Accent5 5" xfId="87" xr:uid="{00000000-0005-0000-0000-000056000000}"/>
    <cellStyle name="20% - Accent5 5 2" xfId="2763" xr:uid="{F30C4BA8-1C6D-4E00-8ACC-56BAD7D7F1B7}"/>
    <cellStyle name="20% - Accent5 6" xfId="88" xr:uid="{00000000-0005-0000-0000-000057000000}"/>
    <cellStyle name="20% - Accent5 6 2" xfId="2764" xr:uid="{476E0B8F-36AC-42A6-8015-477DBDF3C00A}"/>
    <cellStyle name="20% - Accent5 7" xfId="89" xr:uid="{00000000-0005-0000-0000-000058000000}"/>
    <cellStyle name="20% - Accent5 7 2" xfId="2765" xr:uid="{BD3EA5A5-713B-4FF6-ABEB-7CB1002E6F27}"/>
    <cellStyle name="20% - Accent5 8" xfId="90" xr:uid="{00000000-0005-0000-0000-000059000000}"/>
    <cellStyle name="20% - Accent5 8 2" xfId="2766" xr:uid="{AD7A7CEA-9FAD-4B1A-AE4D-691484F33C3F}"/>
    <cellStyle name="20% - Accent5 9" xfId="91" xr:uid="{00000000-0005-0000-0000-00005A000000}"/>
    <cellStyle name="20% - Accent5 9 2" xfId="2767" xr:uid="{8ABFC900-52D9-4E43-B215-141F805A3F6A}"/>
    <cellStyle name="20% - Accent6" xfId="92" builtinId="50" customBuiltin="1"/>
    <cellStyle name="20% - Accent6 10" xfId="93" xr:uid="{00000000-0005-0000-0000-00005C000000}"/>
    <cellStyle name="20% - Accent6 10 2" xfId="2769" xr:uid="{E3500407-A1B6-4F69-837E-4A6C56D2C1BA}"/>
    <cellStyle name="20% - Accent6 11" xfId="94" xr:uid="{00000000-0005-0000-0000-00005D000000}"/>
    <cellStyle name="20% - Accent6 11 2" xfId="2770" xr:uid="{EB36FD49-1686-41E5-9897-1A9B35B03208}"/>
    <cellStyle name="20% - Accent6 12" xfId="95" xr:uid="{00000000-0005-0000-0000-00005E000000}"/>
    <cellStyle name="20% - Accent6 12 2" xfId="2771" xr:uid="{1820C555-E682-4AD2-9F91-4D54FD2A48CE}"/>
    <cellStyle name="20% - Accent6 13" xfId="96" xr:uid="{00000000-0005-0000-0000-00005F000000}"/>
    <cellStyle name="20% - Accent6 13 2" xfId="2772" xr:uid="{B5EA75FD-6A5F-4A6A-8A53-88BD302BE5C9}"/>
    <cellStyle name="20% - Accent6 14" xfId="97" xr:uid="{00000000-0005-0000-0000-000060000000}"/>
    <cellStyle name="20% - Accent6 14 2" xfId="2773" xr:uid="{CAF59944-E582-4F5A-BF6A-39EF8F5FA838}"/>
    <cellStyle name="20% - Accent6 15" xfId="98" xr:uid="{00000000-0005-0000-0000-000061000000}"/>
    <cellStyle name="20% - Accent6 15 2" xfId="2774" xr:uid="{117E6BB7-567C-43C0-AF3A-B9CF4170413A}"/>
    <cellStyle name="20% - Accent6 16" xfId="99" xr:uid="{00000000-0005-0000-0000-000062000000}"/>
    <cellStyle name="20% - Accent6 16 2" xfId="2775" xr:uid="{D001D7FA-EE60-4815-9D4A-8697131B1E25}"/>
    <cellStyle name="20% - Accent6 17" xfId="2768" xr:uid="{5A77315A-149F-438B-9DE5-59FC8ECC66CD}"/>
    <cellStyle name="20% - Accent6 2" xfId="100" xr:uid="{00000000-0005-0000-0000-000063000000}"/>
    <cellStyle name="20% - Accent6 2 2" xfId="101" xr:uid="{00000000-0005-0000-0000-000064000000}"/>
    <cellStyle name="20% - Accent6 2 2 2" xfId="2777" xr:uid="{E3A477FA-CB4F-4FCA-895F-8BB6D43A9458}"/>
    <cellStyle name="20% - Accent6 2 3" xfId="102" xr:uid="{00000000-0005-0000-0000-000065000000}"/>
    <cellStyle name="20% - Accent6 2 3 2" xfId="2778" xr:uid="{13583135-D9AD-476C-AA30-BCE77B21132C}"/>
    <cellStyle name="20% - Accent6 2 4" xfId="2776" xr:uid="{61E09D1E-2615-443F-A3CE-D3F907BB3B80}"/>
    <cellStyle name="20% - Accent6 3" xfId="103" xr:uid="{00000000-0005-0000-0000-000066000000}"/>
    <cellStyle name="20% - Accent6 3 2" xfId="2779" xr:uid="{BF7D0504-8C0F-4E4F-9E26-9CE42648F7E9}"/>
    <cellStyle name="20% - Accent6 4" xfId="104" xr:uid="{00000000-0005-0000-0000-000067000000}"/>
    <cellStyle name="20% - Accent6 4 2" xfId="2780" xr:uid="{366A7902-C0EE-402A-8F0C-6E934B90781F}"/>
    <cellStyle name="20% - Accent6 5" xfId="105" xr:uid="{00000000-0005-0000-0000-000068000000}"/>
    <cellStyle name="20% - Accent6 5 2" xfId="2781" xr:uid="{7567AFFE-A470-4D65-BEEC-EB76B9E3C8D2}"/>
    <cellStyle name="20% - Accent6 6" xfId="106" xr:uid="{00000000-0005-0000-0000-000069000000}"/>
    <cellStyle name="20% - Accent6 6 2" xfId="2782" xr:uid="{D986F75D-24CD-47BB-AC3D-69956D824214}"/>
    <cellStyle name="20% - Accent6 7" xfId="107" xr:uid="{00000000-0005-0000-0000-00006A000000}"/>
    <cellStyle name="20% - Accent6 7 2" xfId="2783" xr:uid="{4A8194AC-2204-470B-B353-6F6E3D110EC6}"/>
    <cellStyle name="20% - Accent6 8" xfId="108" xr:uid="{00000000-0005-0000-0000-00006B000000}"/>
    <cellStyle name="20% - Accent6 8 2" xfId="2784" xr:uid="{00966FCC-2966-4F31-B952-C85798221F56}"/>
    <cellStyle name="20% - Accent6 9" xfId="109" xr:uid="{00000000-0005-0000-0000-00006C000000}"/>
    <cellStyle name="20% - Accent6 9 2" xfId="2785" xr:uid="{0FCD5897-66FE-48F6-8760-932175E3967A}"/>
    <cellStyle name="40% - Accent1" xfId="110" builtinId="31" customBuiltin="1"/>
    <cellStyle name="40% - Accent1 10" xfId="111" xr:uid="{00000000-0005-0000-0000-00006E000000}"/>
    <cellStyle name="40% - Accent1 10 2" xfId="2787" xr:uid="{6F46BF24-39FA-429A-9FB8-E38038294332}"/>
    <cellStyle name="40% - Accent1 11" xfId="112" xr:uid="{00000000-0005-0000-0000-00006F000000}"/>
    <cellStyle name="40% - Accent1 11 2" xfId="2788" xr:uid="{084144CA-7722-4741-9A3A-CE0D2984178A}"/>
    <cellStyle name="40% - Accent1 12" xfId="113" xr:uid="{00000000-0005-0000-0000-000070000000}"/>
    <cellStyle name="40% - Accent1 12 2" xfId="2789" xr:uid="{329C2652-BC83-4B6D-A92E-283D1EB7D668}"/>
    <cellStyle name="40% - Accent1 13" xfId="114" xr:uid="{00000000-0005-0000-0000-000071000000}"/>
    <cellStyle name="40% - Accent1 13 2" xfId="2790" xr:uid="{1F21DC9A-332E-4C50-BC49-6C5B26CADC2F}"/>
    <cellStyle name="40% - Accent1 14" xfId="115" xr:uid="{00000000-0005-0000-0000-000072000000}"/>
    <cellStyle name="40% - Accent1 14 2" xfId="2791" xr:uid="{E3EC6199-45C3-48EA-BA8F-50B8DE523EEF}"/>
    <cellStyle name="40% - Accent1 15" xfId="116" xr:uid="{00000000-0005-0000-0000-000073000000}"/>
    <cellStyle name="40% - Accent1 15 2" xfId="2792" xr:uid="{CCE23A55-FC94-45B8-8F9E-35B6E90B372F}"/>
    <cellStyle name="40% - Accent1 16" xfId="117" xr:uid="{00000000-0005-0000-0000-000074000000}"/>
    <cellStyle name="40% - Accent1 16 2" xfId="2793" xr:uid="{7D9FB8B0-CE4C-4479-ADEC-8499ADAD9D62}"/>
    <cellStyle name="40% - Accent1 17" xfId="2786" xr:uid="{56808615-4754-46B4-B73F-E63472148C1B}"/>
    <cellStyle name="40% - Accent1 2" xfId="118" xr:uid="{00000000-0005-0000-0000-000075000000}"/>
    <cellStyle name="40% - Accent1 2 2" xfId="119" xr:uid="{00000000-0005-0000-0000-000076000000}"/>
    <cellStyle name="40% - Accent1 2 2 2" xfId="2795" xr:uid="{D1398EFE-BF83-4D16-AEC9-D02E8147C1AF}"/>
    <cellStyle name="40% - Accent1 2 3" xfId="120" xr:uid="{00000000-0005-0000-0000-000077000000}"/>
    <cellStyle name="40% - Accent1 2 3 2" xfId="2796" xr:uid="{E3CC6FDE-722B-40A2-B11E-4511AB43DF17}"/>
    <cellStyle name="40% - Accent1 2 4" xfId="2794" xr:uid="{B8B249F2-D8AC-4111-857F-B5264DE2E68D}"/>
    <cellStyle name="40% - Accent1 3" xfId="121" xr:uid="{00000000-0005-0000-0000-000078000000}"/>
    <cellStyle name="40% - Accent1 3 2" xfId="2797" xr:uid="{096A3F3E-6E56-4FE7-AFD7-B8CF88426194}"/>
    <cellStyle name="40% - Accent1 4" xfId="122" xr:uid="{00000000-0005-0000-0000-000079000000}"/>
    <cellStyle name="40% - Accent1 4 2" xfId="2798" xr:uid="{E462C36C-F66C-4016-B139-38D38542B410}"/>
    <cellStyle name="40% - Accent1 5" xfId="123" xr:uid="{00000000-0005-0000-0000-00007A000000}"/>
    <cellStyle name="40% - Accent1 5 2" xfId="2799" xr:uid="{95BC1B8D-97D1-4AC3-93CA-CB624C21849E}"/>
    <cellStyle name="40% - Accent1 6" xfId="124" xr:uid="{00000000-0005-0000-0000-00007B000000}"/>
    <cellStyle name="40% - Accent1 6 2" xfId="2800" xr:uid="{D9026AE2-ADD0-42D7-B913-7419AF2E08D4}"/>
    <cellStyle name="40% - Accent1 7" xfId="125" xr:uid="{00000000-0005-0000-0000-00007C000000}"/>
    <cellStyle name="40% - Accent1 7 2" xfId="2801" xr:uid="{6EDC0EEB-15B6-4393-9DA9-20BC5F0ADBB3}"/>
    <cellStyle name="40% - Accent1 8" xfId="126" xr:uid="{00000000-0005-0000-0000-00007D000000}"/>
    <cellStyle name="40% - Accent1 8 2" xfId="2802" xr:uid="{46DFB2EE-6057-423E-BAD7-7EB6A98DA8D7}"/>
    <cellStyle name="40% - Accent1 9" xfId="127" xr:uid="{00000000-0005-0000-0000-00007E000000}"/>
    <cellStyle name="40% - Accent1 9 2" xfId="2803" xr:uid="{B9DBB9D4-DB4D-4611-8649-5C6FF72548D1}"/>
    <cellStyle name="40% - Accent2" xfId="128" builtinId="35" customBuiltin="1"/>
    <cellStyle name="40% - Accent2 10" xfId="129" xr:uid="{00000000-0005-0000-0000-000080000000}"/>
    <cellStyle name="40% - Accent2 10 2" xfId="2805" xr:uid="{94DF4D30-D1CF-4EC2-B78D-F9316C2DF48D}"/>
    <cellStyle name="40% - Accent2 11" xfId="130" xr:uid="{00000000-0005-0000-0000-000081000000}"/>
    <cellStyle name="40% - Accent2 11 2" xfId="2806" xr:uid="{D886A774-4913-44A6-B317-84377324467D}"/>
    <cellStyle name="40% - Accent2 12" xfId="131" xr:uid="{00000000-0005-0000-0000-000082000000}"/>
    <cellStyle name="40% - Accent2 12 2" xfId="2807" xr:uid="{9B311A94-7E04-4C57-BFB6-0BC2F48CAFA9}"/>
    <cellStyle name="40% - Accent2 13" xfId="132" xr:uid="{00000000-0005-0000-0000-000083000000}"/>
    <cellStyle name="40% - Accent2 13 2" xfId="2808" xr:uid="{62775305-8B01-4A65-9E74-C41560B26B70}"/>
    <cellStyle name="40% - Accent2 14" xfId="133" xr:uid="{00000000-0005-0000-0000-000084000000}"/>
    <cellStyle name="40% - Accent2 14 2" xfId="2809" xr:uid="{97757DEA-9A47-492F-AFB9-068618913B9D}"/>
    <cellStyle name="40% - Accent2 15" xfId="134" xr:uid="{00000000-0005-0000-0000-000085000000}"/>
    <cellStyle name="40% - Accent2 15 2" xfId="2810" xr:uid="{EB611C1A-B78B-46D1-A1E4-B1B9DFD33F2B}"/>
    <cellStyle name="40% - Accent2 16" xfId="135" xr:uid="{00000000-0005-0000-0000-000086000000}"/>
    <cellStyle name="40% - Accent2 16 2" xfId="2811" xr:uid="{CF09FF88-9826-41AB-888E-14EA679EC651}"/>
    <cellStyle name="40% - Accent2 17" xfId="2804" xr:uid="{0E8BE039-E389-4F0B-9971-C44E631F0913}"/>
    <cellStyle name="40% - Accent2 2" xfId="136" xr:uid="{00000000-0005-0000-0000-000087000000}"/>
    <cellStyle name="40% - Accent2 2 2" xfId="137" xr:uid="{00000000-0005-0000-0000-000088000000}"/>
    <cellStyle name="40% - Accent2 2 2 2" xfId="2813" xr:uid="{9EAACABF-2356-4C8B-8816-0DE9B41ABDF8}"/>
    <cellStyle name="40% - Accent2 2 3" xfId="138" xr:uid="{00000000-0005-0000-0000-000089000000}"/>
    <cellStyle name="40% - Accent2 2 3 2" xfId="2814" xr:uid="{5AFF232F-9890-40A1-ADFD-1944A9D02EA1}"/>
    <cellStyle name="40% - Accent2 2 4" xfId="2812" xr:uid="{0A5226ED-4432-4047-8098-9D23F677A8FF}"/>
    <cellStyle name="40% - Accent2 3" xfId="139" xr:uid="{00000000-0005-0000-0000-00008A000000}"/>
    <cellStyle name="40% - Accent2 3 2" xfId="2815" xr:uid="{52D3E34F-EA32-4D68-8B85-FF8810E81EAB}"/>
    <cellStyle name="40% - Accent2 4" xfId="140" xr:uid="{00000000-0005-0000-0000-00008B000000}"/>
    <cellStyle name="40% - Accent2 4 2" xfId="2816" xr:uid="{95DD30E4-3ECD-4270-A891-C67AF2708C4E}"/>
    <cellStyle name="40% - Accent2 5" xfId="141" xr:uid="{00000000-0005-0000-0000-00008C000000}"/>
    <cellStyle name="40% - Accent2 5 2" xfId="2817" xr:uid="{47303767-867F-47D6-91ED-5844696FE165}"/>
    <cellStyle name="40% - Accent2 6" xfId="142" xr:uid="{00000000-0005-0000-0000-00008D000000}"/>
    <cellStyle name="40% - Accent2 6 2" xfId="2818" xr:uid="{DE139931-BF7F-4D54-845E-ADB6716D6037}"/>
    <cellStyle name="40% - Accent2 7" xfId="143" xr:uid="{00000000-0005-0000-0000-00008E000000}"/>
    <cellStyle name="40% - Accent2 7 2" xfId="2819" xr:uid="{06DC49AB-40AA-4D2C-8E3F-C339D635C60E}"/>
    <cellStyle name="40% - Accent2 8" xfId="144" xr:uid="{00000000-0005-0000-0000-00008F000000}"/>
    <cellStyle name="40% - Accent2 8 2" xfId="2820" xr:uid="{983B049F-42C5-4895-AB68-23DDA936A106}"/>
    <cellStyle name="40% - Accent2 9" xfId="145" xr:uid="{00000000-0005-0000-0000-000090000000}"/>
    <cellStyle name="40% - Accent2 9 2" xfId="2821" xr:uid="{49445945-2C44-4AA3-BACC-E1C0D606859B}"/>
    <cellStyle name="40% - Accent3" xfId="146" builtinId="39" customBuiltin="1"/>
    <cellStyle name="40% - Accent3 10" xfId="147" xr:uid="{00000000-0005-0000-0000-000092000000}"/>
    <cellStyle name="40% - Accent3 10 2" xfId="2823" xr:uid="{BB862CD7-F7CE-4AB8-B666-215339499582}"/>
    <cellStyle name="40% - Accent3 11" xfId="148" xr:uid="{00000000-0005-0000-0000-000093000000}"/>
    <cellStyle name="40% - Accent3 11 2" xfId="2824" xr:uid="{0AEA3DC0-7F8C-40F2-A2B4-CBD9FA81B3E9}"/>
    <cellStyle name="40% - Accent3 12" xfId="149" xr:uid="{00000000-0005-0000-0000-000094000000}"/>
    <cellStyle name="40% - Accent3 12 2" xfId="2825" xr:uid="{7A6656FA-07AD-4752-827E-083041B30B2F}"/>
    <cellStyle name="40% - Accent3 13" xfId="150" xr:uid="{00000000-0005-0000-0000-000095000000}"/>
    <cellStyle name="40% - Accent3 13 2" xfId="2826" xr:uid="{2221BE86-D305-4793-8369-EE122E28BD0A}"/>
    <cellStyle name="40% - Accent3 14" xfId="151" xr:uid="{00000000-0005-0000-0000-000096000000}"/>
    <cellStyle name="40% - Accent3 14 2" xfId="2827" xr:uid="{AF8049B5-DC9F-4CB6-817D-8FBEDB7D4421}"/>
    <cellStyle name="40% - Accent3 15" xfId="152" xr:uid="{00000000-0005-0000-0000-000097000000}"/>
    <cellStyle name="40% - Accent3 15 2" xfId="2828" xr:uid="{BB7E01F7-5CF8-472D-BACF-287546D33E99}"/>
    <cellStyle name="40% - Accent3 16" xfId="153" xr:uid="{00000000-0005-0000-0000-000098000000}"/>
    <cellStyle name="40% - Accent3 16 2" xfId="2829" xr:uid="{E6DA5371-78C5-4174-B3D3-3C34973C4FFC}"/>
    <cellStyle name="40% - Accent3 17" xfId="2822" xr:uid="{53E7D448-25BD-43F6-A346-722141E5C7B7}"/>
    <cellStyle name="40% - Accent3 2" xfId="154" xr:uid="{00000000-0005-0000-0000-000099000000}"/>
    <cellStyle name="40% - Accent3 2 2" xfId="155" xr:uid="{00000000-0005-0000-0000-00009A000000}"/>
    <cellStyle name="40% - Accent3 2 2 2" xfId="2831" xr:uid="{E1F257E7-DBD2-4E7A-A336-1E9A898D23FF}"/>
    <cellStyle name="40% - Accent3 2 3" xfId="156" xr:uid="{00000000-0005-0000-0000-00009B000000}"/>
    <cellStyle name="40% - Accent3 2 3 2" xfId="2832" xr:uid="{1FB6477D-FCCD-4C4A-88D1-EC75199BBAE6}"/>
    <cellStyle name="40% - Accent3 2 4" xfId="2830" xr:uid="{14F7B91C-3F42-4DE8-AE0B-13FAA63F7F68}"/>
    <cellStyle name="40% - Accent3 3" xfId="157" xr:uid="{00000000-0005-0000-0000-00009C000000}"/>
    <cellStyle name="40% - Accent3 3 2" xfId="2833" xr:uid="{135540AA-C036-4C06-AC75-FD6BB4D20E56}"/>
    <cellStyle name="40% - Accent3 4" xfId="158" xr:uid="{00000000-0005-0000-0000-00009D000000}"/>
    <cellStyle name="40% - Accent3 4 2" xfId="2834" xr:uid="{ADEC7136-ECD5-4DA4-A40E-30AB94B4EAE1}"/>
    <cellStyle name="40% - Accent3 5" xfId="159" xr:uid="{00000000-0005-0000-0000-00009E000000}"/>
    <cellStyle name="40% - Accent3 5 2" xfId="2835" xr:uid="{FE59A20D-9887-463A-91BD-F1B83BEC5690}"/>
    <cellStyle name="40% - Accent3 6" xfId="160" xr:uid="{00000000-0005-0000-0000-00009F000000}"/>
    <cellStyle name="40% - Accent3 6 2" xfId="2836" xr:uid="{5DE26554-12A1-4943-9680-616EBF3F4733}"/>
    <cellStyle name="40% - Accent3 7" xfId="161" xr:uid="{00000000-0005-0000-0000-0000A0000000}"/>
    <cellStyle name="40% - Accent3 7 2" xfId="2837" xr:uid="{4622E1DC-FC6B-4D3A-A5C2-383EDCEE1A23}"/>
    <cellStyle name="40% - Accent3 8" xfId="162" xr:uid="{00000000-0005-0000-0000-0000A1000000}"/>
    <cellStyle name="40% - Accent3 8 2" xfId="2838" xr:uid="{3E52DB9D-5BEB-473D-875D-E33C902B50B7}"/>
    <cellStyle name="40% - Accent3 9" xfId="163" xr:uid="{00000000-0005-0000-0000-0000A2000000}"/>
    <cellStyle name="40% - Accent3 9 2" xfId="2839" xr:uid="{FE0D2844-C4B9-43A8-826C-8F352C50B0E9}"/>
    <cellStyle name="40% - Accent4" xfId="164" builtinId="43" customBuiltin="1"/>
    <cellStyle name="40% - Accent4 10" xfId="165" xr:uid="{00000000-0005-0000-0000-0000A4000000}"/>
    <cellStyle name="40% - Accent4 10 2" xfId="2841" xr:uid="{2A8CB5EE-A4F1-498A-A693-A41FCF036E99}"/>
    <cellStyle name="40% - Accent4 11" xfId="166" xr:uid="{00000000-0005-0000-0000-0000A5000000}"/>
    <cellStyle name="40% - Accent4 11 2" xfId="2842" xr:uid="{6544CEF0-890D-4392-9BC0-83513CADC2C8}"/>
    <cellStyle name="40% - Accent4 12" xfId="167" xr:uid="{00000000-0005-0000-0000-0000A6000000}"/>
    <cellStyle name="40% - Accent4 12 2" xfId="2843" xr:uid="{3DF16770-6228-4232-B91A-3B988AE9633E}"/>
    <cellStyle name="40% - Accent4 13" xfId="168" xr:uid="{00000000-0005-0000-0000-0000A7000000}"/>
    <cellStyle name="40% - Accent4 13 2" xfId="2844" xr:uid="{2BC0E663-A77C-47B0-99F1-13CECDFC38A1}"/>
    <cellStyle name="40% - Accent4 14" xfId="169" xr:uid="{00000000-0005-0000-0000-0000A8000000}"/>
    <cellStyle name="40% - Accent4 14 2" xfId="2845" xr:uid="{4585B631-4B33-468B-9E4E-820C6CD914E5}"/>
    <cellStyle name="40% - Accent4 15" xfId="170" xr:uid="{00000000-0005-0000-0000-0000A9000000}"/>
    <cellStyle name="40% - Accent4 15 2" xfId="2846" xr:uid="{18329B08-4239-4BD3-A316-5DC8E85530EA}"/>
    <cellStyle name="40% - Accent4 16" xfId="171" xr:uid="{00000000-0005-0000-0000-0000AA000000}"/>
    <cellStyle name="40% - Accent4 16 2" xfId="2847" xr:uid="{32A8B376-69DF-4BE4-99EC-F07278D59891}"/>
    <cellStyle name="40% - Accent4 17" xfId="2840" xr:uid="{E0AB98BF-9C97-40F5-B74A-743FEE5EA907}"/>
    <cellStyle name="40% - Accent4 2" xfId="172" xr:uid="{00000000-0005-0000-0000-0000AB000000}"/>
    <cellStyle name="40% - Accent4 2 2" xfId="173" xr:uid="{00000000-0005-0000-0000-0000AC000000}"/>
    <cellStyle name="40% - Accent4 2 2 2" xfId="2849" xr:uid="{7DA0E50E-D221-4F90-98E9-E207924ABBBC}"/>
    <cellStyle name="40% - Accent4 2 3" xfId="174" xr:uid="{00000000-0005-0000-0000-0000AD000000}"/>
    <cellStyle name="40% - Accent4 2 3 2" xfId="2850" xr:uid="{88638ECE-93FC-4B07-B319-8D98BEDF02ED}"/>
    <cellStyle name="40% - Accent4 2 4" xfId="2848" xr:uid="{C97251A5-5007-45C1-82D3-81FB5D9FCAE9}"/>
    <cellStyle name="40% - Accent4 3" xfId="175" xr:uid="{00000000-0005-0000-0000-0000AE000000}"/>
    <cellStyle name="40% - Accent4 3 2" xfId="2851" xr:uid="{5981B7A9-2AD0-4E12-8ACA-2EE37E3603EA}"/>
    <cellStyle name="40% - Accent4 4" xfId="176" xr:uid="{00000000-0005-0000-0000-0000AF000000}"/>
    <cellStyle name="40% - Accent4 4 2" xfId="2852" xr:uid="{A04B6EAD-EE3A-4565-AA13-8811A38551F6}"/>
    <cellStyle name="40% - Accent4 5" xfId="177" xr:uid="{00000000-0005-0000-0000-0000B0000000}"/>
    <cellStyle name="40% - Accent4 5 2" xfId="2853" xr:uid="{0A976382-B7F0-4D7C-8818-97C15424293D}"/>
    <cellStyle name="40% - Accent4 6" xfId="178" xr:uid="{00000000-0005-0000-0000-0000B1000000}"/>
    <cellStyle name="40% - Accent4 6 2" xfId="2854" xr:uid="{B11B27E7-884C-4F39-8E72-4C6EE8259381}"/>
    <cellStyle name="40% - Accent4 7" xfId="179" xr:uid="{00000000-0005-0000-0000-0000B2000000}"/>
    <cellStyle name="40% - Accent4 7 2" xfId="2855" xr:uid="{A9087450-56AB-41B6-B4A6-5D5F5574196F}"/>
    <cellStyle name="40% - Accent4 8" xfId="180" xr:uid="{00000000-0005-0000-0000-0000B3000000}"/>
    <cellStyle name="40% - Accent4 8 2" xfId="2856" xr:uid="{E9F80EA2-D9FA-4CA2-A72C-59D6274081EE}"/>
    <cellStyle name="40% - Accent4 9" xfId="181" xr:uid="{00000000-0005-0000-0000-0000B4000000}"/>
    <cellStyle name="40% - Accent4 9 2" xfId="2857" xr:uid="{B0D01462-8A5C-4FB1-9F91-2A073C36A483}"/>
    <cellStyle name="40% - Accent5" xfId="182" builtinId="47" customBuiltin="1"/>
    <cellStyle name="40% - Accent5 10" xfId="183" xr:uid="{00000000-0005-0000-0000-0000B6000000}"/>
    <cellStyle name="40% - Accent5 10 2" xfId="2859" xr:uid="{6BE98761-0F20-44DF-95B2-56053FF50035}"/>
    <cellStyle name="40% - Accent5 11" xfId="184" xr:uid="{00000000-0005-0000-0000-0000B7000000}"/>
    <cellStyle name="40% - Accent5 11 2" xfId="2860" xr:uid="{DB58C90B-EC8C-4544-B2FB-DA5264AC6811}"/>
    <cellStyle name="40% - Accent5 12" xfId="185" xr:uid="{00000000-0005-0000-0000-0000B8000000}"/>
    <cellStyle name="40% - Accent5 12 2" xfId="2861" xr:uid="{207B7768-F71E-44E5-A5E1-7ABA2BA59F6A}"/>
    <cellStyle name="40% - Accent5 13" xfId="186" xr:uid="{00000000-0005-0000-0000-0000B9000000}"/>
    <cellStyle name="40% - Accent5 13 2" xfId="2862" xr:uid="{737853AB-B062-4016-B83B-DE3084CF3977}"/>
    <cellStyle name="40% - Accent5 14" xfId="187" xr:uid="{00000000-0005-0000-0000-0000BA000000}"/>
    <cellStyle name="40% - Accent5 14 2" xfId="2863" xr:uid="{E89BAB8B-1679-482E-8CA1-57FD40A25FD9}"/>
    <cellStyle name="40% - Accent5 15" xfId="188" xr:uid="{00000000-0005-0000-0000-0000BB000000}"/>
    <cellStyle name="40% - Accent5 15 2" xfId="2864" xr:uid="{AEBFCC74-2314-490C-AAD3-AA9F5908B64F}"/>
    <cellStyle name="40% - Accent5 16" xfId="189" xr:uid="{00000000-0005-0000-0000-0000BC000000}"/>
    <cellStyle name="40% - Accent5 16 2" xfId="2865" xr:uid="{118F471A-6E08-4DBF-9AE4-510C6606FB30}"/>
    <cellStyle name="40% - Accent5 17" xfId="2858" xr:uid="{99AD9579-670C-438B-A4C5-4D039F083CC1}"/>
    <cellStyle name="40% - Accent5 2" xfId="190" xr:uid="{00000000-0005-0000-0000-0000BD000000}"/>
    <cellStyle name="40% - Accent5 2 2" xfId="191" xr:uid="{00000000-0005-0000-0000-0000BE000000}"/>
    <cellStyle name="40% - Accent5 2 2 2" xfId="2867" xr:uid="{B7F2916D-7D3E-4A82-B981-42D914364883}"/>
    <cellStyle name="40% - Accent5 2 3" xfId="192" xr:uid="{00000000-0005-0000-0000-0000BF000000}"/>
    <cellStyle name="40% - Accent5 2 3 2" xfId="2868" xr:uid="{9118B3A6-EC9E-4BFB-B1C8-5C55B8606D2F}"/>
    <cellStyle name="40% - Accent5 2 4" xfId="2866" xr:uid="{B6F8D088-860C-4B8F-9003-5621755BBF75}"/>
    <cellStyle name="40% - Accent5 3" xfId="193" xr:uid="{00000000-0005-0000-0000-0000C0000000}"/>
    <cellStyle name="40% - Accent5 3 2" xfId="2869" xr:uid="{7089E0CE-FF0B-41FE-821C-E723EBD39A95}"/>
    <cellStyle name="40% - Accent5 4" xfId="194" xr:uid="{00000000-0005-0000-0000-0000C1000000}"/>
    <cellStyle name="40% - Accent5 4 2" xfId="2870" xr:uid="{5254F750-E4AD-439B-9819-D80124FE4919}"/>
    <cellStyle name="40% - Accent5 5" xfId="195" xr:uid="{00000000-0005-0000-0000-0000C2000000}"/>
    <cellStyle name="40% - Accent5 5 2" xfId="2871" xr:uid="{169EAEC6-E976-4E31-8C6D-2D0F3673A4DB}"/>
    <cellStyle name="40% - Accent5 6" xfId="196" xr:uid="{00000000-0005-0000-0000-0000C3000000}"/>
    <cellStyle name="40% - Accent5 6 2" xfId="2872" xr:uid="{30BAE3E0-FCA9-411D-ADA2-65B5ADEBFD1E}"/>
    <cellStyle name="40% - Accent5 7" xfId="197" xr:uid="{00000000-0005-0000-0000-0000C4000000}"/>
    <cellStyle name="40% - Accent5 7 2" xfId="2873" xr:uid="{8F0EBF21-94B5-4B0C-AE31-F21756D75924}"/>
    <cellStyle name="40% - Accent5 8" xfId="198" xr:uid="{00000000-0005-0000-0000-0000C5000000}"/>
    <cellStyle name="40% - Accent5 8 2" xfId="2874" xr:uid="{194B6A59-FAE1-489D-AB08-804A058AE074}"/>
    <cellStyle name="40% - Accent5 9" xfId="199" xr:uid="{00000000-0005-0000-0000-0000C6000000}"/>
    <cellStyle name="40% - Accent5 9 2" xfId="2875" xr:uid="{75926FC2-9953-4EE6-90CB-87D6F2A9F17C}"/>
    <cellStyle name="40% - Accent6" xfId="200" builtinId="51" customBuiltin="1"/>
    <cellStyle name="40% - Accent6 10" xfId="201" xr:uid="{00000000-0005-0000-0000-0000C8000000}"/>
    <cellStyle name="40% - Accent6 10 2" xfId="2877" xr:uid="{66971B3F-03C6-4AE4-AAD4-615DAF30B23D}"/>
    <cellStyle name="40% - Accent6 11" xfId="202" xr:uid="{00000000-0005-0000-0000-0000C9000000}"/>
    <cellStyle name="40% - Accent6 11 2" xfId="2878" xr:uid="{EA273601-81B7-40CA-BAB5-36C93939537C}"/>
    <cellStyle name="40% - Accent6 12" xfId="203" xr:uid="{00000000-0005-0000-0000-0000CA000000}"/>
    <cellStyle name="40% - Accent6 12 2" xfId="2879" xr:uid="{7C862B60-BAAB-4B80-B9B1-FFF40E6F817A}"/>
    <cellStyle name="40% - Accent6 13" xfId="204" xr:uid="{00000000-0005-0000-0000-0000CB000000}"/>
    <cellStyle name="40% - Accent6 13 2" xfId="2880" xr:uid="{9F645044-CAF4-444D-B9E8-70E79C7E7C0C}"/>
    <cellStyle name="40% - Accent6 14" xfId="205" xr:uid="{00000000-0005-0000-0000-0000CC000000}"/>
    <cellStyle name="40% - Accent6 14 2" xfId="2881" xr:uid="{D75D7C2E-BE01-4620-9768-C5D3C8014050}"/>
    <cellStyle name="40% - Accent6 15" xfId="206" xr:uid="{00000000-0005-0000-0000-0000CD000000}"/>
    <cellStyle name="40% - Accent6 15 2" xfId="2882" xr:uid="{431BCAF5-9559-4E3D-83CB-75CB3A4E1AD2}"/>
    <cellStyle name="40% - Accent6 16" xfId="207" xr:uid="{00000000-0005-0000-0000-0000CE000000}"/>
    <cellStyle name="40% - Accent6 16 2" xfId="2883" xr:uid="{63CE9068-7630-4A0F-B150-71024DC002D4}"/>
    <cellStyle name="40% - Accent6 17" xfId="2876" xr:uid="{F623501F-F343-4D3A-8A45-74CE05F85F18}"/>
    <cellStyle name="40% - Accent6 2" xfId="208" xr:uid="{00000000-0005-0000-0000-0000CF000000}"/>
    <cellStyle name="40% - Accent6 2 2" xfId="209" xr:uid="{00000000-0005-0000-0000-0000D0000000}"/>
    <cellStyle name="40% - Accent6 2 2 2" xfId="2885" xr:uid="{1A3DF850-FEB3-4014-AC7F-8DA0E2C3A2A1}"/>
    <cellStyle name="40% - Accent6 2 3" xfId="210" xr:uid="{00000000-0005-0000-0000-0000D1000000}"/>
    <cellStyle name="40% - Accent6 2 3 2" xfId="2886" xr:uid="{0AF6E6B3-2BDB-4111-BBD3-5A81D820B80E}"/>
    <cellStyle name="40% - Accent6 2 4" xfId="2884" xr:uid="{ED3880B4-6E68-413E-B75F-060916C99EB4}"/>
    <cellStyle name="40% - Accent6 3" xfId="211" xr:uid="{00000000-0005-0000-0000-0000D2000000}"/>
    <cellStyle name="40% - Accent6 3 2" xfId="2887" xr:uid="{40044E22-FBE9-4F19-A252-77EAFC813964}"/>
    <cellStyle name="40% - Accent6 4" xfId="212" xr:uid="{00000000-0005-0000-0000-0000D3000000}"/>
    <cellStyle name="40% - Accent6 4 2" xfId="2888" xr:uid="{8DB5AB0B-C956-422A-A002-68EE0EA9639E}"/>
    <cellStyle name="40% - Accent6 5" xfId="213" xr:uid="{00000000-0005-0000-0000-0000D4000000}"/>
    <cellStyle name="40% - Accent6 5 2" xfId="2889" xr:uid="{57DF4887-D498-413E-B44A-5E29DFA14083}"/>
    <cellStyle name="40% - Accent6 6" xfId="214" xr:uid="{00000000-0005-0000-0000-0000D5000000}"/>
    <cellStyle name="40% - Accent6 6 2" xfId="2890" xr:uid="{330B52E3-BBF3-455D-BE96-9D89B6CC2598}"/>
    <cellStyle name="40% - Accent6 7" xfId="215" xr:uid="{00000000-0005-0000-0000-0000D6000000}"/>
    <cellStyle name="40% - Accent6 7 2" xfId="2891" xr:uid="{730FB954-C5E7-4BA9-9DF7-A1BC7E6321B7}"/>
    <cellStyle name="40% - Accent6 8" xfId="216" xr:uid="{00000000-0005-0000-0000-0000D7000000}"/>
    <cellStyle name="40% - Accent6 8 2" xfId="2892" xr:uid="{931AB920-BFD5-497F-9ECE-AF9A887C4A3D}"/>
    <cellStyle name="40% - Accent6 9" xfId="217" xr:uid="{00000000-0005-0000-0000-0000D8000000}"/>
    <cellStyle name="40% - Accent6 9 2" xfId="2893" xr:uid="{CB2D7B82-7C19-470E-AE13-802558BA7E05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680" xr:uid="{1BCED8BA-D798-4C6A-9BB6-B8883C2CDFA9}"/>
    <cellStyle name="Comma [0] 10 2 2 2 3" xfId="3721" xr:uid="{20FF24C5-494A-4DBE-94A4-A25ECBAF18B8}"/>
    <cellStyle name="Comma [0] 10 3" xfId="530" xr:uid="{00000000-0005-0000-0000-000012020000}"/>
    <cellStyle name="Comma [0] 10 3 2" xfId="2896" xr:uid="{8B331114-3B1F-4C72-A9E3-A54701B828F1}"/>
    <cellStyle name="Comma [0] 10 4" xfId="531" xr:uid="{00000000-0005-0000-0000-000013020000}"/>
    <cellStyle name="Comma [0] 10 4 2" xfId="2897" xr:uid="{D7ACC1C2-07F5-4D1C-A404-96FB2F21BE4F}"/>
    <cellStyle name="Comma [0] 10 5" xfId="2895" xr:uid="{6CE58DC2-838E-466C-911C-581F5B08DC2A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2900" xr:uid="{40F8CD02-6361-4EF8-9D4C-EA7FCDDEF0F3}"/>
    <cellStyle name="Comma [0] 11 2 3" xfId="2899" xr:uid="{8F5A5A9E-3D31-4C91-8497-6FA875640D8D}"/>
    <cellStyle name="Comma [0] 11 3" xfId="535" xr:uid="{00000000-0005-0000-0000-000017020000}"/>
    <cellStyle name="Comma [0] 11 3 2" xfId="2901" xr:uid="{F91EA04E-282B-43B6-B3A7-E3E779F5CBA4}"/>
    <cellStyle name="Comma [0] 11 4" xfId="2898" xr:uid="{93CCC8F5-13CC-4E4A-B758-5DBEFBBB6008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2904" xr:uid="{AE5DFB5A-A7C1-4DB1-9B01-852A8ED8B920}"/>
    <cellStyle name="Comma [0] 12 2 3" xfId="2903" xr:uid="{191E5067-0019-4CF3-8AB9-D4183A2768E4}"/>
    <cellStyle name="Comma [0] 12 3" xfId="539" xr:uid="{00000000-0005-0000-0000-00001B020000}"/>
    <cellStyle name="Comma [0] 12 3 2" xfId="540" xr:uid="{00000000-0005-0000-0000-00001C020000}"/>
    <cellStyle name="Comma [0] 12 3 2 2" xfId="2906" xr:uid="{F37C4517-BFC4-4B51-A24A-44DFC553CFB9}"/>
    <cellStyle name="Comma [0] 12 3 3" xfId="2905" xr:uid="{3C1BBFB0-23D0-4D4F-A8AB-B7EBA2A6DA6A}"/>
    <cellStyle name="Comma [0] 12 4" xfId="2902" xr:uid="{44974DA4-E748-488D-99CE-76E6BE7E2F5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2908" xr:uid="{8B789784-7089-4E02-8F62-448D52E33F1F}"/>
    <cellStyle name="Comma [0] 14 2 3" xfId="2907" xr:uid="{38907EB4-3872-4A70-84F0-FA86EC6EF85F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2911" xr:uid="{8D7E76F3-965C-4272-86A3-A9CE070A4C6B}"/>
    <cellStyle name="Comma [0] 15 2 3" xfId="2910" xr:uid="{4AD55F3C-F90A-44F6-AF13-BFC322B2F748}"/>
    <cellStyle name="Comma [0] 15 3" xfId="2909" xr:uid="{FB8CF89C-CBB5-4A87-885B-B60B6956D284}"/>
    <cellStyle name="Comma [0] 15_Book2" xfId="550" xr:uid="{00000000-0005-0000-0000-000026020000}"/>
    <cellStyle name="Comma [0] 16" xfId="551" xr:uid="{00000000-0005-0000-0000-000027020000}"/>
    <cellStyle name="Comma [0] 16 2" xfId="2912" xr:uid="{9BAFD29E-63D9-4CCA-90DE-0C2CBE743F5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2915" xr:uid="{3C3BB4F3-F2D9-4E63-8EB1-732CC7080834}"/>
    <cellStyle name="Comma [0] 18 2 3" xfId="2914" xr:uid="{FBC2C4A1-EB11-4395-B2ED-3335F79C3192}"/>
    <cellStyle name="Comma [0] 18 3" xfId="557" xr:uid="{00000000-0005-0000-0000-00002D020000}"/>
    <cellStyle name="Comma [0] 18 3 2" xfId="2916" xr:uid="{AF9FA739-4FB5-433D-A206-B52086D17EFF}"/>
    <cellStyle name="Comma [0] 18 4" xfId="2913" xr:uid="{3CA218F7-8110-458E-BE8C-1DB5B3B740BF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2919" xr:uid="{9E257B87-8A19-4E8C-8972-8BDEF43EF545}"/>
    <cellStyle name="Comma [0] 19 2 3" xfId="2918" xr:uid="{A3B38E05-14B1-4408-9E95-249503E59241}"/>
    <cellStyle name="Comma [0] 19 3" xfId="561" xr:uid="{00000000-0005-0000-0000-000031020000}"/>
    <cellStyle name="Comma [0] 19 3 2" xfId="2920" xr:uid="{9AC45F2B-6480-47FB-BAE4-724CEED1E214}"/>
    <cellStyle name="Comma [0] 19 4" xfId="2917" xr:uid="{DBD7CD59-E6C2-4ECF-8938-F747687BA5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2923" xr:uid="{E545B654-31B7-446D-AD64-78986AB67E29}"/>
    <cellStyle name="Comma [0] 2 10 3" xfId="565" xr:uid="{00000000-0005-0000-0000-000035020000}"/>
    <cellStyle name="Comma [0] 2 10 3 2" xfId="2924" xr:uid="{2AECC60F-4AD7-4D10-9BCB-20A6FCD1C567}"/>
    <cellStyle name="Comma [0] 2 10 4" xfId="2922" xr:uid="{9B78257B-7142-4418-93B1-BB55DD845E41}"/>
    <cellStyle name="Comma [0] 2 11" xfId="566" xr:uid="{00000000-0005-0000-0000-000036020000}"/>
    <cellStyle name="Comma [0] 2 11 2" xfId="2925" xr:uid="{15D39BB2-C434-4D55-BD57-C1238998FB22}"/>
    <cellStyle name="Comma [0] 2 12" xfId="567" xr:uid="{00000000-0005-0000-0000-000037020000}"/>
    <cellStyle name="Comma [0] 2 12 2" xfId="2926" xr:uid="{3CB52535-95EF-44D6-A0C3-7FB1F7446CB1}"/>
    <cellStyle name="Comma [0] 2 13" xfId="2921" xr:uid="{B4B3ADA6-FA8F-4273-AF07-B928AE23FC08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2934" xr:uid="{53AD8129-C050-4C48-9481-850ECD05A227}"/>
    <cellStyle name="Comma [0] 2 2 2 2 2 2 2 2 3" xfId="2933" xr:uid="{2DBECE25-13D4-4459-9F38-DBF5ADA7662D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2936" xr:uid="{332F5583-14E6-424C-A930-186590D234F8}"/>
    <cellStyle name="Comma [0] 2 2 2 2 2 2 2 3 3" xfId="2935" xr:uid="{EC6E6414-F952-40A6-B032-942DE9E9B48E}"/>
    <cellStyle name="Comma [0] 2 2 2 2 2 2 2 4" xfId="2932" xr:uid="{4A7569C0-C295-41FB-9B3A-42B9BAFDD7FF}"/>
    <cellStyle name="Comma [0] 2 2 2 2 2 2 3" xfId="578" xr:uid="{00000000-0005-0000-0000-000042020000}"/>
    <cellStyle name="Comma [0] 2 2 2 2 2 2 3 2" xfId="2937" xr:uid="{68906BF9-29C3-4D24-A74D-23BCC0E01CF9}"/>
    <cellStyle name="Comma [0] 2 2 2 2 2 2 4" xfId="579" xr:uid="{00000000-0005-0000-0000-000043020000}"/>
    <cellStyle name="Comma [0] 2 2 2 2 2 2 4 2" xfId="2938" xr:uid="{0BABD658-7904-401D-952E-A1B70302B5D6}"/>
    <cellStyle name="Comma [0] 2 2 2 2 2 2 5" xfId="2931" xr:uid="{47457B3D-A8B3-4D34-B1FE-468B640B6D56}"/>
    <cellStyle name="Comma [0] 2 2 2 2 2 3" xfId="580" xr:uid="{00000000-0005-0000-0000-000044020000}"/>
    <cellStyle name="Comma [0] 2 2 2 2 2 3 2" xfId="581" xr:uid="{00000000-0005-0000-0000-000045020000}"/>
    <cellStyle name="Comma [0] 2 2 2 2 2 3 2 2" xfId="2940" xr:uid="{4B527758-4B95-429C-B4B1-C996E80D3908}"/>
    <cellStyle name="Comma [0] 2 2 2 2 2 3 3" xfId="2939" xr:uid="{B82CDF8D-1398-4FCA-8E5F-01D335C75433}"/>
    <cellStyle name="Comma [0] 2 2 2 2 2 4" xfId="582" xr:uid="{00000000-0005-0000-0000-000046020000}"/>
    <cellStyle name="Comma [0] 2 2 2 2 2 4 2" xfId="583" xr:uid="{00000000-0005-0000-0000-000047020000}"/>
    <cellStyle name="Comma [0] 2 2 2 2 2 4 2 2" xfId="2942" xr:uid="{3CF5D5AD-348A-41C0-80C1-C80C97C7689E}"/>
    <cellStyle name="Comma [0] 2 2 2 2 2 4 3" xfId="2941" xr:uid="{89ED8942-07BE-4AB1-BE45-E99B1E55F21F}"/>
    <cellStyle name="Comma [0] 2 2 2 2 2 5" xfId="2930" xr:uid="{940574C0-17CF-4D3C-A06E-2F63A97CFC22}"/>
    <cellStyle name="Comma [0] 2 2 2 2 3" xfId="584" xr:uid="{00000000-0005-0000-0000-000048020000}"/>
    <cellStyle name="Comma [0] 2 2 2 2 3 2" xfId="2943" xr:uid="{C6AFB594-01C5-491B-A555-74A4AC6493E9}"/>
    <cellStyle name="Comma [0] 2 2 2 2 4" xfId="585" xr:uid="{00000000-0005-0000-0000-000049020000}"/>
    <cellStyle name="Comma [0] 2 2 2 2 4 2" xfId="2944" xr:uid="{19793781-3C56-4757-9BA9-88901107082E}"/>
    <cellStyle name="Comma [0] 2 2 2 2 5" xfId="586" xr:uid="{00000000-0005-0000-0000-00004A020000}"/>
    <cellStyle name="Comma [0] 2 2 2 2 5 2" xfId="2945" xr:uid="{61C71964-E3AC-40C2-AB7F-C3A64E2CB552}"/>
    <cellStyle name="Comma [0] 2 2 2 2 6" xfId="2929" xr:uid="{D046918F-8301-4D0A-AA2A-E9918E6E120E}"/>
    <cellStyle name="Comma [0] 2 2 2 3" xfId="587" xr:uid="{00000000-0005-0000-0000-00004B020000}"/>
    <cellStyle name="Comma [0] 2 2 2 3 2" xfId="588" xr:uid="{00000000-0005-0000-0000-00004C020000}"/>
    <cellStyle name="Comma [0] 2 2 2 3 2 2" xfId="2947" xr:uid="{C7BBA3F6-45F1-4CF8-B15D-03E3E9379DBD}"/>
    <cellStyle name="Comma [0] 2 2 2 3 3" xfId="2946" xr:uid="{787BD323-BE07-42C9-A8F5-E01F77198B71}"/>
    <cellStyle name="Comma [0] 2 2 2 4" xfId="589" xr:uid="{00000000-0005-0000-0000-00004D020000}"/>
    <cellStyle name="Comma [0] 2 2 2 4 2" xfId="590" xr:uid="{00000000-0005-0000-0000-00004E020000}"/>
    <cellStyle name="Comma [0] 2 2 2 4 2 2" xfId="2949" xr:uid="{8D4DB765-D67E-4EBA-8F58-58A732FFE1D2}"/>
    <cellStyle name="Comma [0] 2 2 2 4 3" xfId="2948" xr:uid="{94CFE9F1-00C5-4823-93D1-D7D183431E20}"/>
    <cellStyle name="Comma [0] 2 2 2 5" xfId="591" xr:uid="{00000000-0005-0000-0000-00004F020000}"/>
    <cellStyle name="Comma [0] 2 2 2 5 2" xfId="592" xr:uid="{00000000-0005-0000-0000-000050020000}"/>
    <cellStyle name="Comma [0] 2 2 2 5 2 2" xfId="2951" xr:uid="{F7CEB86F-00CD-4024-867C-03BCB49DF7EB}"/>
    <cellStyle name="Comma [0] 2 2 2 5 3" xfId="2950" xr:uid="{470332DC-F584-4823-9568-2A2E10ECD2AB}"/>
    <cellStyle name="Comma [0] 2 2 2 6" xfId="593" xr:uid="{00000000-0005-0000-0000-000051020000}"/>
    <cellStyle name="Comma [0] 2 2 2 6 2" xfId="2952" xr:uid="{80F0C1FF-4D1A-4B4C-80A2-649EE8E6864B}"/>
    <cellStyle name="Comma [0] 2 2 2 7" xfId="2928" xr:uid="{160401D2-2EE9-4FF7-B4B6-1A5CFA1A19FC}"/>
    <cellStyle name="Comma [0] 2 2 3" xfId="594" xr:uid="{00000000-0005-0000-0000-000052020000}"/>
    <cellStyle name="Comma [0] 2 2 3 2" xfId="2953" xr:uid="{BFFCEA7F-B748-47D6-8853-73DAD94F6D31}"/>
    <cellStyle name="Comma [0] 2 2 4" xfId="595" xr:uid="{00000000-0005-0000-0000-000053020000}"/>
    <cellStyle name="Comma [0] 2 2 4 2" xfId="2954" xr:uid="{3009E82A-720B-4FEA-830B-EDEDAAB52F81}"/>
    <cellStyle name="Comma [0] 2 2 5" xfId="596" xr:uid="{00000000-0005-0000-0000-000054020000}"/>
    <cellStyle name="Comma [0] 2 2 5 2" xfId="2955" xr:uid="{7F2300CE-FECA-48CF-8C78-DF3D832A0670}"/>
    <cellStyle name="Comma [0] 2 2 6" xfId="597" xr:uid="{00000000-0005-0000-0000-000055020000}"/>
    <cellStyle name="Comma [0] 2 2 6 2" xfId="598" xr:uid="{00000000-0005-0000-0000-000056020000}"/>
    <cellStyle name="Comma [0] 2 2 6 2 2" xfId="2957" xr:uid="{EDDD88C5-F8CB-41E7-BE95-3EA4B5716D6E}"/>
    <cellStyle name="Comma [0] 2 2 6 3" xfId="2956" xr:uid="{46F75BA7-3101-4728-A194-2BF9E2B6DBAD}"/>
    <cellStyle name="Comma [0] 2 2 7" xfId="2927" xr:uid="{F0B58010-14BD-4E83-962A-8F9BFD534664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61" xr:uid="{D1D097BD-4EC7-40A5-8F25-792174E66CC1}"/>
    <cellStyle name="Comma [0] 2 3 2 2 3" xfId="603" xr:uid="{00000000-0005-0000-0000-00005B020000}"/>
    <cellStyle name="Comma [0] 2 3 2 2 3 2" xfId="2962" xr:uid="{006F424C-184C-4E04-AC8E-5E2B4E92FCE3}"/>
    <cellStyle name="Comma [0] 2 3 2 2 4" xfId="604" xr:uid="{00000000-0005-0000-0000-00005C020000}"/>
    <cellStyle name="Comma [0] 2 3 2 2 4 2" xfId="2963" xr:uid="{CDF42494-4F94-4446-B6F3-28CC0FB515F0}"/>
    <cellStyle name="Comma [0] 2 3 2 2 5" xfId="2960" xr:uid="{22A765A4-11D6-48BC-B3A2-FFAB9E566613}"/>
    <cellStyle name="Comma [0] 2 3 2 3" xfId="605" xr:uid="{00000000-0005-0000-0000-00005D020000}"/>
    <cellStyle name="Comma [0] 2 3 2 3 2" xfId="2964" xr:uid="{45F0DB60-0164-443E-B644-C6C488F178C8}"/>
    <cellStyle name="Comma [0] 2 3 2 4" xfId="606" xr:uid="{00000000-0005-0000-0000-00005E020000}"/>
    <cellStyle name="Comma [0] 2 3 2 4 2" xfId="2965" xr:uid="{5CBA6580-E16C-486F-95D5-4A6726D790C6}"/>
    <cellStyle name="Comma [0] 2 3 2 5" xfId="607" xr:uid="{00000000-0005-0000-0000-00005F020000}"/>
    <cellStyle name="Comma [0] 2 3 2 5 2" xfId="2966" xr:uid="{F15681E5-3ACD-4739-8427-CBAC7B4E15C0}"/>
    <cellStyle name="Comma [0] 2 3 2 6" xfId="608" xr:uid="{00000000-0005-0000-0000-000060020000}"/>
    <cellStyle name="Comma [0] 2 3 2 6 2" xfId="2967" xr:uid="{A3830079-B6F7-4286-A60A-4DD9404554B1}"/>
    <cellStyle name="Comma [0] 2 3 2 7" xfId="2959" xr:uid="{6EB8DA83-D26B-4ECD-8029-36217766943B}"/>
    <cellStyle name="Comma [0] 2 3 3" xfId="609" xr:uid="{00000000-0005-0000-0000-000061020000}"/>
    <cellStyle name="Comma [0] 2 3 3 2" xfId="2968" xr:uid="{3CF2C121-6660-4F22-90F5-D36CF3F10943}"/>
    <cellStyle name="Comma [0] 2 3 4" xfId="610" xr:uid="{00000000-0005-0000-0000-000062020000}"/>
    <cellStyle name="Comma [0] 2 3 4 2" xfId="2969" xr:uid="{94549D73-DF6D-4D13-AA01-6F1C6D560364}"/>
    <cellStyle name="Comma [0] 2 3 5" xfId="611" xr:uid="{00000000-0005-0000-0000-000063020000}"/>
    <cellStyle name="Comma [0] 2 3 5 2" xfId="2970" xr:uid="{C15EFB05-6420-47B1-9B5C-4F10D496034E}"/>
    <cellStyle name="Comma [0] 2 3 6" xfId="612" xr:uid="{00000000-0005-0000-0000-000064020000}"/>
    <cellStyle name="Comma [0] 2 3 6 2" xfId="2971" xr:uid="{9787C73C-58B6-47FC-B30A-9C791F024273}"/>
    <cellStyle name="Comma [0] 2 3 7" xfId="613" xr:uid="{00000000-0005-0000-0000-000065020000}"/>
    <cellStyle name="Comma [0] 2 3 7 2" xfId="2972" xr:uid="{6F59CAF6-4C22-459F-BE19-FBE266B4D4A9}"/>
    <cellStyle name="Comma [0] 2 3 8" xfId="614" xr:uid="{00000000-0005-0000-0000-000066020000}"/>
    <cellStyle name="Comma [0] 2 3 8 2" xfId="2973" xr:uid="{BCA1BFD1-BF65-4F2E-B48D-CF8C95489BE9}"/>
    <cellStyle name="Comma [0] 2 3 9" xfId="2958" xr:uid="{3BF2889F-CB13-41F2-BFCA-DBCF83DFCB83}"/>
    <cellStyle name="Comma [0] 2 4" xfId="615" xr:uid="{00000000-0005-0000-0000-000067020000}"/>
    <cellStyle name="Comma [0] 2 4 2" xfId="616" xr:uid="{00000000-0005-0000-0000-000068020000}"/>
    <cellStyle name="Comma [0] 2 4 2 2" xfId="2974" xr:uid="{8C121DA3-D6A9-456A-9C17-EEAB20A51916}"/>
    <cellStyle name="Comma [0] 2 4 3" xfId="617" xr:uid="{00000000-0005-0000-0000-000069020000}"/>
    <cellStyle name="Comma [0] 2 4 3 2" xfId="2975" xr:uid="{012C6777-2397-4C1F-9761-20D450BD5916}"/>
    <cellStyle name="Comma [0] 2 4 4" xfId="618" xr:uid="{00000000-0005-0000-0000-00006A020000}"/>
    <cellStyle name="Comma [0] 2 4 4 2" xfId="2976" xr:uid="{4C0A4133-E7ED-4CBE-88A1-8747EB28F303}"/>
    <cellStyle name="Comma [0] 2 4 5" xfId="619" xr:uid="{00000000-0005-0000-0000-00006B020000}"/>
    <cellStyle name="Comma [0] 2 4 5 2" xfId="620" xr:uid="{00000000-0005-0000-0000-00006C020000}"/>
    <cellStyle name="Comma [0] 2 4 5 2 2" xfId="2978" xr:uid="{FFB89862-1E8E-478D-A644-CB5D95AFBE6E}"/>
    <cellStyle name="Comma [0] 2 4 5 3" xfId="2977" xr:uid="{082E8201-6D00-4655-B184-36AC1D658748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0" xr:uid="{A4D12367-8C5C-46A5-9717-B1F384BAA0DA}"/>
    <cellStyle name="Comma [0] 2 5 3" xfId="624" xr:uid="{00000000-0005-0000-0000-000070020000}"/>
    <cellStyle name="Comma [0] 2 5 3 2" xfId="2981" xr:uid="{12810D3C-4E1B-452F-B3EC-319F48601EE6}"/>
    <cellStyle name="Comma [0] 2 5 4" xfId="625" xr:uid="{00000000-0005-0000-0000-000071020000}"/>
    <cellStyle name="Comma [0] 2 5 4 2" xfId="2982" xr:uid="{4563660B-617E-43BF-81E7-3BD2826C7206}"/>
    <cellStyle name="Comma [0] 2 5 5" xfId="2979" xr:uid="{3EF13CD9-0C5B-4423-9A7B-D000D12CC418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88" xr:uid="{4DFD5934-E910-4A8C-918E-27E059D49EC5}"/>
    <cellStyle name="Comma [0] 2 6 2 2 2 2 3" xfId="632" xr:uid="{00000000-0005-0000-0000-000078020000}"/>
    <cellStyle name="Comma [0] 2 6 2 2 2 2 3 2" xfId="2989" xr:uid="{40E55944-895E-48EC-8D86-A91CDD6356F0}"/>
    <cellStyle name="Comma [0] 2 6 2 2 2 2 4" xfId="633" xr:uid="{00000000-0005-0000-0000-000079020000}"/>
    <cellStyle name="Comma [0] 2 6 2 2 2 2 4 2" xfId="2990" xr:uid="{EFA6CB09-33D7-401C-A9C1-CD4D406C2697}"/>
    <cellStyle name="Comma [0] 2 6 2 2 2 2 5" xfId="634" xr:uid="{00000000-0005-0000-0000-00007A020000}"/>
    <cellStyle name="Comma [0] 2 6 2 2 2 2 5 2" xfId="2991" xr:uid="{943F02AA-FB1F-4407-B48A-EFA03B684688}"/>
    <cellStyle name="Comma [0] 2 6 2 2 2 2 6" xfId="2987" xr:uid="{65C16C8A-7D14-44FD-ADB2-E95459BAFC91}"/>
    <cellStyle name="Comma [0] 2 6 2 2 2 3" xfId="635" xr:uid="{00000000-0005-0000-0000-00007B020000}"/>
    <cellStyle name="Comma [0] 2 6 2 2 2 3 2" xfId="2992" xr:uid="{4FCCB537-D81D-4A5C-8765-26F477DEF42D}"/>
    <cellStyle name="Comma [0] 2 6 2 2 2 4" xfId="636" xr:uid="{00000000-0005-0000-0000-00007C020000}"/>
    <cellStyle name="Comma [0] 2 6 2 2 2 4 2" xfId="2993" xr:uid="{5EC1D35A-4F59-4239-AB6E-8C4AF6D5F5DE}"/>
    <cellStyle name="Comma [0] 2 6 2 2 2 5" xfId="637" xr:uid="{00000000-0005-0000-0000-00007D020000}"/>
    <cellStyle name="Comma [0] 2 6 2 2 2 5 2" xfId="2994" xr:uid="{63F19988-413D-4577-9F06-2CC6C8132674}"/>
    <cellStyle name="Comma [0] 2 6 2 2 2 6" xfId="2986" xr:uid="{876B1AA7-939E-498A-90AD-33697C6E91DF}"/>
    <cellStyle name="Comma [0] 2 6 2 2 3" xfId="638" xr:uid="{00000000-0005-0000-0000-00007E020000}"/>
    <cellStyle name="Comma [0] 2 6 2 2 3 2" xfId="2995" xr:uid="{7ED31C72-3E50-401B-9A6F-C0EEA1999F97}"/>
    <cellStyle name="Comma [0] 2 6 2 2 4" xfId="639" xr:uid="{00000000-0005-0000-0000-00007F020000}"/>
    <cellStyle name="Comma [0] 2 6 2 2 4 2" xfId="2996" xr:uid="{95CA62D6-65AF-400B-8AD1-B7C7607DC915}"/>
    <cellStyle name="Comma [0] 2 6 2 2 5" xfId="640" xr:uid="{00000000-0005-0000-0000-000080020000}"/>
    <cellStyle name="Comma [0] 2 6 2 2 5 2" xfId="2997" xr:uid="{4673528B-E5AA-4B99-8CCF-1CE07EA16751}"/>
    <cellStyle name="Comma [0] 2 6 2 2 6" xfId="2985" xr:uid="{CDD3E0A0-34AB-4C9B-B4FA-30C48751784A}"/>
    <cellStyle name="Comma [0] 2 6 2 3" xfId="641" xr:uid="{00000000-0005-0000-0000-000081020000}"/>
    <cellStyle name="Comma [0] 2 6 2 3 2" xfId="2998" xr:uid="{51FA71A9-FDFC-4118-BCCB-F20DDCDB03D4}"/>
    <cellStyle name="Comma [0] 2 6 2 4" xfId="642" xr:uid="{00000000-0005-0000-0000-000082020000}"/>
    <cellStyle name="Comma [0] 2 6 2 4 2" xfId="2999" xr:uid="{CA8F9960-DB0B-4A9F-AE22-801758A0FDC1}"/>
    <cellStyle name="Comma [0] 2 6 2 5" xfId="643" xr:uid="{00000000-0005-0000-0000-000083020000}"/>
    <cellStyle name="Comma [0] 2 6 2 5 2" xfId="3000" xr:uid="{C5F4BE62-FF3B-4C17-A3C2-CD947B0E332E}"/>
    <cellStyle name="Comma [0] 2 6 2 6" xfId="2984" xr:uid="{BEE4E192-293A-462F-8894-073AC7E49D5E}"/>
    <cellStyle name="Comma [0] 2 6 3" xfId="644" xr:uid="{00000000-0005-0000-0000-000084020000}"/>
    <cellStyle name="Comma [0] 2 6 3 2" xfId="3001" xr:uid="{F8B40E64-27AD-48CE-AA76-C9E53EBE36E4}"/>
    <cellStyle name="Comma [0] 2 6 4" xfId="645" xr:uid="{00000000-0005-0000-0000-000085020000}"/>
    <cellStyle name="Comma [0] 2 6 4 2" xfId="3002" xr:uid="{1B3A254A-3838-47A4-B167-99F7B77EE193}"/>
    <cellStyle name="Comma [0] 2 6 5" xfId="646" xr:uid="{00000000-0005-0000-0000-000086020000}"/>
    <cellStyle name="Comma [0] 2 6 5 2" xfId="3003" xr:uid="{2835ED5D-3F9F-4ED0-BA4E-2DCEF98C5C57}"/>
    <cellStyle name="Comma [0] 2 6 6" xfId="2983" xr:uid="{EFEE7595-133D-4670-B5AF-C4B1083B2C5A}"/>
    <cellStyle name="Comma [0] 2 7" xfId="647" xr:uid="{00000000-0005-0000-0000-000087020000}"/>
    <cellStyle name="Comma [0] 2 7 2" xfId="648" xr:uid="{00000000-0005-0000-0000-000088020000}"/>
    <cellStyle name="Comma [0] 2 7 2 2" xfId="3005" xr:uid="{7F020AEA-D182-4FDB-AD97-AA5DFADF6491}"/>
    <cellStyle name="Comma [0] 2 7 3" xfId="3004" xr:uid="{1ED447AB-3443-4526-AFCF-692EE9B0A0D7}"/>
    <cellStyle name="Comma [0] 2 8" xfId="649" xr:uid="{00000000-0005-0000-0000-000089020000}"/>
    <cellStyle name="Comma [0] 2 8 2" xfId="3006" xr:uid="{E05B3262-4EAD-4A20-86E5-5F97E9237D4A}"/>
    <cellStyle name="Comma [0] 2 9" xfId="650" xr:uid="{00000000-0005-0000-0000-00008A020000}"/>
    <cellStyle name="Comma [0] 2 9 2" xfId="3007" xr:uid="{8584A88A-1EE7-46D6-BA92-881F2F5FA37F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08" xr:uid="{5BC5821B-04B9-441F-B260-4AF66280630E}"/>
    <cellStyle name="Comma [0] 23" xfId="656" xr:uid="{00000000-0005-0000-0000-000090020000}"/>
    <cellStyle name="Comma [0] 23 2" xfId="3009" xr:uid="{0894C3DC-9A1A-4B21-81DC-2E9D8AE736FA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012" xr:uid="{D163F960-4394-43D3-905D-93CFE7CDF6F8}"/>
    <cellStyle name="Comma [0] 24 2 3" xfId="3011" xr:uid="{8FE97479-EA49-45ED-A0E0-659F41508B9F}"/>
    <cellStyle name="Comma [0] 24 3" xfId="660" xr:uid="{00000000-0005-0000-0000-000094020000}"/>
    <cellStyle name="Comma [0] 24 3 2" xfId="3013" xr:uid="{BF57D71E-74AA-4878-8253-50E245EC9E6F}"/>
    <cellStyle name="Comma [0] 24 4" xfId="3010" xr:uid="{383DA908-807A-4548-AFCF-7CCAD5367609}"/>
    <cellStyle name="Comma [0] 25" xfId="661" xr:uid="{00000000-0005-0000-0000-000095020000}"/>
    <cellStyle name="Comma [0] 25 2" xfId="3014" xr:uid="{B1804B23-0ECD-41AA-B390-41CF659DF404}"/>
    <cellStyle name="Comma [0] 26" xfId="662" xr:uid="{00000000-0005-0000-0000-000096020000}"/>
    <cellStyle name="Comma [0] 26 2" xfId="3015" xr:uid="{7B57D080-5EB0-4DB7-B2A1-1AE8B67B4007}"/>
    <cellStyle name="Comma [0] 27" xfId="663" xr:uid="{00000000-0005-0000-0000-000097020000}"/>
    <cellStyle name="Comma [0] 27 2" xfId="664" xr:uid="{00000000-0005-0000-0000-000098020000}"/>
    <cellStyle name="Comma [0] 27 2 2" xfId="3017" xr:uid="{5C97CFCF-0C9B-4041-805D-67484027489F}"/>
    <cellStyle name="Comma [0] 27 3" xfId="3016" xr:uid="{500CE680-373F-4A24-8A92-66AEAFC66DD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77F0263E-DBE8-4977-A65E-78EBC6982435}"/>
    <cellStyle name="Comma [0] 3 2 3" xfId="668" xr:uid="{00000000-0005-0000-0000-00009C020000}"/>
    <cellStyle name="Comma [0] 3 2 3 2" xfId="3021" xr:uid="{F2C15DF4-9AB7-4360-94A9-4E69160EA650}"/>
    <cellStyle name="Comma [0] 3 2 4" xfId="3019" xr:uid="{4479A7AA-A71E-4E39-B35E-682E0621F1EB}"/>
    <cellStyle name="Comma [0] 3 3" xfId="669" xr:uid="{00000000-0005-0000-0000-00009D020000}"/>
    <cellStyle name="Comma [0] 3 3 2" xfId="3022" xr:uid="{F91037BC-6239-41FE-A0E2-45146B6407BD}"/>
    <cellStyle name="Comma [0] 3 4" xfId="3018" xr:uid="{A7A2C615-B225-4F6C-A7A0-FBC93A7279BF}"/>
    <cellStyle name="Comma [0] 32" xfId="670" xr:uid="{00000000-0005-0000-0000-00009E020000}"/>
    <cellStyle name="Comma [0] 32 2" xfId="671" xr:uid="{00000000-0005-0000-0000-00009F020000}"/>
    <cellStyle name="Comma [0] 32 2 2" xfId="3024" xr:uid="{B363D0FD-C721-4BEE-BFC9-F1F88A0FA18C}"/>
    <cellStyle name="Comma [0] 32 3" xfId="3023" xr:uid="{795109B9-8F54-4B70-A758-82939645A297}"/>
    <cellStyle name="Comma [0] 35" xfId="672" xr:uid="{00000000-0005-0000-0000-0000A0020000}"/>
    <cellStyle name="Comma [0] 35 2" xfId="3025" xr:uid="{BF4B94E2-A05C-4BBE-B385-3161FCA55D6A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028" xr:uid="{138200A7-66DB-4215-8353-FAF2298FEE63}"/>
    <cellStyle name="Comma [0] 4 2 3" xfId="3027" xr:uid="{9850162B-B143-46C3-95D8-90B98C26147B}"/>
    <cellStyle name="Comma [0] 4 3" xfId="676" xr:uid="{00000000-0005-0000-0000-0000A4020000}"/>
    <cellStyle name="Comma [0] 4 3 2" xfId="677" xr:uid="{00000000-0005-0000-0000-0000A5020000}"/>
    <cellStyle name="Comma [0] 4 3 2 2" xfId="3030" xr:uid="{B8C35267-5A90-42F4-95DC-25E8F69D0C66}"/>
    <cellStyle name="Comma [0] 4 3 3" xfId="3029" xr:uid="{D5F09C67-A75B-4548-BB14-81235731D7F7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031" xr:uid="{26A0840C-35E9-45FD-AD2C-4C1F768FDFC1}"/>
    <cellStyle name="Comma [0] 4 6" xfId="681" xr:uid="{00000000-0005-0000-0000-0000A9020000}"/>
    <cellStyle name="Comma [0] 4 6 2" xfId="3032" xr:uid="{55376832-9521-4A23-9D87-B60F6BD389B7}"/>
    <cellStyle name="Comma [0] 4 7" xfId="3026" xr:uid="{545690EE-A30C-4A72-953C-C578FBEBE508}"/>
    <cellStyle name="Comma [0] 5" xfId="682" xr:uid="{00000000-0005-0000-0000-0000AA020000}"/>
    <cellStyle name="Comma [0] 5 2" xfId="683" xr:uid="{00000000-0005-0000-0000-0000AB020000}"/>
    <cellStyle name="Comma [0] 5 2 2" xfId="3034" xr:uid="{6AC777C7-C86E-4946-A5B6-3594D7B63251}"/>
    <cellStyle name="Comma [0] 5 3" xfId="684" xr:uid="{00000000-0005-0000-0000-0000AC020000}"/>
    <cellStyle name="Comma [0] 5 3 2" xfId="3035" xr:uid="{AD8825FF-1B9D-41AC-9577-F9F8A75DC6DF}"/>
    <cellStyle name="Comma [0] 5 4" xfId="3033" xr:uid="{DEB5C694-057A-4D8C-898A-3132B3784886}"/>
    <cellStyle name="Comma [0] 6" xfId="685" xr:uid="{00000000-0005-0000-0000-0000AD020000}"/>
    <cellStyle name="Comma [0] 6 2" xfId="686" xr:uid="{00000000-0005-0000-0000-0000AE020000}"/>
    <cellStyle name="Comma [0] 6 2 2" xfId="3037" xr:uid="{78306776-946C-49CD-B449-59892BE864C0}"/>
    <cellStyle name="Comma [0] 6 3" xfId="687" xr:uid="{00000000-0005-0000-0000-0000AF020000}"/>
    <cellStyle name="Comma [0] 6 3 2" xfId="688" xr:uid="{00000000-0005-0000-0000-0000B0020000}"/>
    <cellStyle name="Comma [0] 6 3 2 2" xfId="3039" xr:uid="{C43EA354-4691-4C67-9FC8-E2310BF469F1}"/>
    <cellStyle name="Comma [0] 6 3 3" xfId="3038" xr:uid="{67342C67-B0E8-4047-BC5A-66FDEF9A6C19}"/>
    <cellStyle name="Comma [0] 6 4" xfId="3036" xr:uid="{47BD30D5-DE40-443F-95BE-29104FBBF641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041" xr:uid="{00CF038E-3CDA-4BD4-9706-4D76E6829040}"/>
    <cellStyle name="Comma [0] 7 2 3" xfId="3040" xr:uid="{96430133-3FBF-48D7-81FA-B1CD88EA941C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044" xr:uid="{0E3E0B74-5E5D-46DB-B495-E9FA6491D1CE}"/>
    <cellStyle name="Comma [0] 8 2 3" xfId="3043" xr:uid="{08366CA3-134B-4B7A-89C2-2108B61A7AD3}"/>
    <cellStyle name="Comma [0] 8 3" xfId="696" xr:uid="{00000000-0005-0000-0000-0000B8020000}"/>
    <cellStyle name="Comma [0] 8 3 2" xfId="697" xr:uid="{00000000-0005-0000-0000-0000B9020000}"/>
    <cellStyle name="Comma [0] 8 3 2 2" xfId="3046" xr:uid="{36219475-9A67-4DF0-A539-1632A2643629}"/>
    <cellStyle name="Comma [0] 8 3 3" xfId="3045" xr:uid="{1BB4C569-5793-43D9-8713-894BEC8382DA}"/>
    <cellStyle name="Comma [0] 8 4" xfId="698" xr:uid="{00000000-0005-0000-0000-0000BA020000}"/>
    <cellStyle name="Comma [0] 8 4 2" xfId="3047" xr:uid="{66743B95-24F3-4410-92D0-1DFE44D0BA40}"/>
    <cellStyle name="Comma [0] 8 5" xfId="3042" xr:uid="{250D7CDF-A04D-44C8-9839-89B76292A879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050" xr:uid="{4D2AC57E-C053-4CFA-BFA6-D9668F04E1D7}"/>
    <cellStyle name="Comma [0] 9 2 3" xfId="3049" xr:uid="{5127B433-56BD-4108-B0E1-FB352DB71DFA}"/>
    <cellStyle name="Comma [0] 9 3" xfId="702" xr:uid="{00000000-0005-0000-0000-0000BE020000}"/>
    <cellStyle name="Comma [0] 9 3 2" xfId="703" xr:uid="{00000000-0005-0000-0000-0000BF020000}"/>
    <cellStyle name="Comma [0] 9 3 2 2" xfId="3052" xr:uid="{13BAA8A0-6DE8-4127-96DB-7918C81629B1}"/>
    <cellStyle name="Comma [0] 9 3 3" xfId="3051" xr:uid="{E900F09F-A199-43F2-B4B6-264D89556BB5}"/>
    <cellStyle name="Comma [0] 9 4" xfId="3048" xr:uid="{FC02838A-C80F-40F1-A07E-32AAE509FA18}"/>
    <cellStyle name="Comma [0] 90" xfId="704" xr:uid="{00000000-0005-0000-0000-0000C0020000}"/>
    <cellStyle name="Comma [0] 90 2" xfId="705" xr:uid="{00000000-0005-0000-0000-0000C1020000}"/>
    <cellStyle name="Comma [0] 90 2 2" xfId="3054" xr:uid="{B7739C67-F2C2-4AF6-AB43-B1E871F88542}"/>
    <cellStyle name="Comma [0] 90 3" xfId="3053" xr:uid="{D9923536-3DE3-4FA1-8A09-E2D6FC8C46C2}"/>
    <cellStyle name="Comma [0] 91" xfId="706" xr:uid="{00000000-0005-0000-0000-0000C2020000}"/>
    <cellStyle name="Comma [0] 91 2" xfId="707" xr:uid="{00000000-0005-0000-0000-0000C3020000}"/>
    <cellStyle name="Comma [0] 91 2 2" xfId="3056" xr:uid="{2DA0F6E5-E285-4145-B2B3-54257CACA2D4}"/>
    <cellStyle name="Comma [0] 91 3" xfId="3055" xr:uid="{D8B48E38-A43A-47E9-AD39-F6BF13905AA8}"/>
    <cellStyle name="Comma [0] 93" xfId="708" xr:uid="{00000000-0005-0000-0000-0000C4020000}"/>
    <cellStyle name="Comma [0] 93 2" xfId="709" xr:uid="{00000000-0005-0000-0000-0000C5020000}"/>
    <cellStyle name="Comma [0] 93 2 2" xfId="3058" xr:uid="{F08D3676-2FA4-46A5-B1FB-AF61C8081EBF}"/>
    <cellStyle name="Comma [0] 93 3" xfId="3057" xr:uid="{BE0989C4-0136-4D7D-AA7E-842D1460BB6F}"/>
    <cellStyle name="Comma [0] 94" xfId="710" xr:uid="{00000000-0005-0000-0000-0000C6020000}"/>
    <cellStyle name="Comma [0] 94 2" xfId="711" xr:uid="{00000000-0005-0000-0000-0000C7020000}"/>
    <cellStyle name="Comma [0] 94 2 2" xfId="3060" xr:uid="{91A0F187-F764-4CFE-B705-6FCCCAE89DA8}"/>
    <cellStyle name="Comma [0] 94 3" xfId="3059" xr:uid="{789912BC-B424-40BF-899B-5CD32B3273E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063" xr:uid="{A21E4736-DB64-447B-A638-2E8751B2E58C}"/>
    <cellStyle name="Comma 10 2 2 3" xfId="3062" xr:uid="{778D3243-E822-4827-8D8B-2FFA20600327}"/>
    <cellStyle name="Comma 10 2 3" xfId="718" xr:uid="{00000000-0005-0000-0000-0000CE020000}"/>
    <cellStyle name="Comma 10 2 3 2" xfId="3064" xr:uid="{BBFBAC0B-B65D-43EE-9C5D-28BDDC5898FC}"/>
    <cellStyle name="Comma 10 2 4" xfId="3061" xr:uid="{62DB4D69-487A-4459-8C50-6DC4BFB35C6D}"/>
    <cellStyle name="Comma 10 3" xfId="719" xr:uid="{00000000-0005-0000-0000-0000CF020000}"/>
    <cellStyle name="Comma 10 3 2" xfId="720" xr:uid="{00000000-0005-0000-0000-0000D0020000}"/>
    <cellStyle name="Comma 10 3 2 2" xfId="3066" xr:uid="{00200568-01C3-4C29-A61F-E1E348EDF51D}"/>
    <cellStyle name="Comma 10 3 3" xfId="3065" xr:uid="{0EDE7DE2-771B-45A9-BF29-5813F8FC72CA}"/>
    <cellStyle name="Comma 10 4" xfId="721" xr:uid="{00000000-0005-0000-0000-0000D1020000}"/>
    <cellStyle name="Comma 10 4 2" xfId="722" xr:uid="{00000000-0005-0000-0000-0000D2020000}"/>
    <cellStyle name="Comma 10 4 2 2" xfId="3068" xr:uid="{DFAFB76A-1BA9-48A3-92FC-5DE7A9D2174F}"/>
    <cellStyle name="Comma 10 4 3" xfId="3067" xr:uid="{B80FF5F8-860E-4245-B2A6-3107A41E627D}"/>
    <cellStyle name="Comma 10 5" xfId="723" xr:uid="{00000000-0005-0000-0000-0000D3020000}"/>
    <cellStyle name="Comma 10 5 2" xfId="724" xr:uid="{00000000-0005-0000-0000-0000D4020000}"/>
    <cellStyle name="Comma 10 5 2 2" xfId="3070" xr:uid="{B1F91B42-11DC-4A4F-9832-AF7E085D8FFC}"/>
    <cellStyle name="Comma 10 5 3" xfId="3069" xr:uid="{7C81B354-B226-4524-9E90-04AFFB398410}"/>
    <cellStyle name="Comma 10 6" xfId="725" xr:uid="{00000000-0005-0000-0000-0000D5020000}"/>
    <cellStyle name="Comma 10 6 2" xfId="726" xr:uid="{00000000-0005-0000-0000-0000D6020000}"/>
    <cellStyle name="Comma 10 6 2 2" xfId="3072" xr:uid="{A7C6D719-366C-4B9F-AAE6-BA3DA41C57ED}"/>
    <cellStyle name="Comma 10 6 3" xfId="3071" xr:uid="{873E9215-8AFD-4B66-98EF-616FACF55449}"/>
    <cellStyle name="Comma 10 7" xfId="727" xr:uid="{00000000-0005-0000-0000-0000D7020000}"/>
    <cellStyle name="Comma 10 7 2" xfId="3073" xr:uid="{FFA3376C-0F3D-43E7-BAF2-41DC5476324F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075" xr:uid="{9389D61B-B79D-4FCD-BAA4-AFE580CE195A}"/>
    <cellStyle name="Comma 11 3" xfId="3074" xr:uid="{4C4F2087-E330-4B95-8356-A909264A987B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078" xr:uid="{0A27E742-0635-4FD8-87C5-EBC48D0A46C6}"/>
    <cellStyle name="Comma 12 2 3" xfId="3077" xr:uid="{151F3767-60E1-4FFD-9E48-585D5DFB4D46}"/>
    <cellStyle name="Comma 12 3" xfId="734" xr:uid="{00000000-0005-0000-0000-0000DE020000}"/>
    <cellStyle name="Comma 12 3 2" xfId="735" xr:uid="{00000000-0005-0000-0000-0000DF020000}"/>
    <cellStyle name="Comma 12 3 2 2" xfId="3080" xr:uid="{0548E1E1-F511-43FB-AB65-7D8C0FF5D734}"/>
    <cellStyle name="Comma 12 3 3" xfId="3079" xr:uid="{F4A6E628-A15E-4221-A679-01A3A933ED70}"/>
    <cellStyle name="Comma 12 4" xfId="736" xr:uid="{00000000-0005-0000-0000-0000E0020000}"/>
    <cellStyle name="Comma 12 4 2" xfId="737" xr:uid="{00000000-0005-0000-0000-0000E1020000}"/>
    <cellStyle name="Comma 12 4 2 2" xfId="3082" xr:uid="{AD001412-F01C-41FC-9EF7-D32C667C4325}"/>
    <cellStyle name="Comma 12 4 3" xfId="3081" xr:uid="{7ED206B4-31A4-45B1-8337-0DC823FE3E64}"/>
    <cellStyle name="Comma 12 5" xfId="738" xr:uid="{00000000-0005-0000-0000-0000E2020000}"/>
    <cellStyle name="Comma 12 5 2" xfId="739" xr:uid="{00000000-0005-0000-0000-0000E3020000}"/>
    <cellStyle name="Comma 12 5 2 2" xfId="3084" xr:uid="{CD688767-BC1A-493A-8330-D99F771937B0}"/>
    <cellStyle name="Comma 12 5 3" xfId="3083" xr:uid="{81F06C03-8DE9-43CA-B2D0-59C49762D2F7}"/>
    <cellStyle name="Comma 12 6" xfId="740" xr:uid="{00000000-0005-0000-0000-0000E4020000}"/>
    <cellStyle name="Comma 12 6 2" xfId="741" xr:uid="{00000000-0005-0000-0000-0000E5020000}"/>
    <cellStyle name="Comma 12 6 2 2" xfId="3086" xr:uid="{532C703C-E304-45F1-B9AD-2023CA166936}"/>
    <cellStyle name="Comma 12 6 3" xfId="3085" xr:uid="{110DF827-2981-473B-9A39-DFE066E82B8F}"/>
    <cellStyle name="Comma 12 7" xfId="742" xr:uid="{00000000-0005-0000-0000-0000E6020000}"/>
    <cellStyle name="Comma 12 7 2" xfId="3087" xr:uid="{D3496648-FC36-468D-B012-8B25B78E3F35}"/>
    <cellStyle name="Comma 12 8" xfId="3076" xr:uid="{CF6332C6-2F3F-4B68-B86A-3AFC9A387657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090" xr:uid="{707B84F7-A463-4B6A-BD5C-F0D32B6B6DFD}"/>
    <cellStyle name="Comma 13 2 3" xfId="3089" xr:uid="{2853E5A6-5C6B-42D7-9344-0D6CE7770193}"/>
    <cellStyle name="Comma 13 3" xfId="746" xr:uid="{00000000-0005-0000-0000-0000EA020000}"/>
    <cellStyle name="Comma 13 3 2" xfId="3091" xr:uid="{C235EEB3-876D-4353-8E8C-C13D82CEB075}"/>
    <cellStyle name="Comma 13 4" xfId="3088" xr:uid="{14573F7B-7225-4829-A8A4-53F9541C98CC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095" xr:uid="{E8D0B229-2198-4AFE-A0E9-DCAA11E4DAE1}"/>
    <cellStyle name="Comma 14 2 2 3" xfId="3094" xr:uid="{6360E31B-DC5A-41D0-BC39-696981847035}"/>
    <cellStyle name="Comma 14 2 3" xfId="751" xr:uid="{00000000-0005-0000-0000-0000EF020000}"/>
    <cellStyle name="Comma 14 2 3 2" xfId="3096" xr:uid="{807ECE62-5AD4-40F2-B913-17781E8E8B35}"/>
    <cellStyle name="Comma 14 2 4" xfId="3093" xr:uid="{283535E5-348C-4AC0-80F3-278010F7C4C8}"/>
    <cellStyle name="Comma 14 3" xfId="752" xr:uid="{00000000-0005-0000-0000-0000F0020000}"/>
    <cellStyle name="Comma 14 3 2" xfId="3097" xr:uid="{C02F0E40-1FC0-4B0D-97D3-CA8CC0703429}"/>
    <cellStyle name="Comma 14 4" xfId="3092" xr:uid="{6381A218-2559-4933-A622-C2A0D856378E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3100" xr:uid="{C692F714-F98F-4828-94E3-EAF8AFDC5DB7}"/>
    <cellStyle name="Comma 15 2 3" xfId="3099" xr:uid="{9447B671-AF4D-4DC0-B2E7-3CAE5C0E522A}"/>
    <cellStyle name="Comma 15 3" xfId="756" xr:uid="{00000000-0005-0000-0000-0000F4020000}"/>
    <cellStyle name="Comma 15 3 2" xfId="757" xr:uid="{00000000-0005-0000-0000-0000F5020000}"/>
    <cellStyle name="Comma 15 3 2 2" xfId="3102" xr:uid="{4FC1C1D2-EB0C-45EE-A5BE-3C71724ABCA7}"/>
    <cellStyle name="Comma 15 3 3" xfId="3101" xr:uid="{F2595AEA-6DA1-4F8E-8BDD-A483015E4B37}"/>
    <cellStyle name="Comma 15 4" xfId="758" xr:uid="{00000000-0005-0000-0000-0000F6020000}"/>
    <cellStyle name="Comma 15 4 2" xfId="759" xr:uid="{00000000-0005-0000-0000-0000F7020000}"/>
    <cellStyle name="Comma 15 4 2 2" xfId="3104" xr:uid="{9F2447CC-A9D8-4577-A73F-91BFD14A4231}"/>
    <cellStyle name="Comma 15 4 3" xfId="3103" xr:uid="{C4550236-8AA5-475E-8826-77D42DED22C2}"/>
    <cellStyle name="Comma 15 5" xfId="760" xr:uid="{00000000-0005-0000-0000-0000F8020000}"/>
    <cellStyle name="Comma 15 5 2" xfId="3105" xr:uid="{C9E082C2-EF63-4E20-8FF7-28B61CAE0A50}"/>
    <cellStyle name="Comma 15 6" xfId="3098" xr:uid="{E6885F27-BCC0-44D3-A611-80C16CF03C7F}"/>
    <cellStyle name="Comma 16" xfId="761" xr:uid="{00000000-0005-0000-0000-0000F9020000}"/>
    <cellStyle name="Comma 16 2" xfId="762" xr:uid="{00000000-0005-0000-0000-0000FA020000}"/>
    <cellStyle name="Comma 16 2 2" xfId="3107" xr:uid="{F88456D9-EF83-421A-B01B-B3AC4A33E81C}"/>
    <cellStyle name="Comma 16 3" xfId="3106" xr:uid="{39D7E679-8A3E-473D-AC7D-4BF61098CB8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3110" xr:uid="{B5642BD8-8D3D-424B-A621-FE2DD3BAE439}"/>
    <cellStyle name="Comma 17 2 3" xfId="3109" xr:uid="{29664B7C-0F24-4636-818D-454998FF9292}"/>
    <cellStyle name="Comma 17 3" xfId="3108" xr:uid="{AC4E3E55-872E-4F96-95C2-9258410973D5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3113" xr:uid="{C9880DB0-0F33-4FE7-8A78-65624614E587}"/>
    <cellStyle name="Comma 18 2 3" xfId="3112" xr:uid="{B1F9E46F-D490-4742-A376-3E72159EE66B}"/>
    <cellStyle name="Comma 18 3" xfId="769" xr:uid="{00000000-0005-0000-0000-000001030000}"/>
    <cellStyle name="Comma 18 3 2" xfId="3114" xr:uid="{521416E6-A0F6-4456-8BD9-47B6CD70B507}"/>
    <cellStyle name="Comma 18 4" xfId="3111" xr:uid="{BE6E05A9-61E9-4A9E-B31C-5871122AE6B1}"/>
    <cellStyle name="Comma 19" xfId="770" xr:uid="{00000000-0005-0000-0000-000002030000}"/>
    <cellStyle name="Comma 19 2" xfId="771" xr:uid="{00000000-0005-0000-0000-000003030000}"/>
    <cellStyle name="Comma 19 2 2" xfId="3116" xr:uid="{578A9950-48C1-4E26-B2E2-90F816D1BA69}"/>
    <cellStyle name="Comma 19 3" xfId="772" xr:uid="{00000000-0005-0000-0000-000004030000}"/>
    <cellStyle name="Comma 19 3 2" xfId="3117" xr:uid="{17123AEE-992A-4A00-AE6E-37F0BB595347}"/>
    <cellStyle name="Comma 19 4" xfId="773" xr:uid="{00000000-0005-0000-0000-000005030000}"/>
    <cellStyle name="Comma 19 4 2" xfId="3118" xr:uid="{39A88A03-6101-479D-BAD4-644E42A22AEC}"/>
    <cellStyle name="Comma 19 5" xfId="774" xr:uid="{00000000-0005-0000-0000-000006030000}"/>
    <cellStyle name="Comma 19 5 2" xfId="3119" xr:uid="{2D8D57DD-683F-471D-8BFE-D494321DA0A7}"/>
    <cellStyle name="Comma 19 6" xfId="3115" xr:uid="{49664E1D-3B14-4591-9048-DDD00CE992D4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3122" xr:uid="{D7B6425D-71F0-4591-9D38-3976E2CFA98E}"/>
    <cellStyle name="Comma 2 10 3" xfId="3121" xr:uid="{57DF3731-1547-4AD6-BB69-E92018611767}"/>
    <cellStyle name="Comma 2 11" xfId="778" xr:uid="{00000000-0005-0000-0000-00000A030000}"/>
    <cellStyle name="Comma 2 11 2" xfId="779" xr:uid="{00000000-0005-0000-0000-00000B030000}"/>
    <cellStyle name="Comma 2 11 2 2" xfId="3124" xr:uid="{E4C881E6-4719-4FDD-82BB-5AB5996ED76C}"/>
    <cellStyle name="Comma 2 11 3" xfId="3123" xr:uid="{8E098469-D093-49EA-8DCB-06A5D602011C}"/>
    <cellStyle name="Comma 2 12" xfId="780" xr:uid="{00000000-0005-0000-0000-00000C030000}"/>
    <cellStyle name="Comma 2 12 2" xfId="781" xr:uid="{00000000-0005-0000-0000-00000D030000}"/>
    <cellStyle name="Comma 2 12 2 2" xfId="3126" xr:uid="{E7F7DF74-059C-4DC9-9327-098113D21DF9}"/>
    <cellStyle name="Comma 2 12 3" xfId="3125" xr:uid="{1581562D-1A43-4151-B432-84E5C9AF89AE}"/>
    <cellStyle name="Comma 2 13" xfId="782" xr:uid="{00000000-0005-0000-0000-00000E030000}"/>
    <cellStyle name="Comma 2 13 2" xfId="783" xr:uid="{00000000-0005-0000-0000-00000F030000}"/>
    <cellStyle name="Comma 2 13 2 2" xfId="3128" xr:uid="{7D953870-D0EE-453C-9F3D-63B81049BFBB}"/>
    <cellStyle name="Comma 2 13 3" xfId="3127" xr:uid="{5691025B-A05C-422D-A7F5-E249B769868A}"/>
    <cellStyle name="Comma 2 14" xfId="784" xr:uid="{00000000-0005-0000-0000-000010030000}"/>
    <cellStyle name="Comma 2 14 2" xfId="785" xr:uid="{00000000-0005-0000-0000-000011030000}"/>
    <cellStyle name="Comma 2 14 2 2" xfId="3130" xr:uid="{F68635B9-13E9-4317-8B47-B6090DA1C013}"/>
    <cellStyle name="Comma 2 14 3" xfId="3129" xr:uid="{48501278-D4EC-413F-882C-0DE32E4680FD}"/>
    <cellStyle name="Comma 2 15" xfId="786" xr:uid="{00000000-0005-0000-0000-000012030000}"/>
    <cellStyle name="Comma 2 15 2" xfId="787" xr:uid="{00000000-0005-0000-0000-000013030000}"/>
    <cellStyle name="Comma 2 15 2 2" xfId="3132" xr:uid="{6A085F0B-AC78-468D-9BA7-AD24B30A4681}"/>
    <cellStyle name="Comma 2 15 3" xfId="3131" xr:uid="{045D5E46-448A-49A3-90E2-E590096F6FE1}"/>
    <cellStyle name="Comma 2 16" xfId="788" xr:uid="{00000000-0005-0000-0000-000014030000}"/>
    <cellStyle name="Comma 2 16 2" xfId="789" xr:uid="{00000000-0005-0000-0000-000015030000}"/>
    <cellStyle name="Comma 2 16 2 2" xfId="3134" xr:uid="{91ABB0E9-7A26-4C57-A5A5-D69A5001E5A0}"/>
    <cellStyle name="Comma 2 16 3" xfId="3133" xr:uid="{1B6B5D40-4467-423E-9EF9-601388182755}"/>
    <cellStyle name="Comma 2 17" xfId="790" xr:uid="{00000000-0005-0000-0000-000016030000}"/>
    <cellStyle name="Comma 2 17 2" xfId="791" xr:uid="{00000000-0005-0000-0000-000017030000}"/>
    <cellStyle name="Comma 2 17 2 2" xfId="3136" xr:uid="{E02570F6-2333-4022-BCB3-05FFE1EB7E13}"/>
    <cellStyle name="Comma 2 17 3" xfId="3135" xr:uid="{A0B5D1DD-9764-4A73-AF35-1B9654FDF914}"/>
    <cellStyle name="Comma 2 18" xfId="792" xr:uid="{00000000-0005-0000-0000-000018030000}"/>
    <cellStyle name="Comma 2 18 2" xfId="793" xr:uid="{00000000-0005-0000-0000-000019030000}"/>
    <cellStyle name="Comma 2 18 2 2" xfId="3138" xr:uid="{8857D575-E0FC-4CC6-962D-CE2BC49A59AB}"/>
    <cellStyle name="Comma 2 18 3" xfId="3137" xr:uid="{743D53FA-1A18-4D49-8DA1-3DF1C67790D3}"/>
    <cellStyle name="Comma 2 19" xfId="794" xr:uid="{00000000-0005-0000-0000-00001A030000}"/>
    <cellStyle name="Comma 2 19 2" xfId="795" xr:uid="{00000000-0005-0000-0000-00001B030000}"/>
    <cellStyle name="Comma 2 19 2 2" xfId="3140" xr:uid="{AFD43C88-8B00-4034-98D9-7E180EE72093}"/>
    <cellStyle name="Comma 2 19 3" xfId="3139" xr:uid="{C5C9E6AC-9ACC-43E3-8AA8-AEC81967DFAB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3147" xr:uid="{5DE89A7D-0B1A-4C51-94F2-38C957ACC1FF}"/>
    <cellStyle name="Comma 2 2 2 2 2 2 2 2 3" xfId="3146" xr:uid="{99910373-D567-44EA-A0F1-41F7356822C2}"/>
    <cellStyle name="Comma 2 2 2 2 2 2 2 3" xfId="804" xr:uid="{00000000-0005-0000-0000-000024030000}"/>
    <cellStyle name="Comma 2 2 2 2 2 2 2 3 2" xfId="805" xr:uid="{00000000-0005-0000-0000-000025030000}"/>
    <cellStyle name="Comma 2 2 2 2 2 2 2 3 2 2" xfId="3149" xr:uid="{56C9BD05-71F6-4448-AAFC-E24D9939E7AE}"/>
    <cellStyle name="Comma 2 2 2 2 2 2 2 3 3" xfId="3148" xr:uid="{0A6910E9-25A1-497E-8476-83CFF3E66963}"/>
    <cellStyle name="Comma 2 2 2 2 2 2 2 4" xfId="3145" xr:uid="{D562A322-9124-43FC-9BA5-9BB1E8C5D36B}"/>
    <cellStyle name="Comma 2 2 2 2 2 2 3" xfId="806" xr:uid="{00000000-0005-0000-0000-000026030000}"/>
    <cellStyle name="Comma 2 2 2 2 2 2 3 2" xfId="3150" xr:uid="{FE3940A3-4F77-4714-8F45-A413659C6D63}"/>
    <cellStyle name="Comma 2 2 2 2 2 2 4" xfId="807" xr:uid="{00000000-0005-0000-0000-000027030000}"/>
    <cellStyle name="Comma 2 2 2 2 2 2 4 2" xfId="3151" xr:uid="{7CA17F13-E489-4EFE-9936-86D762EEBB65}"/>
    <cellStyle name="Comma 2 2 2 2 2 2 5" xfId="3144" xr:uid="{A58426F6-F07E-43DD-8D9C-A4F958905D96}"/>
    <cellStyle name="Comma 2 2 2 2 2 3" xfId="808" xr:uid="{00000000-0005-0000-0000-000028030000}"/>
    <cellStyle name="Comma 2 2 2 2 2 3 2" xfId="809" xr:uid="{00000000-0005-0000-0000-000029030000}"/>
    <cellStyle name="Comma 2 2 2 2 2 3 2 2" xfId="3153" xr:uid="{B9312637-EC37-4895-82D9-DDBCF53045C9}"/>
    <cellStyle name="Comma 2 2 2 2 2 3 3" xfId="3152" xr:uid="{8D021B12-F308-4474-A381-E33209B85D8C}"/>
    <cellStyle name="Comma 2 2 2 2 2 4" xfId="810" xr:uid="{00000000-0005-0000-0000-00002A030000}"/>
    <cellStyle name="Comma 2 2 2 2 2 4 2" xfId="811" xr:uid="{00000000-0005-0000-0000-00002B030000}"/>
    <cellStyle name="Comma 2 2 2 2 2 4 2 2" xfId="3155" xr:uid="{1090847B-C5B5-443C-B3E3-14FE6292C6B6}"/>
    <cellStyle name="Comma 2 2 2 2 2 4 3" xfId="3154" xr:uid="{E6928F04-70A0-4DB9-83FA-FB0BA8872E8F}"/>
    <cellStyle name="Comma 2 2 2 2 2 5" xfId="3143" xr:uid="{22A668E8-9C73-4D83-AEC4-0D8CFD6601E5}"/>
    <cellStyle name="Comma 2 2 2 2 3" xfId="812" xr:uid="{00000000-0005-0000-0000-00002C030000}"/>
    <cellStyle name="Comma 2 2 2 2 3 2" xfId="3156" xr:uid="{FB401B0D-FC82-4DDE-94AE-438D397F40DE}"/>
    <cellStyle name="Comma 2 2 2 2 4" xfId="813" xr:uid="{00000000-0005-0000-0000-00002D030000}"/>
    <cellStyle name="Comma 2 2 2 2 4 2" xfId="3157" xr:uid="{8ECAA61F-9AC0-4C89-9D9E-72309676E035}"/>
    <cellStyle name="Comma 2 2 2 2 5" xfId="814" xr:uid="{00000000-0005-0000-0000-00002E030000}"/>
    <cellStyle name="Comma 2 2 2 2 5 2" xfId="3158" xr:uid="{17B1E5B4-2BFB-45C4-9659-8241384C8EDB}"/>
    <cellStyle name="Comma 2 2 2 2 6" xfId="3142" xr:uid="{1DFB26EF-4A76-41EA-BC2D-1BA51C267D60}"/>
    <cellStyle name="Comma 2 2 2 3" xfId="815" xr:uid="{00000000-0005-0000-0000-00002F030000}"/>
    <cellStyle name="Comma 2 2 2 3 2" xfId="816" xr:uid="{00000000-0005-0000-0000-000030030000}"/>
    <cellStyle name="Comma 2 2 2 3 2 2" xfId="3160" xr:uid="{695628D6-6192-4A80-B1ED-811DAF8FACAE}"/>
    <cellStyle name="Comma 2 2 2 3 3" xfId="3159" xr:uid="{146615C9-6367-4B14-8700-A7C3002E1572}"/>
    <cellStyle name="Comma 2 2 2 4" xfId="817" xr:uid="{00000000-0005-0000-0000-000031030000}"/>
    <cellStyle name="Comma 2 2 2 4 2" xfId="818" xr:uid="{00000000-0005-0000-0000-000032030000}"/>
    <cellStyle name="Comma 2 2 2 4 2 2" xfId="3162" xr:uid="{64EEED3C-D1AC-4A43-B056-E7F471F0B6C1}"/>
    <cellStyle name="Comma 2 2 2 4 3" xfId="3161" xr:uid="{B77AFE6D-7F32-4666-99EB-5AC733BE42DA}"/>
    <cellStyle name="Comma 2 2 2 5" xfId="819" xr:uid="{00000000-0005-0000-0000-000033030000}"/>
    <cellStyle name="Comma 2 2 2 5 2" xfId="820" xr:uid="{00000000-0005-0000-0000-000034030000}"/>
    <cellStyle name="Comma 2 2 2 5 2 2" xfId="3164" xr:uid="{768742B5-86BF-476A-8728-0BA05F52C028}"/>
    <cellStyle name="Comma 2 2 2 5 3" xfId="3163" xr:uid="{EFB232CC-D988-41DF-9F78-E9246D098B42}"/>
    <cellStyle name="Comma 2 2 2 6" xfId="3141" xr:uid="{5907C2F8-5E65-4400-8F73-4394B0AF4714}"/>
    <cellStyle name="Comma 2 2 3" xfId="821" xr:uid="{00000000-0005-0000-0000-000035030000}"/>
    <cellStyle name="Comma 2 2 3 2" xfId="822" xr:uid="{00000000-0005-0000-0000-000036030000}"/>
    <cellStyle name="Comma 2 2 3 2 2" xfId="3166" xr:uid="{931EC06C-CAF8-4FC3-B466-85C5EBE7EF7D}"/>
    <cellStyle name="Comma 2 2 3 3" xfId="3165" xr:uid="{511EC217-4763-4F49-B019-4CF35B20A05B}"/>
    <cellStyle name="Comma 2 2 4" xfId="823" xr:uid="{00000000-0005-0000-0000-000037030000}"/>
    <cellStyle name="Comma 2 2 4 2" xfId="3167" xr:uid="{290F208F-4934-45A8-B1B4-09F16B5F02F4}"/>
    <cellStyle name="Comma 2 2 5" xfId="824" xr:uid="{00000000-0005-0000-0000-000038030000}"/>
    <cellStyle name="Comma 2 2 5 2" xfId="3168" xr:uid="{B69D7704-E2D3-4070-8DC9-0FD3E2EC54A1}"/>
    <cellStyle name="Comma 2 2 6" xfId="825" xr:uid="{00000000-0005-0000-0000-000039030000}"/>
    <cellStyle name="Comma 2 2 6 2" xfId="3169" xr:uid="{3AB8482E-5FBE-49CF-B988-539B608FA58C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3171" xr:uid="{AF08C5C9-4987-40A6-9A4A-1B3C542028D5}"/>
    <cellStyle name="Comma 2 20 3" xfId="3170" xr:uid="{2E292BA4-574A-45F8-A02F-5A9B49CC1BE4}"/>
    <cellStyle name="Comma 2 21" xfId="829" xr:uid="{00000000-0005-0000-0000-00003D030000}"/>
    <cellStyle name="Comma 2 21 2" xfId="830" xr:uid="{00000000-0005-0000-0000-00003E030000}"/>
    <cellStyle name="Comma 2 21 2 2" xfId="3173" xr:uid="{2C8ED11A-73EE-49EA-8BAD-8C0BA2A052D1}"/>
    <cellStyle name="Comma 2 21 3" xfId="3172" xr:uid="{06418C99-82F4-40EC-942A-91A6C3F5A907}"/>
    <cellStyle name="Comma 2 22" xfId="831" xr:uid="{00000000-0005-0000-0000-00003F030000}"/>
    <cellStyle name="Comma 2 22 2" xfId="832" xr:uid="{00000000-0005-0000-0000-000040030000}"/>
    <cellStyle name="Comma 2 22 2 2" xfId="3175" xr:uid="{840FB6DB-7EBC-466A-A6B8-735683C2C8FC}"/>
    <cellStyle name="Comma 2 22 3" xfId="3174" xr:uid="{414AABF5-E26E-47FB-9931-393D701283C3}"/>
    <cellStyle name="Comma 2 23" xfId="833" xr:uid="{00000000-0005-0000-0000-000041030000}"/>
    <cellStyle name="Comma 2 23 2" xfId="834" xr:uid="{00000000-0005-0000-0000-000042030000}"/>
    <cellStyle name="Comma 2 23 2 2" xfId="3177" xr:uid="{B53D04C0-10F2-4515-9700-C10C78925B1D}"/>
    <cellStyle name="Comma 2 23 3" xfId="3176" xr:uid="{0627C249-60AE-473D-9CBF-E2D8E4A1BC84}"/>
    <cellStyle name="Comma 2 24" xfId="835" xr:uid="{00000000-0005-0000-0000-000043030000}"/>
    <cellStyle name="Comma 2 24 2" xfId="836" xr:uid="{00000000-0005-0000-0000-000044030000}"/>
    <cellStyle name="Comma 2 24 2 2" xfId="3179" xr:uid="{5AC7DEBF-6C2F-4794-9C84-7CDEFAE24ACC}"/>
    <cellStyle name="Comma 2 24 3" xfId="3178" xr:uid="{9659F2B7-87C5-4A25-A4F7-1D926B0853A0}"/>
    <cellStyle name="Comma 2 25" xfId="837" xr:uid="{00000000-0005-0000-0000-000045030000}"/>
    <cellStyle name="Comma 2 25 2" xfId="838" xr:uid="{00000000-0005-0000-0000-000046030000}"/>
    <cellStyle name="Comma 2 25 2 2" xfId="3181" xr:uid="{D25A4905-4192-4766-9606-09D30B8D1A0A}"/>
    <cellStyle name="Comma 2 25 3" xfId="3180" xr:uid="{F2117CF3-F78B-44C8-855D-2393D261CE1C}"/>
    <cellStyle name="Comma 2 26" xfId="839" xr:uid="{00000000-0005-0000-0000-000047030000}"/>
    <cellStyle name="Comma 2 26 2" xfId="840" xr:uid="{00000000-0005-0000-0000-000048030000}"/>
    <cellStyle name="Comma 2 26 2 2" xfId="3183" xr:uid="{3A889AFD-4EC8-4B0F-A11C-2A506B40E0F0}"/>
    <cellStyle name="Comma 2 26 3" xfId="3182" xr:uid="{C0946858-0954-4C48-BE72-876FE3344C7F}"/>
    <cellStyle name="Comma 2 27" xfId="841" xr:uid="{00000000-0005-0000-0000-000049030000}"/>
    <cellStyle name="Comma 2 27 2" xfId="842" xr:uid="{00000000-0005-0000-0000-00004A030000}"/>
    <cellStyle name="Comma 2 27 2 2" xfId="3185" xr:uid="{0D2BBE2B-6376-448A-9F3F-CDF5025EDC77}"/>
    <cellStyle name="Comma 2 27 3" xfId="3184" xr:uid="{66E2E360-F1B9-46D8-A36D-5A87A7BE365C}"/>
    <cellStyle name="Comma 2 28" xfId="843" xr:uid="{00000000-0005-0000-0000-00004B030000}"/>
    <cellStyle name="Comma 2 28 2" xfId="844" xr:uid="{00000000-0005-0000-0000-00004C030000}"/>
    <cellStyle name="Comma 2 28 2 2" xfId="3187" xr:uid="{66078879-1020-4FBA-8A50-9CE10D885237}"/>
    <cellStyle name="Comma 2 28 3" xfId="3186" xr:uid="{A2010022-746F-4125-AA86-59F9A99EB1FD}"/>
    <cellStyle name="Comma 2 29" xfId="845" xr:uid="{00000000-0005-0000-0000-00004D030000}"/>
    <cellStyle name="Comma 2 29 2" xfId="846" xr:uid="{00000000-0005-0000-0000-00004E030000}"/>
    <cellStyle name="Comma 2 29 2 2" xfId="3189" xr:uid="{9E92F73C-FEB6-4D16-B3F5-BDDE27CE41CA}"/>
    <cellStyle name="Comma 2 29 3" xfId="3188" xr:uid="{F4614BD7-FB2B-41C9-9574-575C5D266ADC}"/>
    <cellStyle name="Comma 2 3" xfId="847" xr:uid="{00000000-0005-0000-0000-00004F030000}"/>
    <cellStyle name="Comma 2 3 2" xfId="848" xr:uid="{00000000-0005-0000-0000-000050030000}"/>
    <cellStyle name="Comma 2 3 2 2" xfId="3191" xr:uid="{14E33C8E-5B02-4BE3-87D2-29066A431438}"/>
    <cellStyle name="Comma 2 3 3" xfId="3190" xr:uid="{168ACBCB-E71F-464B-A665-ED0445F02739}"/>
    <cellStyle name="Comma 2 30" xfId="849" xr:uid="{00000000-0005-0000-0000-000051030000}"/>
    <cellStyle name="Comma 2 30 2" xfId="850" xr:uid="{00000000-0005-0000-0000-000052030000}"/>
    <cellStyle name="Comma 2 30 2 2" xfId="3193" xr:uid="{F2AC311B-1027-4AD8-8EA1-95B526BADF5E}"/>
    <cellStyle name="Comma 2 30 3" xfId="3192" xr:uid="{AEBC5CD9-43DA-463D-AA43-8E06B153DD30}"/>
    <cellStyle name="Comma 2 31" xfId="851" xr:uid="{00000000-0005-0000-0000-000053030000}"/>
    <cellStyle name="Comma 2 31 2" xfId="852" xr:uid="{00000000-0005-0000-0000-000054030000}"/>
    <cellStyle name="Comma 2 31 2 2" xfId="3195" xr:uid="{0A4BAE9F-BAFC-46DA-8F71-2E4DD481C369}"/>
    <cellStyle name="Comma 2 31 3" xfId="3194" xr:uid="{266C8D45-E92A-4E74-8942-0EE9F2CA4C32}"/>
    <cellStyle name="Comma 2 32" xfId="853" xr:uid="{00000000-0005-0000-0000-000055030000}"/>
    <cellStyle name="Comma 2 32 2" xfId="854" xr:uid="{00000000-0005-0000-0000-000056030000}"/>
    <cellStyle name="Comma 2 32 2 2" xfId="3197" xr:uid="{FFD4C200-C257-4786-9C84-53E65ABF4497}"/>
    <cellStyle name="Comma 2 32 3" xfId="3196" xr:uid="{547713C2-E0C1-434F-B65B-9ACA55F91093}"/>
    <cellStyle name="Comma 2 33" xfId="855" xr:uid="{00000000-0005-0000-0000-000057030000}"/>
    <cellStyle name="Comma 2 33 2" xfId="856" xr:uid="{00000000-0005-0000-0000-000058030000}"/>
    <cellStyle name="Comma 2 33 2 2" xfId="3199" xr:uid="{24B90B75-D1E6-4B46-9D96-E17FF2FFBAAE}"/>
    <cellStyle name="Comma 2 33 3" xfId="3198" xr:uid="{A7F8BC37-8B74-473B-9DD0-33BFB305B12B}"/>
    <cellStyle name="Comma 2 34" xfId="857" xr:uid="{00000000-0005-0000-0000-000059030000}"/>
    <cellStyle name="Comma 2 34 2" xfId="858" xr:uid="{00000000-0005-0000-0000-00005A030000}"/>
    <cellStyle name="Comma 2 34 2 2" xfId="3201" xr:uid="{2C841B16-5E42-4F03-AF14-FB2900041CCF}"/>
    <cellStyle name="Comma 2 34 3" xfId="3200" xr:uid="{D6CEEF63-946F-4AC0-9266-61EAA1C42168}"/>
    <cellStyle name="Comma 2 35" xfId="859" xr:uid="{00000000-0005-0000-0000-00005B030000}"/>
    <cellStyle name="Comma 2 35 2" xfId="860" xr:uid="{00000000-0005-0000-0000-00005C030000}"/>
    <cellStyle name="Comma 2 35 2 2" xfId="3203" xr:uid="{2F3B2657-29D3-4778-B21B-869948D28853}"/>
    <cellStyle name="Comma 2 35 3" xfId="3202" xr:uid="{2246D507-A561-4652-A34B-D3CDC11A2A10}"/>
    <cellStyle name="Comma 2 36" xfId="861" xr:uid="{00000000-0005-0000-0000-00005D030000}"/>
    <cellStyle name="Comma 2 36 2" xfId="862" xr:uid="{00000000-0005-0000-0000-00005E030000}"/>
    <cellStyle name="Comma 2 36 2 2" xfId="3205" xr:uid="{CB43F703-F62D-4639-BB78-4AE84914C0CC}"/>
    <cellStyle name="Comma 2 36 3" xfId="3204" xr:uid="{31433700-8C4F-47CC-8501-1DF902C09959}"/>
    <cellStyle name="Comma 2 37" xfId="863" xr:uid="{00000000-0005-0000-0000-00005F030000}"/>
    <cellStyle name="Comma 2 37 2" xfId="864" xr:uid="{00000000-0005-0000-0000-000060030000}"/>
    <cellStyle name="Comma 2 37 2 2" xfId="3207" xr:uid="{9A507F78-67D4-4CD6-82FF-04FFFB42B58B}"/>
    <cellStyle name="Comma 2 37 3" xfId="3206" xr:uid="{426B6303-EA08-4155-ABA1-B79F837AF866}"/>
    <cellStyle name="Comma 2 38" xfId="865" xr:uid="{00000000-0005-0000-0000-000061030000}"/>
    <cellStyle name="Comma 2 38 2" xfId="866" xr:uid="{00000000-0005-0000-0000-000062030000}"/>
    <cellStyle name="Comma 2 38 2 2" xfId="3209" xr:uid="{FFCE0ECE-FA36-4629-9A61-AE2C51226B93}"/>
    <cellStyle name="Comma 2 38 3" xfId="3208" xr:uid="{6D882DD5-8231-427C-9373-3387168AF461}"/>
    <cellStyle name="Comma 2 39" xfId="867" xr:uid="{00000000-0005-0000-0000-000063030000}"/>
    <cellStyle name="Comma 2 39 2" xfId="868" xr:uid="{00000000-0005-0000-0000-000064030000}"/>
    <cellStyle name="Comma 2 39 2 2" xfId="3211" xr:uid="{3394D8A0-2514-44D9-9FAE-7F6B604701F5}"/>
    <cellStyle name="Comma 2 39 3" xfId="3210" xr:uid="{FBD8A47A-E7DF-4180-9B75-3A15874C4EBF}"/>
    <cellStyle name="Comma 2 4" xfId="869" xr:uid="{00000000-0005-0000-0000-000065030000}"/>
    <cellStyle name="Comma 2 4 2" xfId="870" xr:uid="{00000000-0005-0000-0000-000066030000}"/>
    <cellStyle name="Comma 2 4 2 2" xfId="3212" xr:uid="{E0164A6E-052B-477B-AED6-68F8A3F7E7F7}"/>
    <cellStyle name="Comma 2 4 3" xfId="871" xr:uid="{00000000-0005-0000-0000-000067030000}"/>
    <cellStyle name="Comma 2 4 3 2" xfId="3213" xr:uid="{1BDC165E-07D2-4AE3-858D-9E342D1EC3BD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3215" xr:uid="{481FAB58-5C0B-45A8-AB21-35582776581C}"/>
    <cellStyle name="Comma 2 40 3" xfId="3214" xr:uid="{6F0DACEC-21E1-413C-99FB-54D93FE23317}"/>
    <cellStyle name="Comma 2 41" xfId="875" xr:uid="{00000000-0005-0000-0000-00006B030000}"/>
    <cellStyle name="Comma 2 41 2" xfId="876" xr:uid="{00000000-0005-0000-0000-00006C030000}"/>
    <cellStyle name="Comma 2 41 2 2" xfId="3217" xr:uid="{65B5AA9E-6709-4358-B236-DDDEF434B02E}"/>
    <cellStyle name="Comma 2 41 3" xfId="3216" xr:uid="{8BC6D3B8-5F03-41DF-A2E6-228ACCEAADE5}"/>
    <cellStyle name="Comma 2 42" xfId="877" xr:uid="{00000000-0005-0000-0000-00006D030000}"/>
    <cellStyle name="Comma 2 42 2" xfId="878" xr:uid="{00000000-0005-0000-0000-00006E030000}"/>
    <cellStyle name="Comma 2 42 2 2" xfId="3219" xr:uid="{12247382-BE5C-4074-A576-78044679E44B}"/>
    <cellStyle name="Comma 2 42 3" xfId="3218" xr:uid="{83F2DB00-B982-4993-86B7-0BA8DBDC7FBE}"/>
    <cellStyle name="Comma 2 43" xfId="879" xr:uid="{00000000-0005-0000-0000-00006F030000}"/>
    <cellStyle name="Comma 2 43 2" xfId="880" xr:uid="{00000000-0005-0000-0000-000070030000}"/>
    <cellStyle name="Comma 2 43 2 2" xfId="3221" xr:uid="{EDC17F39-AF3C-4069-A3E5-38E80478FC7F}"/>
    <cellStyle name="Comma 2 43 3" xfId="3220" xr:uid="{5F3A7FD7-1EFC-44C5-9C86-53BCD6463006}"/>
    <cellStyle name="Comma 2 44" xfId="881" xr:uid="{00000000-0005-0000-0000-000071030000}"/>
    <cellStyle name="Comma 2 44 2" xfId="882" xr:uid="{00000000-0005-0000-0000-000072030000}"/>
    <cellStyle name="Comma 2 44 2 2" xfId="3223" xr:uid="{5D63EED4-38F5-48A7-B166-A257562774AC}"/>
    <cellStyle name="Comma 2 44 3" xfId="3222" xr:uid="{516E81EE-99FE-400F-B258-148281D20D03}"/>
    <cellStyle name="Comma 2 45" xfId="883" xr:uid="{00000000-0005-0000-0000-000073030000}"/>
    <cellStyle name="Comma 2 45 2" xfId="884" xr:uid="{00000000-0005-0000-0000-000074030000}"/>
    <cellStyle name="Comma 2 45 2 2" xfId="3225" xr:uid="{86C858FD-AC19-4F09-8DC3-4B74B7B50B6D}"/>
    <cellStyle name="Comma 2 45 3" xfId="3224" xr:uid="{7B23F212-E7A8-48C9-A1C0-8AC4D838CEA1}"/>
    <cellStyle name="Comma 2 46" xfId="885" xr:uid="{00000000-0005-0000-0000-000075030000}"/>
    <cellStyle name="Comma 2 46 2" xfId="886" xr:uid="{00000000-0005-0000-0000-000076030000}"/>
    <cellStyle name="Comma 2 46 2 2" xfId="3227" xr:uid="{10E31995-BF4C-404F-A8F7-44775BFF285D}"/>
    <cellStyle name="Comma 2 46 3" xfId="3226" xr:uid="{F75CEFF6-41DE-49D7-94F9-F0265C836B8C}"/>
    <cellStyle name="Comma 2 47" xfId="887" xr:uid="{00000000-0005-0000-0000-000077030000}"/>
    <cellStyle name="Comma 2 47 2" xfId="888" xr:uid="{00000000-0005-0000-0000-000078030000}"/>
    <cellStyle name="Comma 2 47 2 2" xfId="3229" xr:uid="{9CD01114-5DA3-4F37-8775-BB4CDB2DD4CE}"/>
    <cellStyle name="Comma 2 47 3" xfId="3228" xr:uid="{F4E695A3-9007-491B-ACF3-6EFD6C55E8C6}"/>
    <cellStyle name="Comma 2 48" xfId="889" xr:uid="{00000000-0005-0000-0000-000079030000}"/>
    <cellStyle name="Comma 2 48 2" xfId="890" xr:uid="{00000000-0005-0000-0000-00007A030000}"/>
    <cellStyle name="Comma 2 48 2 2" xfId="3231" xr:uid="{5290C844-722E-4780-B317-BC5272B2DBB8}"/>
    <cellStyle name="Comma 2 48 3" xfId="3230" xr:uid="{D4DEFCF0-A420-4F67-98B3-83AB353A0ADA}"/>
    <cellStyle name="Comma 2 49" xfId="891" xr:uid="{00000000-0005-0000-0000-00007B030000}"/>
    <cellStyle name="Comma 2 49 2" xfId="892" xr:uid="{00000000-0005-0000-0000-00007C030000}"/>
    <cellStyle name="Comma 2 49 2 2" xfId="3233" xr:uid="{B75A140A-EE7E-46D3-84EA-E3D63D91E7BB}"/>
    <cellStyle name="Comma 2 49 3" xfId="3232" xr:uid="{A8C2EDAC-8F4B-440E-85F3-A47130151069}"/>
    <cellStyle name="Comma 2 5" xfId="893" xr:uid="{00000000-0005-0000-0000-00007D030000}"/>
    <cellStyle name="Comma 2 5 2" xfId="894" xr:uid="{00000000-0005-0000-0000-00007E030000}"/>
    <cellStyle name="Comma 2 5 2 2" xfId="3235" xr:uid="{6B8FCE6E-42A0-4438-8C50-5FF6AA7EE94F}"/>
    <cellStyle name="Comma 2 5 3" xfId="3234" xr:uid="{D7B4A19B-1612-4867-AE1D-2E5CF65D2C26}"/>
    <cellStyle name="Comma 2 50" xfId="895" xr:uid="{00000000-0005-0000-0000-00007F030000}"/>
    <cellStyle name="Comma 2 50 2" xfId="896" xr:uid="{00000000-0005-0000-0000-000080030000}"/>
    <cellStyle name="Comma 2 50 2 2" xfId="3237" xr:uid="{E76F3305-993C-4D0F-847E-F07D471C24FB}"/>
    <cellStyle name="Comma 2 50 3" xfId="3236" xr:uid="{B12B301D-2BAB-4B25-B69A-A9268BF422DA}"/>
    <cellStyle name="Comma 2 51" xfId="897" xr:uid="{00000000-0005-0000-0000-000081030000}"/>
    <cellStyle name="Comma 2 51 2" xfId="898" xr:uid="{00000000-0005-0000-0000-000082030000}"/>
    <cellStyle name="Comma 2 51 2 2" xfId="3239" xr:uid="{9A84F346-F6BC-4929-8B76-A4703D0342FC}"/>
    <cellStyle name="Comma 2 51 3" xfId="3238" xr:uid="{A78B0C93-1305-4A85-9FAE-B6E4418EEBFB}"/>
    <cellStyle name="Comma 2 52" xfId="899" xr:uid="{00000000-0005-0000-0000-000083030000}"/>
    <cellStyle name="Comma 2 52 2" xfId="900" xr:uid="{00000000-0005-0000-0000-000084030000}"/>
    <cellStyle name="Comma 2 52 2 2" xfId="3241" xr:uid="{60CD606A-E5F7-4FE6-AF9D-FBB30AE59430}"/>
    <cellStyle name="Comma 2 52 3" xfId="3240" xr:uid="{C028118A-56A5-43C3-A8F9-1CB6C775764E}"/>
    <cellStyle name="Comma 2 53" xfId="901" xr:uid="{00000000-0005-0000-0000-000085030000}"/>
    <cellStyle name="Comma 2 53 2" xfId="902" xr:uid="{00000000-0005-0000-0000-000086030000}"/>
    <cellStyle name="Comma 2 53 2 2" xfId="3243" xr:uid="{992FECBC-5A36-42D6-9F0D-472089632CA3}"/>
    <cellStyle name="Comma 2 53 3" xfId="3242" xr:uid="{2D5A993E-BF5D-4521-BE2E-C14FEA3B259D}"/>
    <cellStyle name="Comma 2 54" xfId="903" xr:uid="{00000000-0005-0000-0000-000087030000}"/>
    <cellStyle name="Comma 2 54 2" xfId="904" xr:uid="{00000000-0005-0000-0000-000088030000}"/>
    <cellStyle name="Comma 2 54 2 2" xfId="3245" xr:uid="{536E6000-DD17-4096-A98C-E3D70C01C279}"/>
    <cellStyle name="Comma 2 54 3" xfId="3244" xr:uid="{CFDA763A-D08B-4988-AA3B-8286EA58CE04}"/>
    <cellStyle name="Comma 2 55" xfId="905" xr:uid="{00000000-0005-0000-0000-000089030000}"/>
    <cellStyle name="Comma 2 55 2" xfId="906" xr:uid="{00000000-0005-0000-0000-00008A030000}"/>
    <cellStyle name="Comma 2 55 2 2" xfId="3247" xr:uid="{BF492731-3A26-4D58-93F9-B729B6D17721}"/>
    <cellStyle name="Comma 2 55 3" xfId="3246" xr:uid="{3DE2F5D8-E493-4E0A-8D89-DBAE2BE97091}"/>
    <cellStyle name="Comma 2 56" xfId="907" xr:uid="{00000000-0005-0000-0000-00008B030000}"/>
    <cellStyle name="Comma 2 56 2" xfId="908" xr:uid="{00000000-0005-0000-0000-00008C030000}"/>
    <cellStyle name="Comma 2 56 2 2" xfId="3249" xr:uid="{701B3E62-D276-415C-B54D-3156AE2498D4}"/>
    <cellStyle name="Comma 2 56 3" xfId="3248" xr:uid="{F8331FCC-EC69-48AE-A098-C71665E3A279}"/>
    <cellStyle name="Comma 2 57" xfId="909" xr:uid="{00000000-0005-0000-0000-00008D030000}"/>
    <cellStyle name="Comma 2 57 2" xfId="910" xr:uid="{00000000-0005-0000-0000-00008E030000}"/>
    <cellStyle name="Comma 2 57 2 2" xfId="3251" xr:uid="{7BE996D0-5304-48D2-8BD5-38582607F676}"/>
    <cellStyle name="Comma 2 57 3" xfId="3250" xr:uid="{99F877F0-0141-4A8D-BD5C-73CF9B578CC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3254" xr:uid="{9D273002-9623-466C-9703-6E25B023FFB1}"/>
    <cellStyle name="Comma 2 58 2 3" xfId="3253" xr:uid="{16D6D549-66CC-44B0-BADE-37FEAF3E4483}"/>
    <cellStyle name="Comma 2 58 3" xfId="914" xr:uid="{00000000-0005-0000-0000-000092030000}"/>
    <cellStyle name="Comma 2 58 3 2" xfId="915" xr:uid="{00000000-0005-0000-0000-000093030000}"/>
    <cellStyle name="Comma 2 58 3 2 2" xfId="3256" xr:uid="{462C21E4-7BA6-4346-8C28-62D8A45B7B21}"/>
    <cellStyle name="Comma 2 58 3 3" xfId="3255" xr:uid="{67E85E4A-1D33-4F62-8B75-22C39D02A1CA}"/>
    <cellStyle name="Comma 2 58 4" xfId="916" xr:uid="{00000000-0005-0000-0000-000094030000}"/>
    <cellStyle name="Comma 2 58 4 2" xfId="917" xr:uid="{00000000-0005-0000-0000-000095030000}"/>
    <cellStyle name="Comma 2 58 4 2 2" xfId="3258" xr:uid="{7F1A1577-37C7-4D89-999B-F952DBE451DD}"/>
    <cellStyle name="Comma 2 58 4 3" xfId="3257" xr:uid="{C2C2D1E5-3007-4008-ADDD-239BFF9144EA}"/>
    <cellStyle name="Comma 2 58 5" xfId="918" xr:uid="{00000000-0005-0000-0000-000096030000}"/>
    <cellStyle name="Comma 2 58 5 2" xfId="3259" xr:uid="{BF53D68E-18EE-4CC1-93BF-1682F65245AF}"/>
    <cellStyle name="Comma 2 58 6" xfId="3252" xr:uid="{38BBC361-5462-4F6F-A686-7483EEE6FBE4}"/>
    <cellStyle name="Comma 2 59" xfId="919" xr:uid="{00000000-0005-0000-0000-000097030000}"/>
    <cellStyle name="Comma 2 59 2" xfId="920" xr:uid="{00000000-0005-0000-0000-000098030000}"/>
    <cellStyle name="Comma 2 59 2 2" xfId="3261" xr:uid="{3526CDF5-59CC-4795-8807-C6BD381CD874}"/>
    <cellStyle name="Comma 2 59 3" xfId="3260" xr:uid="{8C00785E-B0A3-4844-A22E-08C67460624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3263" xr:uid="{223BC30A-F1DE-4455-AE77-9909BF2638B7}"/>
    <cellStyle name="Comma 2 60 3" xfId="3262" xr:uid="{91618AD1-5D6C-4582-9FF2-10EBABA805C3}"/>
    <cellStyle name="Comma 2 61" xfId="3120" xr:uid="{879A60CB-5A8A-4DFE-BD3D-82C0461EC4DE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3265" xr:uid="{E58CF9AE-9D84-465E-B1F0-1CC59D7A9699}"/>
    <cellStyle name="Comma 2 8 3" xfId="3264" xr:uid="{98B1170F-E139-41E5-A5A3-E2038911916E}"/>
    <cellStyle name="Comma 2 9" xfId="948" xr:uid="{00000000-0005-0000-0000-0000B4030000}"/>
    <cellStyle name="Comma 2 9 2" xfId="949" xr:uid="{00000000-0005-0000-0000-0000B5030000}"/>
    <cellStyle name="Comma 2 9 2 2" xfId="3267" xr:uid="{326102E8-369B-4E48-9156-5E37234D7830}"/>
    <cellStyle name="Comma 2 9 3" xfId="3266" xr:uid="{9C2F4D44-D9F5-4232-A432-E634E66393DD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3270" xr:uid="{FAB506D2-2254-43F8-8136-6F1E22DF961C}"/>
    <cellStyle name="Comma 20 2 3" xfId="3269" xr:uid="{F52FA6FB-D19F-4735-8B2E-D6141EB7C633}"/>
    <cellStyle name="Comma 20 3" xfId="953" xr:uid="{00000000-0005-0000-0000-0000B9030000}"/>
    <cellStyle name="Comma 20 3 2" xfId="3271" xr:uid="{7459D488-4A5C-4733-90B8-56ED6DEA5880}"/>
    <cellStyle name="Comma 20 4" xfId="3268" xr:uid="{F4FDADBF-6B1F-478A-9BAE-AE5A78F69C5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3274" xr:uid="{47793C74-2B52-4E3D-9437-DA0142707414}"/>
    <cellStyle name="Comma 21 2 3" xfId="3273" xr:uid="{D7FEE3D3-1B3E-46A9-9999-C92C2AD705C9}"/>
    <cellStyle name="Comma 21 3" xfId="957" xr:uid="{00000000-0005-0000-0000-0000BD030000}"/>
    <cellStyle name="Comma 21 3 2" xfId="3275" xr:uid="{94109A6C-F24D-435E-A979-E85F7E5B4ED4}"/>
    <cellStyle name="Comma 21 4" xfId="3272" xr:uid="{7F3E6B1D-B2FF-4295-A55F-9DB1C884DE26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3278" xr:uid="{044DE555-C8AB-4961-B3AB-4015EBFA8C7A}"/>
    <cellStyle name="Comma 22 2 3" xfId="3277" xr:uid="{81C99B20-1DA8-4C7D-9B88-623F8E4AE9CC}"/>
    <cellStyle name="Comma 22 3" xfId="961" xr:uid="{00000000-0005-0000-0000-0000C1030000}"/>
    <cellStyle name="Comma 22 3 2" xfId="3279" xr:uid="{62646C50-5B05-4CE7-A4E6-B1508692EEC5}"/>
    <cellStyle name="Comma 22 4" xfId="3276" xr:uid="{A47EFBD6-DD85-4A8F-89C6-9A52A6CF62E5}"/>
    <cellStyle name="Comma 23" xfId="962" xr:uid="{00000000-0005-0000-0000-0000C2030000}"/>
    <cellStyle name="Comma 23 2" xfId="963" xr:uid="{00000000-0005-0000-0000-0000C3030000}"/>
    <cellStyle name="Comma 23 2 2" xfId="3281" xr:uid="{41B6E287-EA5A-4CAB-9881-AB21AA2B51E1}"/>
    <cellStyle name="Comma 23 3" xfId="3280" xr:uid="{2DEC6FF5-97EE-4BD7-B4BC-132EC07CABAB}"/>
    <cellStyle name="Comma 24" xfId="964" xr:uid="{00000000-0005-0000-0000-0000C4030000}"/>
    <cellStyle name="Comma 24 2" xfId="965" xr:uid="{00000000-0005-0000-0000-0000C5030000}"/>
    <cellStyle name="Comma 24 2 2" xfId="3283" xr:uid="{1DB54273-4101-4DC8-8250-D416DB005B0D}"/>
    <cellStyle name="Comma 24 3" xfId="3282" xr:uid="{0FD90D50-1811-4878-9CE2-763DEB5110FC}"/>
    <cellStyle name="Comma 25" xfId="966" xr:uid="{00000000-0005-0000-0000-0000C6030000}"/>
    <cellStyle name="Comma 25 2" xfId="967" xr:uid="{00000000-0005-0000-0000-0000C7030000}"/>
    <cellStyle name="Comma 25 2 2" xfId="3285" xr:uid="{694D89BD-02CD-483D-AA49-ECE23C86EB83}"/>
    <cellStyle name="Comma 25 3" xfId="3284" xr:uid="{7DB7D5D5-6E10-4AF4-94A6-FA82842A1D79}"/>
    <cellStyle name="Comma 26" xfId="968" xr:uid="{00000000-0005-0000-0000-0000C8030000}"/>
    <cellStyle name="Comma 26 2" xfId="969" xr:uid="{00000000-0005-0000-0000-0000C9030000}"/>
    <cellStyle name="Comma 26 2 2" xfId="3287" xr:uid="{E6CFD93E-6086-4EEF-96C0-5B4E3E777547}"/>
    <cellStyle name="Comma 26 3" xfId="3286" xr:uid="{B20FAF16-31C2-4A2C-9009-711CAE394B7D}"/>
    <cellStyle name="Comma 27" xfId="970" xr:uid="{00000000-0005-0000-0000-0000CA030000}"/>
    <cellStyle name="Comma 27 2" xfId="3288" xr:uid="{B1DC1DEF-C2FD-42B8-8D6E-A07AD27E88FF}"/>
    <cellStyle name="Comma 28" xfId="971" xr:uid="{00000000-0005-0000-0000-0000CB030000}"/>
    <cellStyle name="Comma 28 2" xfId="972" xr:uid="{00000000-0005-0000-0000-0000CC030000}"/>
    <cellStyle name="Comma 28 2 2" xfId="3290" xr:uid="{F03B939B-69E7-424E-85D9-AB1306EB23C8}"/>
    <cellStyle name="Comma 28 3" xfId="3289" xr:uid="{1D3C4EAA-F85E-45A5-9F68-4F56DAE20D8B}"/>
    <cellStyle name="Comma 29" xfId="973" xr:uid="{00000000-0005-0000-0000-0000CD030000}"/>
    <cellStyle name="Comma 29 2" xfId="974" xr:uid="{00000000-0005-0000-0000-0000CE030000}"/>
    <cellStyle name="Comma 29 2 2" xfId="3292" xr:uid="{ADA9E730-F1FA-4A0C-A746-DFCF5F005C64}"/>
    <cellStyle name="Comma 29 3" xfId="3291" xr:uid="{B05854E1-40FB-4478-AD6B-6819F0F7A7BD}"/>
    <cellStyle name="Comma 3" xfId="975" xr:uid="{00000000-0005-0000-0000-0000CF030000}"/>
    <cellStyle name="Comma 3 10" xfId="976" xr:uid="{00000000-0005-0000-0000-0000D0030000}"/>
    <cellStyle name="Comma 3 10 2" xfId="3294" xr:uid="{41D8AEE4-02DE-4EE4-9679-223777EC6454}"/>
    <cellStyle name="Comma 3 11" xfId="3293" xr:uid="{5BB636E2-59F7-4C41-9697-A876DE635CB8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98" xr:uid="{01FDE3F1-141B-4CE6-A7E5-23D307BBC8B3}"/>
    <cellStyle name="Comma 3 2 2 2 3" xfId="981" xr:uid="{00000000-0005-0000-0000-0000D5030000}"/>
    <cellStyle name="Comma 3 2 2 2 3 2" xfId="3299" xr:uid="{4F428438-6D2C-46BF-AE8E-366FF4BD964B}"/>
    <cellStyle name="Comma 3 2 2 2 4" xfId="982" xr:uid="{00000000-0005-0000-0000-0000D6030000}"/>
    <cellStyle name="Comma 3 2 2 2 4 2" xfId="3300" xr:uid="{CB8DF53A-9995-47AD-801F-1F31B026E3DF}"/>
    <cellStyle name="Comma 3 2 2 2 5" xfId="3297" xr:uid="{A7C01129-ABDC-4B1C-97FC-E41136CFD13D}"/>
    <cellStyle name="Comma 3 2 2 3" xfId="983" xr:uid="{00000000-0005-0000-0000-0000D7030000}"/>
    <cellStyle name="Comma 3 2 2 3 2" xfId="3301" xr:uid="{1B055E93-F7F2-454A-820F-736E19FC3819}"/>
    <cellStyle name="Comma 3 2 2 4" xfId="984" xr:uid="{00000000-0005-0000-0000-0000D8030000}"/>
    <cellStyle name="Comma 3 2 2 4 2" xfId="3302" xr:uid="{38D12003-7FD6-458C-9A95-29BB42913FC9}"/>
    <cellStyle name="Comma 3 2 2 5" xfId="985" xr:uid="{00000000-0005-0000-0000-0000D9030000}"/>
    <cellStyle name="Comma 3 2 2 5 2" xfId="3303" xr:uid="{670C1841-53B1-4937-B6E7-B7A738C81E50}"/>
    <cellStyle name="Comma 3 2 2 6" xfId="3296" xr:uid="{DF773988-F48C-4EC1-8DEC-83A785ECD24D}"/>
    <cellStyle name="Comma 3 2 3" xfId="986" xr:uid="{00000000-0005-0000-0000-0000DA030000}"/>
    <cellStyle name="Comma 3 2 3 2" xfId="3304" xr:uid="{8DC9F6BA-E703-48EC-9D20-617101F1AE22}"/>
    <cellStyle name="Comma 3 2 4" xfId="987" xr:uid="{00000000-0005-0000-0000-0000DB030000}"/>
    <cellStyle name="Comma 3 2 4 2" xfId="3305" xr:uid="{32573B8F-9FCE-4D54-AC87-512ECE7F1DFF}"/>
    <cellStyle name="Comma 3 2 5" xfId="988" xr:uid="{00000000-0005-0000-0000-0000DC030000}"/>
    <cellStyle name="Comma 3 2 5 2" xfId="3306" xr:uid="{74E0CE53-DDCC-43B6-9131-E93EC685BF57}"/>
    <cellStyle name="Comma 3 2 6" xfId="989" xr:uid="{00000000-0005-0000-0000-0000DD030000}"/>
    <cellStyle name="Comma 3 2 6 2" xfId="3307" xr:uid="{D8DD27B7-70C8-4C19-8729-679662336594}"/>
    <cellStyle name="Comma 3 2 7" xfId="3295" xr:uid="{DA8D4957-1717-4110-8162-5EE0589D0E37}"/>
    <cellStyle name="Comma 3 3" xfId="990" xr:uid="{00000000-0005-0000-0000-0000DE030000}"/>
    <cellStyle name="Comma 3 3 2" xfId="991" xr:uid="{00000000-0005-0000-0000-0000DF030000}"/>
    <cellStyle name="Comma 3 3 2 2" xfId="3309" xr:uid="{A764FCAB-A8CB-469B-A158-9A2F591C5658}"/>
    <cellStyle name="Comma 3 3 3" xfId="992" xr:uid="{00000000-0005-0000-0000-0000E0030000}"/>
    <cellStyle name="Comma 3 3 3 2" xfId="3310" xr:uid="{8BDCAAB3-F07D-4B7A-8D5F-81454B42FB90}"/>
    <cellStyle name="Comma 3 3 4" xfId="993" xr:uid="{00000000-0005-0000-0000-0000E1030000}"/>
    <cellStyle name="Comma 3 3 4 2" xfId="3311" xr:uid="{1ADF860E-5183-4A77-811D-485C787B9D84}"/>
    <cellStyle name="Comma 3 3 5" xfId="3308" xr:uid="{FAFD7B7D-38F3-4A03-B14E-13AA9746F917}"/>
    <cellStyle name="Comma 3 4" xfId="994" xr:uid="{00000000-0005-0000-0000-0000E2030000}"/>
    <cellStyle name="Comma 3 4 2" xfId="995" xr:uid="{00000000-0005-0000-0000-0000E3030000}"/>
    <cellStyle name="Comma 3 4 2 2" xfId="3313" xr:uid="{09904FA6-8EF4-407B-A6EC-1E0BEBCE790A}"/>
    <cellStyle name="Comma 3 4 3" xfId="996" xr:uid="{00000000-0005-0000-0000-0000E4030000}"/>
    <cellStyle name="Comma 3 4 3 2" xfId="3314" xr:uid="{FA8F8A76-04F8-4265-A824-5A813A0C94FB}"/>
    <cellStyle name="Comma 3 4 4" xfId="997" xr:uid="{00000000-0005-0000-0000-0000E5030000}"/>
    <cellStyle name="Comma 3 4 4 2" xfId="3315" xr:uid="{E3C6C18C-0AC2-4D33-A9F4-42D1351ED3DF}"/>
    <cellStyle name="Comma 3 4 5" xfId="3312" xr:uid="{AF01C770-13F5-4F93-B962-3F992282879D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321" xr:uid="{FADCE5E6-D8C1-496F-AD37-9DED94E6E145}"/>
    <cellStyle name="Comma 3 5 2 2 2 2 3" xfId="1004" xr:uid="{00000000-0005-0000-0000-0000EC030000}"/>
    <cellStyle name="Comma 3 5 2 2 2 2 3 2" xfId="3322" xr:uid="{B5D4E5B6-1082-48AA-B921-24C76A6FB2D3}"/>
    <cellStyle name="Comma 3 5 2 2 2 2 4" xfId="1005" xr:uid="{00000000-0005-0000-0000-0000ED030000}"/>
    <cellStyle name="Comma 3 5 2 2 2 2 4 2" xfId="3323" xr:uid="{6591C60C-8BE0-457D-80C3-BE51F52D42FB}"/>
    <cellStyle name="Comma 3 5 2 2 2 2 5" xfId="1006" xr:uid="{00000000-0005-0000-0000-0000EE030000}"/>
    <cellStyle name="Comma 3 5 2 2 2 2 5 2" xfId="3324" xr:uid="{4E228EF8-3C3A-4BE0-B7C6-FBC1124C738E}"/>
    <cellStyle name="Comma 3 5 2 2 2 2 6" xfId="3320" xr:uid="{F89F7F9E-91BC-4642-A157-A4856D867C43}"/>
    <cellStyle name="Comma 3 5 2 2 2 3" xfId="1007" xr:uid="{00000000-0005-0000-0000-0000EF030000}"/>
    <cellStyle name="Comma 3 5 2 2 2 3 2" xfId="3325" xr:uid="{42D415DD-2835-4D54-A282-1CCE65C5F1FD}"/>
    <cellStyle name="Comma 3 5 2 2 2 4" xfId="1008" xr:uid="{00000000-0005-0000-0000-0000F0030000}"/>
    <cellStyle name="Comma 3 5 2 2 2 4 2" xfId="3326" xr:uid="{7757EBD6-C173-417F-8E45-F6B3E57F1134}"/>
    <cellStyle name="Comma 3 5 2 2 2 5" xfId="1009" xr:uid="{00000000-0005-0000-0000-0000F1030000}"/>
    <cellStyle name="Comma 3 5 2 2 2 5 2" xfId="3327" xr:uid="{AA59504F-AEE4-4B08-AA35-28AF7DE31FDA}"/>
    <cellStyle name="Comma 3 5 2 2 2 6" xfId="3319" xr:uid="{444964C6-E664-4236-ACCD-76C00D97156A}"/>
    <cellStyle name="Comma 3 5 2 2 3" xfId="1010" xr:uid="{00000000-0005-0000-0000-0000F2030000}"/>
    <cellStyle name="Comma 3 5 2 2 3 2" xfId="3328" xr:uid="{3F7EF7EE-5B4C-4414-BF70-CCE5AECBE80F}"/>
    <cellStyle name="Comma 3 5 2 2 4" xfId="1011" xr:uid="{00000000-0005-0000-0000-0000F3030000}"/>
    <cellStyle name="Comma 3 5 2 2 4 2" xfId="3329" xr:uid="{10A89423-A4B6-406A-8CC2-32D3311E61D1}"/>
    <cellStyle name="Comma 3 5 2 2 5" xfId="1012" xr:uid="{00000000-0005-0000-0000-0000F4030000}"/>
    <cellStyle name="Comma 3 5 2 2 5 2" xfId="3330" xr:uid="{3FBFDE74-F447-4F48-B827-D7958AFDA235}"/>
    <cellStyle name="Comma 3 5 2 2 6" xfId="3318" xr:uid="{4BE0B1FA-8236-49F4-B20F-FAFF13FA609C}"/>
    <cellStyle name="Comma 3 5 2 3" xfId="1013" xr:uid="{00000000-0005-0000-0000-0000F5030000}"/>
    <cellStyle name="Comma 3 5 2 3 2" xfId="3331" xr:uid="{6C462B2A-48D1-4A29-865D-B85617343130}"/>
    <cellStyle name="Comma 3 5 2 4" xfId="1014" xr:uid="{00000000-0005-0000-0000-0000F6030000}"/>
    <cellStyle name="Comma 3 5 2 4 2" xfId="3332" xr:uid="{2EB0ECB1-EF2C-41F4-9852-AA958DADEB82}"/>
    <cellStyle name="Comma 3 5 2 5" xfId="1015" xr:uid="{00000000-0005-0000-0000-0000F7030000}"/>
    <cellStyle name="Comma 3 5 2 5 2" xfId="3333" xr:uid="{2893985C-CA8C-4A05-A489-D53DD4048DBA}"/>
    <cellStyle name="Comma 3 5 2 6" xfId="3317" xr:uid="{54E3A01F-2797-48F6-BF95-9950A4FEF855}"/>
    <cellStyle name="Comma 3 5 3" xfId="1016" xr:uid="{00000000-0005-0000-0000-0000F8030000}"/>
    <cellStyle name="Comma 3 5 3 2" xfId="1017" xr:uid="{00000000-0005-0000-0000-0000F9030000}"/>
    <cellStyle name="Comma 3 5 3 2 2" xfId="3335" xr:uid="{3B0063B3-E153-4D45-8322-E15898B23BA7}"/>
    <cellStyle name="Comma 3 5 3 3" xfId="1018" xr:uid="{00000000-0005-0000-0000-0000FA030000}"/>
    <cellStyle name="Comma 3 5 3 3 2" xfId="3336" xr:uid="{2C62F903-6BFF-4789-94C0-3EB80C0B94F8}"/>
    <cellStyle name="Comma 3 5 3 4" xfId="1019" xr:uid="{00000000-0005-0000-0000-0000FB030000}"/>
    <cellStyle name="Comma 3 5 3 4 2" xfId="3337" xr:uid="{5FC4EA68-4D2D-4910-B578-D0BC34B7DC23}"/>
    <cellStyle name="Comma 3 5 3 5" xfId="3334" xr:uid="{339486D8-F10C-42FA-B422-54B7B4E80E36}"/>
    <cellStyle name="Comma 3 5 4" xfId="1020" xr:uid="{00000000-0005-0000-0000-0000FC030000}"/>
    <cellStyle name="Comma 3 5 4 2" xfId="3338" xr:uid="{C418CDB4-2606-4BEF-965A-873E466F41A1}"/>
    <cellStyle name="Comma 3 5 5" xfId="1021" xr:uid="{00000000-0005-0000-0000-0000FD030000}"/>
    <cellStyle name="Comma 3 5 5 2" xfId="3339" xr:uid="{78140BFE-A217-46C4-A787-735648C00E41}"/>
    <cellStyle name="Comma 3 5 6" xfId="1022" xr:uid="{00000000-0005-0000-0000-0000FE030000}"/>
    <cellStyle name="Comma 3 5 6 2" xfId="3340" xr:uid="{2EDA5DA8-7392-48FF-83A9-297D0A3B9EC1}"/>
    <cellStyle name="Comma 3 5 7" xfId="3316" xr:uid="{BBC00DC8-187B-41FF-B588-A9BDB8F6EE41}"/>
    <cellStyle name="Comma 3 6" xfId="1023" xr:uid="{00000000-0005-0000-0000-0000FF030000}"/>
    <cellStyle name="Comma 3 6 2" xfId="3341" xr:uid="{6F0B860F-D9F2-43B8-BA02-490F6E8C42D3}"/>
    <cellStyle name="Comma 3 7" xfId="1024" xr:uid="{00000000-0005-0000-0000-000000040000}"/>
    <cellStyle name="Comma 3 7 2" xfId="3342" xr:uid="{ACC9B9EB-DB3A-48B8-BEB1-B1AB22A20E90}"/>
    <cellStyle name="Comma 3 8" xfId="1025" xr:uid="{00000000-0005-0000-0000-000001040000}"/>
    <cellStyle name="Comma 3 8 2" xfId="3343" xr:uid="{D0707FC5-4E12-482E-9084-11F6DDA2B58C}"/>
    <cellStyle name="Comma 3 9" xfId="1026" xr:uid="{00000000-0005-0000-0000-000002040000}"/>
    <cellStyle name="Comma 3 9 2" xfId="2672" xr:uid="{A762D8F6-0846-4D2D-8159-B2CFDFB2A653}"/>
    <cellStyle name="Comma 3 9 2 2" xfId="3678" xr:uid="{189B8A65-D81C-409F-AB63-CD10BA144EFC}"/>
    <cellStyle name="Comma 3 9 3" xfId="3344" xr:uid="{1230E7C8-69A3-4986-890D-9BBCB2D9222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3346" xr:uid="{43095057-1A9E-48B5-A20B-690C1B59481E}"/>
    <cellStyle name="Comma 30 3" xfId="3345" xr:uid="{7FED4236-0F8C-4F11-80F1-568866FC4048}"/>
    <cellStyle name="Comma 31" xfId="1030" xr:uid="{00000000-0005-0000-0000-000006040000}"/>
    <cellStyle name="Comma 31 2" xfId="1031" xr:uid="{00000000-0005-0000-0000-000007040000}"/>
    <cellStyle name="Comma 31 2 2" xfId="3348" xr:uid="{84916A23-77EE-4048-A9EE-E8400E4B359D}"/>
    <cellStyle name="Comma 31 3" xfId="3347" xr:uid="{E6797E32-27A2-4CFF-8CA9-488CC9FBA4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3351" xr:uid="{25FD5F6A-BA66-4E75-8881-3975B258502F}"/>
    <cellStyle name="Comma 33 2 3" xfId="3350" xr:uid="{4F2F76F2-07AF-4383-A149-E7431A9CBFFC}"/>
    <cellStyle name="Comma 33 3" xfId="1037" xr:uid="{00000000-0005-0000-0000-00000D040000}"/>
    <cellStyle name="Comma 33 3 2" xfId="3352" xr:uid="{6EB9C659-38D0-4A37-BECC-ADD54E76D687}"/>
    <cellStyle name="Comma 33 4" xfId="3349" xr:uid="{DCC3DDD0-6A51-4D62-AB08-8CB4FB0D191E}"/>
    <cellStyle name="Comma 34" xfId="1038" xr:uid="{00000000-0005-0000-0000-00000E040000}"/>
    <cellStyle name="Comma 34 2" xfId="1039" xr:uid="{00000000-0005-0000-0000-00000F040000}"/>
    <cellStyle name="Comma 34 2 2" xfId="3354" xr:uid="{8970E4CF-4EB9-4B71-B7FE-321F11C9F4C1}"/>
    <cellStyle name="Comma 34 3" xfId="3353" xr:uid="{AAED142C-8ADD-43D3-848E-A5C0CB5C593C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3356" xr:uid="{1EC57161-6135-4234-B2E5-EC7BE7A2319A}"/>
    <cellStyle name="Comma 37 3" xfId="3355" xr:uid="{A8CAFC79-FFA3-4890-9474-6C64FB6E10C4}"/>
    <cellStyle name="Comma 38" xfId="1044" xr:uid="{00000000-0005-0000-0000-000014040000}"/>
    <cellStyle name="Comma 38 2" xfId="1045" xr:uid="{00000000-0005-0000-0000-000015040000}"/>
    <cellStyle name="Comma 38 2 2" xfId="3358" xr:uid="{26A53922-82FC-46C4-A48B-FE880F92B3CF}"/>
    <cellStyle name="Comma 38 3" xfId="3357" xr:uid="{8122DFE6-0774-4830-8057-25113947545B}"/>
    <cellStyle name="Comma 39" xfId="1046" xr:uid="{00000000-0005-0000-0000-000016040000}"/>
    <cellStyle name="Comma 39 2" xfId="3359" xr:uid="{6B28DA15-BF08-4E12-9802-1B4A3F2B758C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3362" xr:uid="{0CF92FE5-78EE-484D-AFEB-B8BE01E65383}"/>
    <cellStyle name="Comma 4 2 3" xfId="3361" xr:uid="{CE36ED6E-CDCD-4FC4-9BC0-557D62C4D390}"/>
    <cellStyle name="Comma 4 3" xfId="1050" xr:uid="{00000000-0005-0000-0000-00001A040000}"/>
    <cellStyle name="Comma 4 3 2" xfId="3363" xr:uid="{1FDE342F-B506-43A2-9676-184FDDB3D7D7}"/>
    <cellStyle name="Comma 4 4" xfId="1051" xr:uid="{00000000-0005-0000-0000-00001B040000}"/>
    <cellStyle name="Comma 4 4 2" xfId="3364" xr:uid="{5744F961-2CEC-4EB4-A574-DC17849D4F85}"/>
    <cellStyle name="Comma 4 5" xfId="1052" xr:uid="{00000000-0005-0000-0000-00001C040000}"/>
    <cellStyle name="Comma 4 5 2" xfId="3365" xr:uid="{87B291C6-340C-4C86-A354-80ABCFEAC508}"/>
    <cellStyle name="Comma 4 6" xfId="3360" xr:uid="{C0A6E0E4-ECAC-4EF8-B074-DFB1F44063FF}"/>
    <cellStyle name="Comma 40" xfId="1053" xr:uid="{00000000-0005-0000-0000-00001D040000}"/>
    <cellStyle name="Comma 40 2" xfId="3366" xr:uid="{A1944614-9AF2-4614-AEC9-AD03AEE99A08}"/>
    <cellStyle name="Comma 41" xfId="2894" xr:uid="{56B06B73-3AEB-4C9A-86A0-150B1D170BBE}"/>
    <cellStyle name="Comma 42" xfId="1054" xr:uid="{00000000-0005-0000-0000-00001E040000}"/>
    <cellStyle name="Comma 42 2" xfId="1055" xr:uid="{00000000-0005-0000-0000-00001F040000}"/>
    <cellStyle name="Comma 42 2 2" xfId="3368" xr:uid="{ABB92E67-7833-4912-964E-6B4D794A45F4}"/>
    <cellStyle name="Comma 42 3" xfId="3367" xr:uid="{860D5F43-4DAE-458A-8703-3CB70C0826CC}"/>
    <cellStyle name="Comma 43" xfId="3485" xr:uid="{044E1F31-79D6-48CE-A253-CBA39F5DF2F6}"/>
    <cellStyle name="Comma 44" xfId="3685" xr:uid="{7AAA93D4-2B0B-4D5E-97E6-8797B59ABE52}"/>
    <cellStyle name="Comma 45" xfId="1056" xr:uid="{00000000-0005-0000-0000-000020040000}"/>
    <cellStyle name="Comma 45 2" xfId="1057" xr:uid="{00000000-0005-0000-0000-000021040000}"/>
    <cellStyle name="Comma 45 2 2" xfId="3370" xr:uid="{259A966D-198F-4C42-9E99-A1A646128356}"/>
    <cellStyle name="Comma 45 3" xfId="3369" xr:uid="{91554EEA-7E46-43A0-B40C-913221E5FB4C}"/>
    <cellStyle name="Comma 46" xfId="1058" xr:uid="{00000000-0005-0000-0000-000022040000}"/>
    <cellStyle name="Comma 46 2" xfId="1059" xr:uid="{00000000-0005-0000-0000-000023040000}"/>
    <cellStyle name="Comma 46 2 2" xfId="3372" xr:uid="{22F66908-3959-4726-A23A-0210066AEA59}"/>
    <cellStyle name="Comma 46 3" xfId="3371" xr:uid="{60BE008F-F553-4FA3-8868-5D131CEA979A}"/>
    <cellStyle name="Comma 47" xfId="1060" xr:uid="{00000000-0005-0000-0000-000024040000}"/>
    <cellStyle name="Comma 47 2" xfId="1061" xr:uid="{00000000-0005-0000-0000-000025040000}"/>
    <cellStyle name="Comma 47 2 2" xfId="3374" xr:uid="{5E43AFC9-9184-4E87-9856-B98B48651B27}"/>
    <cellStyle name="Comma 47 3" xfId="3373" xr:uid="{8569ECE2-16A3-423F-AA48-B5316E574E89}"/>
    <cellStyle name="Comma 48" xfId="1062" xr:uid="{00000000-0005-0000-0000-000026040000}"/>
    <cellStyle name="Comma 48 2" xfId="1063" xr:uid="{00000000-0005-0000-0000-000027040000}"/>
    <cellStyle name="Comma 48 2 2" xfId="3376" xr:uid="{5A8B97D3-4B84-4827-8BAF-DF9B7AF15B40}"/>
    <cellStyle name="Comma 48 3" xfId="3375" xr:uid="{F70E9574-4149-4654-B730-55D060644C95}"/>
    <cellStyle name="Comma 49" xfId="1064" xr:uid="{00000000-0005-0000-0000-000028040000}"/>
    <cellStyle name="Comma 49 2" xfId="1065" xr:uid="{00000000-0005-0000-0000-000029040000}"/>
    <cellStyle name="Comma 49 2 2" xfId="3378" xr:uid="{EE0D6681-6ECD-4F51-BFD5-A773B7F32ECC}"/>
    <cellStyle name="Comma 49 3" xfId="3377" xr:uid="{B32DECA6-60C7-4A0F-A102-CD85A3AEAA63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3380" xr:uid="{4FE46E26-4892-460B-A5A2-3CC9633EE5CC}"/>
    <cellStyle name="Comma 5 2 3" xfId="3379" xr:uid="{7BCD7638-CB4C-4A89-AB24-DCE8229FF418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3382" xr:uid="{CDD1D98F-B5D0-4E85-8DCD-1CD0F2774841}"/>
    <cellStyle name="Comma 50 3" xfId="3381" xr:uid="{B586EAEF-0192-4D9B-AE19-83DA9846BB23}"/>
    <cellStyle name="Comma 51" xfId="1072" xr:uid="{00000000-0005-0000-0000-000030040000}"/>
    <cellStyle name="Comma 51 2" xfId="1073" xr:uid="{00000000-0005-0000-0000-000031040000}"/>
    <cellStyle name="Comma 51 2 2" xfId="3384" xr:uid="{58BD519D-0B06-48AF-A1A4-F7066A7A085E}"/>
    <cellStyle name="Comma 51 3" xfId="3383" xr:uid="{4E901F28-B4AD-4CB8-A9E8-8AC50FE5E39F}"/>
    <cellStyle name="Comma 52" xfId="1074" xr:uid="{00000000-0005-0000-0000-000032040000}"/>
    <cellStyle name="Comma 52 2" xfId="1075" xr:uid="{00000000-0005-0000-0000-000033040000}"/>
    <cellStyle name="Comma 52 2 2" xfId="3386" xr:uid="{80C90188-E4D0-45BA-96A5-1D3D79EEDCBB}"/>
    <cellStyle name="Comma 52 3" xfId="3385" xr:uid="{562A422C-73FC-4F8D-BB61-A253C4425FB6}"/>
    <cellStyle name="Comma 53" xfId="3484" xr:uid="{CBCF1A7A-93CA-42D6-8E9A-1883BCBF0D39}"/>
    <cellStyle name="Comma 54" xfId="3684" xr:uid="{63477F79-3D35-45D9-AEE2-32D55E42C2D9}"/>
    <cellStyle name="Comma 55" xfId="3481" xr:uid="{189D6CBE-7B83-41BC-BC52-87509490D39E}"/>
    <cellStyle name="Comma 56" xfId="3683" xr:uid="{5166F49D-75C0-430D-A2C8-9FC770C0E418}"/>
    <cellStyle name="Comma 57" xfId="3694" xr:uid="{00CAF8C4-F091-4ACF-A664-F7637D9615F9}"/>
    <cellStyle name="Comma 58" xfId="1076" xr:uid="{00000000-0005-0000-0000-000034040000}"/>
    <cellStyle name="Comma 58 2" xfId="1077" xr:uid="{00000000-0005-0000-0000-000035040000}"/>
    <cellStyle name="Comma 58 2 2" xfId="3388" xr:uid="{67D8358C-59BA-4614-90C6-65A2C4D7C0A2}"/>
    <cellStyle name="Comma 58 3" xfId="3387" xr:uid="{CE2DDB08-4F99-4D0D-923F-5D112261A6B6}"/>
    <cellStyle name="Comma 59" xfId="1078" xr:uid="{00000000-0005-0000-0000-000036040000}"/>
    <cellStyle name="Comma 59 2" xfId="1079" xr:uid="{00000000-0005-0000-0000-000037040000}"/>
    <cellStyle name="Comma 59 2 2" xfId="3390" xr:uid="{240AF12B-CC7D-4610-8B37-922EA11E26C3}"/>
    <cellStyle name="Comma 59 3" xfId="3389" xr:uid="{D07C27D6-07DD-4E58-AFC1-2E36A8EAC329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3393" xr:uid="{D4F0E268-D950-415A-9D7F-0D4651C263D6}"/>
    <cellStyle name="Comma 6 2 3" xfId="3392" xr:uid="{7E2BA294-D6AA-45DD-8771-307FF538D3C3}"/>
    <cellStyle name="Comma 6 3" xfId="3391" xr:uid="{E110B00F-34BA-445F-8752-6DDF539E6909}"/>
    <cellStyle name="Comma 60" xfId="3717" xr:uid="{B90DDFBF-9510-432E-B0DF-0362EC9BEBE1}"/>
    <cellStyle name="Comma 61" xfId="3692" xr:uid="{499D2860-C421-42A2-8A19-148708AAEFFF}"/>
    <cellStyle name="Comma 62" xfId="1083" xr:uid="{00000000-0005-0000-0000-00003B040000}"/>
    <cellStyle name="Comma 62 2" xfId="1084" xr:uid="{00000000-0005-0000-0000-00003C040000}"/>
    <cellStyle name="Comma 62 2 2" xfId="3395" xr:uid="{59AB1A88-6B4D-44B0-899D-2029898C742E}"/>
    <cellStyle name="Comma 62 3" xfId="3394" xr:uid="{C5988C4F-5BA2-4E57-A557-635824DAB1C4}"/>
    <cellStyle name="Comma 63" xfId="1085" xr:uid="{00000000-0005-0000-0000-00003D040000}"/>
    <cellStyle name="Comma 63 2" xfId="1086" xr:uid="{00000000-0005-0000-0000-00003E040000}"/>
    <cellStyle name="Comma 63 2 2" xfId="3397" xr:uid="{6F728383-BF9A-4A6B-882E-C05EF66626DB}"/>
    <cellStyle name="Comma 63 3" xfId="3396" xr:uid="{BFA5A6D1-AF4B-46FD-B7AC-D0830060660A}"/>
    <cellStyle name="Comma 64" xfId="3716" xr:uid="{345DC6EF-AEEA-487C-BFD4-FE87E25862AE}"/>
    <cellStyle name="Comma 65" xfId="3693" xr:uid="{B365CA5A-794C-4E90-B5FA-A6F25AA55161}"/>
    <cellStyle name="Comma 66" xfId="1087" xr:uid="{00000000-0005-0000-0000-00003F040000}"/>
    <cellStyle name="Comma 66 2" xfId="3398" xr:uid="{AEB2B944-5AD8-4521-AF52-BF86B34B945E}"/>
    <cellStyle name="Comma 67" xfId="1088" xr:uid="{00000000-0005-0000-0000-000040040000}"/>
    <cellStyle name="Comma 67 2" xfId="1089" xr:uid="{00000000-0005-0000-0000-000041040000}"/>
    <cellStyle name="Comma 67 2 2" xfId="3400" xr:uid="{40908323-A889-426C-977F-3F13A96A727C}"/>
    <cellStyle name="Comma 67 3" xfId="3399" xr:uid="{638B139E-B6DE-448D-A55E-66253EF9ED9B}"/>
    <cellStyle name="Comma 68" xfId="3715" xr:uid="{99AE82A2-9CDF-427E-968E-EF6D93EAF998}"/>
    <cellStyle name="Comma 69" xfId="3695" xr:uid="{929BC684-EFC6-4ACF-AB41-E95A49DAED7D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3403" xr:uid="{92B3141D-CF52-4E90-B234-9955ACDBEC4A}"/>
    <cellStyle name="Comma 7 2 3" xfId="3402" xr:uid="{4C749B98-E067-4DC8-A31D-0AA5836AD8B3}"/>
    <cellStyle name="Comma 7 3" xfId="1093" xr:uid="{00000000-0005-0000-0000-000045040000}"/>
    <cellStyle name="Comma 7 3 2" xfId="1094" xr:uid="{00000000-0005-0000-0000-000046040000}"/>
    <cellStyle name="Comma 7 3 2 2" xfId="3405" xr:uid="{02666E29-6BE6-4D05-989F-7BDC84EE523F}"/>
    <cellStyle name="Comma 7 3 3" xfId="3404" xr:uid="{CB169DFB-7E68-402D-B63E-6771E4270DA9}"/>
    <cellStyle name="Comma 7 4" xfId="3401" xr:uid="{3AA8D974-F2B6-4265-8066-A7E41C5AB5E6}"/>
    <cellStyle name="Comma 70" xfId="3718" xr:uid="{722E6DDD-5507-401A-94C1-9A5567298810}"/>
    <cellStyle name="Comma 71" xfId="3696" xr:uid="{EF1A73F1-02D9-4C67-9944-18BAD2902041}"/>
    <cellStyle name="Comma 72" xfId="1095" xr:uid="{00000000-0005-0000-0000-000047040000}"/>
    <cellStyle name="Comma 72 2" xfId="3406" xr:uid="{1CC11A5B-0C53-42A9-82EF-3C5180A68B2E}"/>
    <cellStyle name="Comma 74" xfId="1096" xr:uid="{00000000-0005-0000-0000-000048040000}"/>
    <cellStyle name="Comma 74 2" xfId="1097" xr:uid="{00000000-0005-0000-0000-000049040000}"/>
    <cellStyle name="Comma 74 2 2" xfId="3408" xr:uid="{EBFCEEB8-42E0-422D-A53B-85EAF339DDF7}"/>
    <cellStyle name="Comma 74 3" xfId="3407" xr:uid="{1CE96D43-9ECB-4AD7-A826-6915AF08C645}"/>
    <cellStyle name="Comma 75" xfId="1098" xr:uid="{00000000-0005-0000-0000-00004A040000}"/>
    <cellStyle name="Comma 75 2" xfId="1099" xr:uid="{00000000-0005-0000-0000-00004B040000}"/>
    <cellStyle name="Comma 75 2 2" xfId="3410" xr:uid="{17F2F77D-042C-47C4-9859-CB77AE2BE21A}"/>
    <cellStyle name="Comma 75 3" xfId="3409" xr:uid="{9F69565A-B017-4548-BCC9-6583A17D204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3414" xr:uid="{80BD36E7-74D9-4D1C-89F2-55BBE3C20D35}"/>
    <cellStyle name="Comma 8 2 2 3" xfId="3413" xr:uid="{EDD0AD4D-22BB-4A51-B920-B82D013EF245}"/>
    <cellStyle name="Comma 8 2 3" xfId="1104" xr:uid="{00000000-0005-0000-0000-000050040000}"/>
    <cellStyle name="Comma 8 2 3 2" xfId="3415" xr:uid="{A0AF79AF-0775-40F1-836D-2AFF77C43932}"/>
    <cellStyle name="Comma 8 2 4" xfId="3412" xr:uid="{33867A3D-5F3A-486A-9A3A-D9288F7AD6E9}"/>
    <cellStyle name="Comma 8 3" xfId="1105" xr:uid="{00000000-0005-0000-0000-000051040000}"/>
    <cellStyle name="Comma 8 3 2" xfId="3416" xr:uid="{3B8A3FF0-2652-4A28-9ACE-1D22E5E3D7A1}"/>
    <cellStyle name="Comma 8 4" xfId="3411" xr:uid="{DAD9C7F6-35FC-41B2-8C31-F243C2C25546}"/>
    <cellStyle name="Comma 82" xfId="1106" xr:uid="{00000000-0005-0000-0000-000052040000}"/>
    <cellStyle name="Comma 82 2" xfId="1107" xr:uid="{00000000-0005-0000-0000-000053040000}"/>
    <cellStyle name="Comma 82 2 2" xfId="3418" xr:uid="{5B719218-7BFE-40D2-B331-DCD33CC14A69}"/>
    <cellStyle name="Comma 82 3" xfId="3417" xr:uid="{EDA30FB0-6664-44E2-A1A8-2ED5E15028A9}"/>
    <cellStyle name="Comma 83" xfId="1108" xr:uid="{00000000-0005-0000-0000-000054040000}"/>
    <cellStyle name="Comma 83 2" xfId="1109" xr:uid="{00000000-0005-0000-0000-000055040000}"/>
    <cellStyle name="Comma 83 2 2" xfId="3420" xr:uid="{F5ECB52A-E0DE-428B-A385-0617CCD65AC6}"/>
    <cellStyle name="Comma 83 3" xfId="3419" xr:uid="{7FB2C5F5-BB6A-4147-9FD1-1297D45E60DC}"/>
    <cellStyle name="Comma 85" xfId="1110" xr:uid="{00000000-0005-0000-0000-000056040000}"/>
    <cellStyle name="Comma 85 2" xfId="1111" xr:uid="{00000000-0005-0000-0000-000057040000}"/>
    <cellStyle name="Comma 85 2 2" xfId="3422" xr:uid="{01F14A90-9BFF-4837-A283-5F09DBE4145E}"/>
    <cellStyle name="Comma 85 3" xfId="3421" xr:uid="{99CF7344-20A0-4BD6-8A14-9F4BC29C9C2C}"/>
    <cellStyle name="Comma 86" xfId="1112" xr:uid="{00000000-0005-0000-0000-000058040000}"/>
    <cellStyle name="Comma 86 2" xfId="1113" xr:uid="{00000000-0005-0000-0000-000059040000}"/>
    <cellStyle name="Comma 86 2 2" xfId="3424" xr:uid="{29CCC575-F522-44AB-AD0A-BA08E955706D}"/>
    <cellStyle name="Comma 86 3" xfId="3423" xr:uid="{4ADE74C2-3D53-4E8C-B62B-607A196F2893}"/>
    <cellStyle name="Comma 89" xfId="1114" xr:uid="{00000000-0005-0000-0000-00005A040000}"/>
    <cellStyle name="Comma 89 2" xfId="3425" xr:uid="{3731D473-9D61-434D-A343-EDB6C57B8459}"/>
    <cellStyle name="Comma 9" xfId="1115" xr:uid="{00000000-0005-0000-0000-00005B040000}"/>
    <cellStyle name="Comma 9 2" xfId="1116" xr:uid="{00000000-0005-0000-0000-00005C040000}"/>
    <cellStyle name="Comma 9 2 2" xfId="3427" xr:uid="{1F7CF999-951D-4F17-B8B5-2A29C4944C28}"/>
    <cellStyle name="Comma 9 3" xfId="1117" xr:uid="{00000000-0005-0000-0000-00005D040000}"/>
    <cellStyle name="Comma 9 3 2" xfId="3428" xr:uid="{EF4E7A22-53A7-4F4F-B9E0-956180EE2C28}"/>
    <cellStyle name="Comma 9 4" xfId="1118" xr:uid="{00000000-0005-0000-0000-00005E040000}"/>
    <cellStyle name="Comma 9 4 2" xfId="3429" xr:uid="{376824FE-D1A6-42E9-A007-2428092FF5ED}"/>
    <cellStyle name="Comma 9 5" xfId="3426" xr:uid="{6CB219EE-1BEE-4E1F-B64A-E9EEB6F0C63B}"/>
    <cellStyle name="Comma 98" xfId="1119" xr:uid="{00000000-0005-0000-0000-00005F040000}"/>
    <cellStyle name="Comma 98 2" xfId="3430" xr:uid="{650DB66C-EF96-4DD6-B623-192F5C09C26A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431" xr:uid="{535C083B-5BA9-4840-87F6-7CCF2A790FA6}"/>
    <cellStyle name="Currency [0] 3" xfId="1127" xr:uid="{00000000-0005-0000-0000-000067040000}"/>
    <cellStyle name="Currency [0] 3 2" xfId="3432" xr:uid="{D5E3C96C-6F97-44E9-B753-41BB49B169E9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3434" xr:uid="{88FC04EE-D163-4978-83D7-C0DA91A5850E}"/>
    <cellStyle name="Normal 126 2 3" xfId="3698" xr:uid="{3EB6A169-5016-4A63-9058-D9C7E2BBC12C}"/>
    <cellStyle name="Normal 126 3" xfId="3433" xr:uid="{FF1C1214-6A69-4780-B1FC-3F2033DFC0F7}"/>
    <cellStyle name="Normal 126 4" xfId="3697" xr:uid="{C78FBDB0-1627-4362-BD24-96539D5B50E2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3436" xr:uid="{5A80AE66-D623-4BF7-884C-04C45B7635DB}"/>
    <cellStyle name="Normal 134 2 3" xfId="3700" xr:uid="{E422D458-A3BD-45FE-8F31-99F3A5D04B8C}"/>
    <cellStyle name="Normal 134 3" xfId="3435" xr:uid="{BBB3AF98-FE7E-4A5D-980C-A11977824812}"/>
    <cellStyle name="Normal 134 4" xfId="3699" xr:uid="{61646583-A453-486A-AC57-02B376AB2A30}"/>
    <cellStyle name="Normal 135" xfId="1536" xr:uid="{00000000-0005-0000-0000-000001060000}"/>
    <cellStyle name="Normal 135 2" xfId="3437" xr:uid="{C7FACAE4-5C39-417B-B886-0B40EC3821DF}"/>
    <cellStyle name="Normal 135 3" xfId="3701" xr:uid="{E0D7BB7B-0B8F-4EC9-BCD5-476489FC63E2}"/>
    <cellStyle name="Normal 136" xfId="1537" xr:uid="{00000000-0005-0000-0000-000002060000}"/>
    <cellStyle name="Normal 136 2" xfId="3438" xr:uid="{6831DEFF-55FE-45E3-8256-7B8C9CC91EFF}"/>
    <cellStyle name="Normal 136 3" xfId="3702" xr:uid="{F1CBD96A-1010-4B1D-B9B0-0247B6B17203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679" xr:uid="{3400BFA7-B43E-4E3F-A5AF-D97DD8440B67}"/>
    <cellStyle name="Normal 137 2 2 3" xfId="3720" xr:uid="{7FF41EA3-334A-4C08-AAB3-A76CAE899332}"/>
    <cellStyle name="Normal 137 2 3" xfId="3440" xr:uid="{DBFED99F-F201-4435-8350-F0E0B590DF22}"/>
    <cellStyle name="Normal 137 2 4" xfId="3704" xr:uid="{3BC1C0C5-0721-4606-9D4F-4EC94FC3168F}"/>
    <cellStyle name="Normal 137 3" xfId="2670" xr:uid="{DE2FAB10-EC26-4C42-9A25-5D9F87A07F8A}"/>
    <cellStyle name="Normal 137 3 2" xfId="3677" xr:uid="{C0ABB60D-AC2A-4055-B3F1-73A6CDB5B8F6}"/>
    <cellStyle name="Normal 137 3 3" xfId="3719" xr:uid="{74196348-F776-49FA-B22F-2C4A6C508258}"/>
    <cellStyle name="Normal 137 4" xfId="3439" xr:uid="{86D69212-888B-438F-A513-0E0FB5F5D9C4}"/>
    <cellStyle name="Normal 137 5" xfId="3703" xr:uid="{C1EBFAD5-59A4-46B7-8868-5967DD96CD34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441" xr:uid="{B5F7C958-DCA6-40FF-BC2E-13ACD3474E91}"/>
    <cellStyle name="Normal 16 3" xfId="1573" xr:uid="{00000000-0005-0000-0000-000026060000}"/>
    <cellStyle name="Normal 16 3 2" xfId="1574" xr:uid="{00000000-0005-0000-0000-000027060000}"/>
    <cellStyle name="Normal 16 3 2 2" xfId="3443" xr:uid="{846F1320-DFAA-4257-B98E-7ABD0E8E48A1}"/>
    <cellStyle name="Normal 16 3 3" xfId="3442" xr:uid="{5622B9C8-CF0E-4B28-AEC9-A0D40063AF0E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444" xr:uid="{FC0F11C2-52FB-48FE-8B7B-A1F232800E1C}"/>
    <cellStyle name="Normal 18_4_Pembangunan JTM Baru Penyulang CPU 5" xfId="1596" xr:uid="{00000000-0005-0000-0000-00003D060000}"/>
    <cellStyle name="Normal 19" xfId="1597" xr:uid="{00000000-0005-0000-0000-00003E060000}"/>
    <cellStyle name="Normal 19 2" xfId="3445" xr:uid="{0151EA4C-78C4-4920-85EE-C9CEE2EE00C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446" xr:uid="{F0CEC992-4694-4485-A469-F9CF1945CC8D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448" xr:uid="{9DB78FF5-1E93-407B-9CFC-075D9B59009F}"/>
    <cellStyle name="Normal 2 11 3" xfId="1618" xr:uid="{00000000-0005-0000-0000-000053060000}"/>
    <cellStyle name="Normal 2 11 3 2" xfId="3449" xr:uid="{C843BBCB-5FE4-40B8-A94F-E85A41277304}"/>
    <cellStyle name="Normal 2 11 4" xfId="1619" xr:uid="{00000000-0005-0000-0000-000054060000}"/>
    <cellStyle name="Normal 2 11 4 2" xfId="3450" xr:uid="{54DACB88-8F06-4613-B03E-ED30ED2BF463}"/>
    <cellStyle name="Normal 2 11 5" xfId="3447" xr:uid="{056B4804-C526-4363-9E61-5E6F92A788FF}"/>
    <cellStyle name="Normal 2 12" xfId="1620" xr:uid="{00000000-0005-0000-0000-000055060000}"/>
    <cellStyle name="Normal 2 12 2" xfId="1621" xr:uid="{00000000-0005-0000-0000-000056060000}"/>
    <cellStyle name="Normal 2 12 2 2" xfId="3452" xr:uid="{C541D3C0-127D-416D-8D7B-3B538C240814}"/>
    <cellStyle name="Normal 2 12 3" xfId="3451" xr:uid="{D16FEA2F-EE9D-45AD-A0B9-824A733B6BF3}"/>
    <cellStyle name="Normal 2 12_SR DERET_ASLI" xfId="1622" xr:uid="{00000000-0005-0000-0000-000057060000}"/>
    <cellStyle name="Normal 2 13" xfId="1623" xr:uid="{00000000-0005-0000-0000-000058060000}"/>
    <cellStyle name="Normal 2 13 2" xfId="3453" xr:uid="{26A8B6EF-499B-4263-AFB9-E029A0B01480}"/>
    <cellStyle name="Normal 2 14" xfId="1624" xr:uid="{00000000-0005-0000-0000-000059060000}"/>
    <cellStyle name="Normal 2 15" xfId="1625" xr:uid="{00000000-0005-0000-0000-00005A060000}"/>
    <cellStyle name="Normal 2 15 2" xfId="3454" xr:uid="{425DEADE-D0A5-4D7B-891C-DC14CBC9AD7B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455" xr:uid="{9F5E63A3-43E0-4270-B865-D7D91A1C5D41}"/>
    <cellStyle name="Normal 2 2 11" xfId="1636" xr:uid="{00000000-0005-0000-0000-000065060000}"/>
    <cellStyle name="Normal 2 2 11 2" xfId="3456" xr:uid="{8CB2B893-0EEB-4A27-80E7-9F40514EFCD0}"/>
    <cellStyle name="Normal 2 2 12" xfId="1637" xr:uid="{00000000-0005-0000-0000-000066060000}"/>
    <cellStyle name="Normal 2 2 12 2" xfId="3457" xr:uid="{19E55F1A-984E-48A8-A078-153088E3C7B7}"/>
    <cellStyle name="Normal 2 2 13" xfId="1638" xr:uid="{00000000-0005-0000-0000-000067060000}"/>
    <cellStyle name="Normal 2 2 13 2" xfId="3458" xr:uid="{6BF1DEC9-99AB-48D3-B0F7-7B2AA41F9B63}"/>
    <cellStyle name="Normal 2 2 14" xfId="1639" xr:uid="{00000000-0005-0000-0000-000068060000}"/>
    <cellStyle name="Normal 2 2 14 2" xfId="3459" xr:uid="{4C0B3ACD-81D8-4381-BE7C-44AA894E5CB1}"/>
    <cellStyle name="Normal 2 2 15" xfId="1640" xr:uid="{00000000-0005-0000-0000-000069060000}"/>
    <cellStyle name="Normal 2 2 15 2" xfId="3460" xr:uid="{ECC33DB2-2681-4D00-90BF-E94FAD88C493}"/>
    <cellStyle name="Normal 2 2 16" xfId="1641" xr:uid="{00000000-0005-0000-0000-00006A060000}"/>
    <cellStyle name="Normal 2 2 16 2" xfId="3461" xr:uid="{F0E68FF8-6737-4BE9-B7EE-9E03A830346F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462" xr:uid="{99DCCB5F-AEE2-4031-B203-E974CBAADF06}"/>
    <cellStyle name="Normal 2 2 5" xfId="1674" xr:uid="{00000000-0005-0000-0000-00008B060000}"/>
    <cellStyle name="Normal 2 2 5 2" xfId="3463" xr:uid="{404E2D80-12B0-4333-A1B4-DC1E2AD03308}"/>
    <cellStyle name="Normal 2 2 6" xfId="1675" xr:uid="{00000000-0005-0000-0000-00008C060000}"/>
    <cellStyle name="Normal 2 2 6 2" xfId="3464" xr:uid="{0F5F1042-2E1F-4B9C-817F-A3C9893E7017}"/>
    <cellStyle name="Normal 2 2 7" xfId="1676" xr:uid="{00000000-0005-0000-0000-00008D060000}"/>
    <cellStyle name="Normal 2 2 7 2" xfId="3465" xr:uid="{63751F32-F0F2-408F-94C5-84DD2E1CF183}"/>
    <cellStyle name="Normal 2 2 8" xfId="1677" xr:uid="{00000000-0005-0000-0000-00008E060000}"/>
    <cellStyle name="Normal 2 2 8 2" xfId="3466" xr:uid="{F78E034C-5025-440B-99E6-10D14B6B6AAD}"/>
    <cellStyle name="Normal 2 2 9" xfId="1678" xr:uid="{00000000-0005-0000-0000-00008F060000}"/>
    <cellStyle name="Normal 2 2 9 2" xfId="3467" xr:uid="{98677F7F-FC41-4D44-98C1-4116912677E5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3470" xr:uid="{961D5280-C709-45C2-9838-5F8F96DB3C68}"/>
    <cellStyle name="Normal 2 5 2 2 3" xfId="3707" xr:uid="{908EE8AE-05BC-421A-8F9E-6824FEAD3398}"/>
    <cellStyle name="Normal 2 5 2 3" xfId="3469" xr:uid="{AF499AF9-D28A-4666-877A-12C9AD201220}"/>
    <cellStyle name="Normal 2 5 2 4" xfId="3706" xr:uid="{F2E71573-55F6-41D1-AF08-DCB41BAC34FD}"/>
    <cellStyle name="Normal 2 5 3" xfId="1754" xr:uid="{00000000-0005-0000-0000-0000DB060000}"/>
    <cellStyle name="Normal 2 5 3 2" xfId="3471" xr:uid="{A15848AE-8037-4BCC-AA03-23276E14ED00}"/>
    <cellStyle name="Normal 2 5 3 3" xfId="3708" xr:uid="{9D7400C9-BA7F-47C4-8587-4AAD41B14224}"/>
    <cellStyle name="Normal 2 5 4" xfId="3468" xr:uid="{029ADF14-BBFF-4F5F-8B90-16227F6E7DA4}"/>
    <cellStyle name="Normal 2 5 5" xfId="3705" xr:uid="{349B9E55-7B48-4C02-B900-D4A6584E2C89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472" xr:uid="{AD3648CF-F936-4FD0-A6D6-6737F4358BE8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473" xr:uid="{45E5531D-889A-4A69-8EBD-D17BF7E2C1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474" xr:uid="{F551103B-1BBA-439D-B034-4780CEBB7F3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476" xr:uid="{9B5D72CE-C11A-44B5-A32C-3F2D7F0AE5DD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477" xr:uid="{BE38B241-F06D-4151-91A3-37C04FB662E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478" xr:uid="{A8982042-97F5-48BB-9D9C-978350410BF9}"/>
    <cellStyle name="Normal 21_DATA DINGO &amp; IMG _OK" xfId="1884" xr:uid="{00000000-0005-0000-0000-00005D070000}"/>
    <cellStyle name="Normal 22" xfId="1885" xr:uid="{00000000-0005-0000-0000-00005E070000}"/>
    <cellStyle name="Normal 22 2" xfId="3479" xr:uid="{666F9F2D-87F0-4BCC-8335-263FBA2076AD}"/>
    <cellStyle name="Normal 23" xfId="1886" xr:uid="{00000000-0005-0000-0000-00005F070000}"/>
    <cellStyle name="Normal 23 2" xfId="3480" xr:uid="{01AC98F8-A2FC-4B03-9CFE-D2317283EDFF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3483" xr:uid="{603C58CD-D9D2-49F3-9FAA-3969D5582E9B}"/>
    <cellStyle name="Normal 4 4 3" xfId="3710" xr:uid="{E3F076F7-657C-43C2-81CD-380E7EBA2B1E}"/>
    <cellStyle name="Normal 4 5" xfId="3482" xr:uid="{993BBF43-BA77-40E7-9477-5E2DCDF0B1EF}"/>
    <cellStyle name="Normal 4 6" xfId="3709" xr:uid="{BEAB1355-6400-49DE-8039-C42D8FDCE214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487" xr:uid="{4286B74C-E72F-4303-A6D5-2A18AA26F3D5}"/>
    <cellStyle name="Normal 8 3" xfId="2024" xr:uid="{00000000-0005-0000-0000-0000E9070000}"/>
    <cellStyle name="Normal 8 3 2" xfId="3488" xr:uid="{2626A6CD-1A48-4FE9-9CCF-841B6DEED433}"/>
    <cellStyle name="Normal 8 3 3" xfId="3712" xr:uid="{97E8DBCC-24CA-44AD-937E-62B83A8CB686}"/>
    <cellStyle name="Normal 8 4" xfId="3486" xr:uid="{58900736-645E-4E51-B2D2-7629F0A0E846}"/>
    <cellStyle name="Normal 8 5" xfId="3711" xr:uid="{63AE5C84-0395-40FE-BFE8-361FF921F95D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75" xr:uid="{D0C74592-A105-441F-BBA9-F9686DB8FD79}"/>
    <cellStyle name="Normal 9 11" xfId="3713" xr:uid="{663EFAC1-0F60-4581-825A-E74CEF4CCC19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92" xr:uid="{EA6D900C-4AAB-491E-B3D0-D6CB21D0F480}"/>
    <cellStyle name="Normal 9 2 2 3" xfId="2046" xr:uid="{00000000-0005-0000-0000-0000FF070000}"/>
    <cellStyle name="Normal 9 2 2 3 2" xfId="3493" xr:uid="{A95DFCAB-405E-4A2C-BD32-F5D74B64D9C5}"/>
    <cellStyle name="Normal 9 2 2 4" xfId="2047" xr:uid="{00000000-0005-0000-0000-000000080000}"/>
    <cellStyle name="Normal 9 2 2 4 2" xfId="3494" xr:uid="{406C8E0F-C371-4CA7-924B-640B689F789B}"/>
    <cellStyle name="Normal 9 2 2 5" xfId="3491" xr:uid="{A6F876E0-6CC7-4B4B-84FE-63AE1A556E09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98" xr:uid="{71A15C33-7520-4E4A-AF6A-89FA805A5E64}"/>
    <cellStyle name="Normal 9 2 3 2 2 3" xfId="2052" xr:uid="{00000000-0005-0000-0000-000005080000}"/>
    <cellStyle name="Normal 9 2 3 2 2 3 2" xfId="3499" xr:uid="{3A94285F-798B-46B5-9E33-16DF181A3302}"/>
    <cellStyle name="Normal 9 2 3 2 2 4" xfId="2053" xr:uid="{00000000-0005-0000-0000-000006080000}"/>
    <cellStyle name="Normal 9 2 3 2 2 4 2" xfId="3500" xr:uid="{3100BEE8-13A0-4590-85A2-1C6441F00465}"/>
    <cellStyle name="Normal 9 2 3 2 2 5" xfId="2054" xr:uid="{00000000-0005-0000-0000-000007080000}"/>
    <cellStyle name="Normal 9 2 3 2 2 5 2" xfId="3501" xr:uid="{8B905EA0-7A53-4A9A-96A0-8E9283734890}"/>
    <cellStyle name="Normal 9 2 3 2 2 6" xfId="3497" xr:uid="{9A17C6BF-7378-485A-9951-19F28E291538}"/>
    <cellStyle name="Normal 9 2 3 2 3" xfId="2055" xr:uid="{00000000-0005-0000-0000-000008080000}"/>
    <cellStyle name="Normal 9 2 3 2 3 2" xfId="2056" xr:uid="{00000000-0005-0000-0000-000009080000}"/>
    <cellStyle name="Normal 9 2 3 2 3 2 2" xfId="3503" xr:uid="{CFE973B0-42B6-4E36-9E8F-3E0108A8D96B}"/>
    <cellStyle name="Normal 9 2 3 2 3 3" xfId="2057" xr:uid="{00000000-0005-0000-0000-00000A080000}"/>
    <cellStyle name="Normal 9 2 3 2 3 3 2" xfId="3504" xr:uid="{C65624BE-EC03-452F-9CAD-E09D67243693}"/>
    <cellStyle name="Normal 9 2 3 2 3 4" xfId="2058" xr:uid="{00000000-0005-0000-0000-00000B080000}"/>
    <cellStyle name="Normal 9 2 3 2 3 4 2" xfId="3505" xr:uid="{16E15499-956A-46EF-A262-496D03F9D94E}"/>
    <cellStyle name="Normal 9 2 3 2 3 5" xfId="3502" xr:uid="{B6057CB5-E5F4-4002-92FD-F28CE21AA7F6}"/>
    <cellStyle name="Normal 9 2 3 2 4" xfId="2059" xr:uid="{00000000-0005-0000-0000-00000C080000}"/>
    <cellStyle name="Normal 9 2 3 2 4 2" xfId="3506" xr:uid="{26F782EE-0FB7-47FE-810D-A469402F67F6}"/>
    <cellStyle name="Normal 9 2 3 2 5" xfId="2060" xr:uid="{00000000-0005-0000-0000-00000D080000}"/>
    <cellStyle name="Normal 9 2 3 2 5 2" xfId="3507" xr:uid="{7019BD86-811C-4355-A8A6-BA394FD37151}"/>
    <cellStyle name="Normal 9 2 3 2 6" xfId="2061" xr:uid="{00000000-0005-0000-0000-00000E080000}"/>
    <cellStyle name="Normal 9 2 3 2 6 2" xfId="3508" xr:uid="{092C3E0E-5476-45B3-820C-F0D698EB44CE}"/>
    <cellStyle name="Normal 9 2 3 2 7" xfId="3496" xr:uid="{17802850-3911-4B3E-8137-08C73B0ACFFE}"/>
    <cellStyle name="Normal 9 2 3 2_PETA POHON LITA TRW I 2010" xfId="2062" xr:uid="{00000000-0005-0000-0000-00000F080000}"/>
    <cellStyle name="Normal 9 2 3 3" xfId="2063" xr:uid="{00000000-0005-0000-0000-000010080000}"/>
    <cellStyle name="Normal 9 2 3 3 2" xfId="3509" xr:uid="{9D0AC452-6BBC-4D29-B7F5-A80AAF8E3083}"/>
    <cellStyle name="Normal 9 2 3 4" xfId="2064" xr:uid="{00000000-0005-0000-0000-000011080000}"/>
    <cellStyle name="Normal 9 2 3 4 2" xfId="3510" xr:uid="{61C0A8FE-88AD-422A-A749-7C9E3526C2DC}"/>
    <cellStyle name="Normal 9 2 3 5" xfId="2065" xr:uid="{00000000-0005-0000-0000-000012080000}"/>
    <cellStyle name="Normal 9 2 3 5 2" xfId="3511" xr:uid="{9D5A5705-EE57-470B-87ED-4399B1F395A8}"/>
    <cellStyle name="Normal 9 2 3 6" xfId="3495" xr:uid="{78BAF5CA-D860-4EB8-9B9B-704B31C2F7AC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512" xr:uid="{67829D6C-BB9C-4499-B5A0-9BDE9615D1B1}"/>
    <cellStyle name="Normal 9 2 5" xfId="2068" xr:uid="{00000000-0005-0000-0000-000015080000}"/>
    <cellStyle name="Normal 9 2 5 2" xfId="3513" xr:uid="{D96B0302-0C2B-4E5E-B1F7-A0BEC2CC7D8B}"/>
    <cellStyle name="Normal 9 2 6" xfId="2069" xr:uid="{00000000-0005-0000-0000-000016080000}"/>
    <cellStyle name="Normal 9 2 6 2" xfId="3514" xr:uid="{E29484D5-E3E0-4FA8-8A7E-F2AFB160752E}"/>
    <cellStyle name="Normal 9 2 7" xfId="3490" xr:uid="{EFF3ABAF-B9E6-45D9-AFF1-47256CE68BBE}"/>
    <cellStyle name="Normal 9 2_ENTRI RABAS-RABAS TRW IV_LT_qq" xfId="2070" xr:uid="{00000000-0005-0000-0000-000017080000}"/>
    <cellStyle name="Normal 9 3" xfId="2071" xr:uid="{00000000-0005-0000-0000-000018080000}"/>
    <cellStyle name="Normal 9 3 2" xfId="3515" xr:uid="{F21824C3-9B66-4128-9D46-E749747BAD2F}"/>
    <cellStyle name="Normal 9 4" xfId="2072" xr:uid="{00000000-0005-0000-0000-000019080000}"/>
    <cellStyle name="Normal 9 4 2" xfId="3516" xr:uid="{7E0290FF-A58A-4F31-98EF-C4B76069557F}"/>
    <cellStyle name="Normal 9 5" xfId="2073" xr:uid="{00000000-0005-0000-0000-00001A080000}"/>
    <cellStyle name="Normal 9 5 2" xfId="3517" xr:uid="{84039106-A2E1-4259-B54F-F352D9DD586C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3518" xr:uid="{42084EC3-3C86-49B4-8CA9-5D6334B23944}"/>
    <cellStyle name="Normal 9 7 3" xfId="3714" xr:uid="{7C03AFF2-FE2C-4BF0-85C3-1517FFF1FFE0}"/>
    <cellStyle name="Normal 9 8" xfId="3489" xr:uid="{882F6670-49FE-4E87-BCAD-1EA503593D96}"/>
    <cellStyle name="Normal 9 9" xfId="3682" xr:uid="{A32A59B2-0006-4E01-8DC6-DA608259A3DA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3 2" xfId="3520" xr:uid="{2536A785-00E5-4B84-81E8-1EAEA26653CF}"/>
    <cellStyle name="Note 16 4" xfId="3519" xr:uid="{EFE872DC-27DC-4C50-9266-8A3F5C1488DE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3 2" xfId="3522" xr:uid="{3CA6B92C-C087-4210-A0A5-6955C77EC960}"/>
    <cellStyle name="Note 17 4" xfId="3521" xr:uid="{39157414-42D4-42E7-834F-AB970DDA6ABB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3 2" xfId="3524" xr:uid="{762DC167-2A47-41FC-A074-A5C65B92B4E0}"/>
    <cellStyle name="Note 18 4" xfId="3523" xr:uid="{2FC1771F-39EA-447F-8CB3-5BC76D60A76F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3 2" xfId="3526" xr:uid="{8DD08EF2-718E-4010-AD73-297F892A4BBB}"/>
    <cellStyle name="Note 19 4" xfId="3525" xr:uid="{36D7C0C8-F185-4F91-8A71-5101C16A00E2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3 2" xfId="3528" xr:uid="{25D6E144-C34A-459B-B431-12C9B8441284}"/>
    <cellStyle name="Note 20 4" xfId="3527" xr:uid="{B506731C-E248-4797-B1C8-94253837BF16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3 2" xfId="3530" xr:uid="{6A30C511-D5F8-4977-85FC-903968321542}"/>
    <cellStyle name="Note 21 4" xfId="3529" xr:uid="{69B05C33-0C99-4B26-9C4A-784DB70D81E9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3 2" xfId="3532" xr:uid="{66B64D40-8026-4732-A981-27F0C9529A50}"/>
    <cellStyle name="Note 22 4" xfId="3531" xr:uid="{3AB2EC21-BAD6-4B57-A238-E47D3DE2F602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3 2" xfId="3534" xr:uid="{079C6133-D00F-46E8-B255-CDDCEE5D3D08}"/>
    <cellStyle name="Note 23 4" xfId="3533" xr:uid="{43A7903C-F373-422B-81B0-4736570DFF87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3 2" xfId="3536" xr:uid="{044E4E89-B202-456D-85E6-ACEB89B85F74}"/>
    <cellStyle name="Note 24 4" xfId="3535" xr:uid="{3828682D-9A76-4F0F-AD62-4571BDAEEC34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3 2" xfId="3538" xr:uid="{22FE504D-EFD4-4C41-AB36-C34306B2B5AD}"/>
    <cellStyle name="Note 25 4" xfId="3537" xr:uid="{2F1E5B25-76ED-42BF-9771-4EB30E6BB50E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3 2" xfId="3540" xr:uid="{06FBA32A-3619-464D-BA13-A3414DFB96A6}"/>
    <cellStyle name="Note 26 4" xfId="3539" xr:uid="{88065A13-0AE7-4086-9086-289F57E131C7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3 2" xfId="3542" xr:uid="{9C565B19-A599-4C88-8A92-DA044578BB56}"/>
    <cellStyle name="Note 27 4" xfId="3541" xr:uid="{2C378D1B-BA8B-4766-84FD-80774053EE68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3 2" xfId="3544" xr:uid="{8D925F65-423C-40F6-89EC-6D0C91CECFB0}"/>
    <cellStyle name="Note 28 4" xfId="3543" xr:uid="{AD03EFD4-0575-43E6-9A55-2C16377CDF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3 2" xfId="3546" xr:uid="{A94186FB-F0DF-4F87-BCCE-A9FF231514FE}"/>
    <cellStyle name="Note 29 4" xfId="3545" xr:uid="{FBBDA699-0261-4A98-9AFF-F900A3AB1048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3 2" xfId="3548" xr:uid="{E3A90761-EFE3-4D1E-B686-BD40965BA53C}"/>
    <cellStyle name="Note 30 4" xfId="3547" xr:uid="{8E19211A-4760-43C7-8CBA-307ABFBE1D54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3 2" xfId="3550" xr:uid="{1395C12D-045E-4EA9-807C-746CB167E2C5}"/>
    <cellStyle name="Note 31 4" xfId="3549" xr:uid="{14EA3629-2E5A-4CE1-B0B1-70E6ABF8FD9B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3 2" xfId="3552" xr:uid="{CB71264D-34B8-4487-8867-FAD8C16BE47F}"/>
    <cellStyle name="Note 32 4" xfId="3551" xr:uid="{AE5390BD-2892-4D51-A9DD-1C12A05E4DBC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3 2" xfId="3554" xr:uid="{9D315602-BBA3-4F4C-A645-FC4C70C25D42}"/>
    <cellStyle name="Note 33 4" xfId="3553" xr:uid="{5CB212BC-B717-4C12-B0D1-74728E66822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3 2" xfId="3556" xr:uid="{2A9DAC22-75CE-405F-A412-7752D5C01B98}"/>
    <cellStyle name="Note 34 4" xfId="3555" xr:uid="{761F0F3B-3E86-4527-AB28-CBB515C04ADB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3 2" xfId="3558" xr:uid="{C739F816-6596-48A8-BB8C-DC923B2D5447}"/>
    <cellStyle name="Note 35 4" xfId="3557" xr:uid="{1F1CADD4-FDB7-45B2-B8EB-DEDD5984B0B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3 2" xfId="3560" xr:uid="{D42431BA-46A0-4B0C-B6B1-9B07BA2D35EE}"/>
    <cellStyle name="Note 36 4" xfId="3559" xr:uid="{95985E19-75C1-4025-A11A-850F150A235C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3 2" xfId="3562" xr:uid="{4D38DEC3-1086-4AD8-8B05-B8FF54209ACC}"/>
    <cellStyle name="Note 37 4" xfId="3561" xr:uid="{8C5D7406-43A0-4FCB-8D6D-01527DE1BCF7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3 2" xfId="3564" xr:uid="{20C262CE-AF05-4A12-B3EF-974074553506}"/>
    <cellStyle name="Note 38 4" xfId="3563" xr:uid="{A5919BF5-3C9F-4F56-A2DE-873C7A944CB9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3 2" xfId="3566" xr:uid="{B5FFA742-46AB-43E9-BB64-41DC56EC3BA1}"/>
    <cellStyle name="Note 39 4" xfId="3565" xr:uid="{88A94CAF-B948-4553-9B99-D68A17BFB9F8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3 2" xfId="3568" xr:uid="{A14317DC-FFE5-4B9A-A92E-BC5F3E67F949}"/>
    <cellStyle name="Note 40 4" xfId="3567" xr:uid="{85307FD4-10C1-476A-B0C2-0A157D791A68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3 2" xfId="3570" xr:uid="{35954D12-F23B-489F-BA56-090698B6B730}"/>
    <cellStyle name="Note 41 4" xfId="3569" xr:uid="{8AD2125B-8A3A-4551-BABC-3B6C647C142C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3 2" xfId="3572" xr:uid="{7FB88FBD-6BCD-4102-9178-5862758CA239}"/>
    <cellStyle name="Note 42 4" xfId="3571" xr:uid="{6AF0654B-122A-45A3-AAA7-ABC950E8C016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3 2" xfId="3574" xr:uid="{F3010A1C-3675-417C-97FD-40F5C5B072DE}"/>
    <cellStyle name="Note 43 4" xfId="3573" xr:uid="{283854DE-1059-42D1-8D3A-A0B7B1F5AC84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3 2" xfId="3576" xr:uid="{A8FECAD5-01AE-4674-B95E-9CAB22CDF55E}"/>
    <cellStyle name="Note 44 4" xfId="3575" xr:uid="{344C61F0-C39D-4F7B-8D1B-1F0D42F6FBC3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3 2" xfId="3578" xr:uid="{F3A2719E-5806-4B9B-B960-60254452D12C}"/>
    <cellStyle name="Note 45 4" xfId="3577" xr:uid="{7167ABD0-7C14-4F71-B755-6614115C47FA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3 2" xfId="3580" xr:uid="{3F03519F-84F5-4530-8C8A-298F6B2F203A}"/>
    <cellStyle name="Note 46 4" xfId="3579" xr:uid="{F6422F9B-CBE0-4FF3-9587-E43B92633982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3 2" xfId="3582" xr:uid="{D4334035-323C-4EDE-93DC-07D9FBB65010}"/>
    <cellStyle name="Note 47 4" xfId="3581" xr:uid="{F6051888-B510-4906-B474-DB324F0CAA3D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3 2" xfId="3584" xr:uid="{1170F5F5-DCF5-473F-9045-0B067BC5CFE5}"/>
    <cellStyle name="Note 48 4" xfId="3583" xr:uid="{ED06B342-410A-4F54-904F-131BFB8155AF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3 2" xfId="3586" xr:uid="{43308834-B882-4905-A8CE-E83F24C71ECF}"/>
    <cellStyle name="Note 49 4" xfId="3585" xr:uid="{16012452-ABCC-4BEF-9A88-D603CD48621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3 2" xfId="3588" xr:uid="{82518C6F-BCF0-4727-93EE-F885CAE0F84D}"/>
    <cellStyle name="Note 50 4" xfId="3587" xr:uid="{8062D2A7-7777-48EE-BE86-C822EE47E81B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3 2" xfId="3590" xr:uid="{8DA45D8A-9091-4781-9707-D3767432E9FF}"/>
    <cellStyle name="Note 51 4" xfId="3589" xr:uid="{BBEAAF4F-5F76-435E-969A-34CD1A5CEFBC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3 2" xfId="3592" xr:uid="{87634EB7-E9EF-4CB3-A8F6-B4D447F0739F}"/>
    <cellStyle name="Note 52 4" xfId="3591" xr:uid="{25D17D1C-BC23-4CDA-A54B-1B3659F921EE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3 2" xfId="3594" xr:uid="{A8F1B257-1ED8-4019-A4EE-407443352213}"/>
    <cellStyle name="Note 53 4" xfId="3593" xr:uid="{5EE07B58-D856-46FE-9E1D-3BF83AFFC6D6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3 2" xfId="3596" xr:uid="{75327370-B773-4EC2-9C8E-5630D3A73565}"/>
    <cellStyle name="Note 54 4" xfId="3595" xr:uid="{63A2F91C-7291-4D44-A938-A35F6676217A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3 2" xfId="3598" xr:uid="{23619DD4-E0E4-4DB5-AF8F-6761F2A475E7}"/>
    <cellStyle name="Note 55 4" xfId="3597" xr:uid="{F650DDB9-3D3A-4AE3-8765-B6D4098E8E19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3 2" xfId="3600" xr:uid="{614D224B-7E08-4201-A5BE-FD7E52B6D185}"/>
    <cellStyle name="Note 56 4" xfId="3599" xr:uid="{8C8682DC-B5E7-4023-8690-B543C4D180FC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3 2" xfId="3602" xr:uid="{557704B4-6340-435D-B03B-D784A0106174}"/>
    <cellStyle name="Note 57 4" xfId="3601" xr:uid="{B3370B3A-1D1F-4613-BFA9-113724032AFA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3 2" xfId="3604" xr:uid="{A964E24D-C003-476C-AAF3-C828BC62452F}"/>
    <cellStyle name="Note 58 4" xfId="3603" xr:uid="{57AB2F75-F9DD-47BB-8783-43A7F813C942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3 2" xfId="3606" xr:uid="{EFFD2204-8E56-4D25-9E17-888F67030755}"/>
    <cellStyle name="Note 59 4" xfId="3605" xr:uid="{63F56EF5-82CB-4260-A50E-5DF4D854F82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3 2" xfId="3608" xr:uid="{D1E36A3B-63AD-4712-905C-B545CCD76BEC}"/>
    <cellStyle name="Note 60 4" xfId="3607" xr:uid="{3F266D22-1A39-4AC2-82F1-597FE3336CD2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3 2" xfId="3610" xr:uid="{D1F44D8E-5C44-43A9-9DED-588AAEFCCC8F}"/>
    <cellStyle name="Note 61 4" xfId="3609" xr:uid="{29EFA1E9-230A-48F4-AAEB-368D7BA77729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3 2" xfId="3612" xr:uid="{0309563E-91D6-4840-934F-A267CE688DB5}"/>
    <cellStyle name="Note 62 4" xfId="3611" xr:uid="{973816AB-C698-46A4-8CA8-7DC149650495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3 2" xfId="3614" xr:uid="{34657015-E78B-49D3-8B17-A393CD005C6E}"/>
    <cellStyle name="Note 63 4" xfId="3613" xr:uid="{4410A60D-DEE9-424D-AB98-F2AD4D283FC6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3 2" xfId="3616" xr:uid="{78A6A4A0-6F0A-4B42-8297-89A4CCEC92D8}"/>
    <cellStyle name="Note 64 4" xfId="3615" xr:uid="{4A16BED1-27AC-40D1-A4EE-8A72AA626B5B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3 2" xfId="3618" xr:uid="{E93C172C-98F0-4BE2-BC6B-18B26D9B431E}"/>
    <cellStyle name="Note 65 4" xfId="3617" xr:uid="{1252480C-80E6-4683-B786-3C7DCE5EC4AF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3 2" xfId="3620" xr:uid="{D2CB76AA-46B2-4F24-87C7-B8E594E5B74A}"/>
    <cellStyle name="Note 66 4" xfId="3619" xr:uid="{1EA84AA4-8FA6-45C1-A9FB-49455138D0F7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3 2" xfId="3622" xr:uid="{195F9CD4-CCF6-405D-A75D-C341E3D40E5D}"/>
    <cellStyle name="Note 67 4" xfId="3621" xr:uid="{9CE958B3-3A49-456A-BD74-A0F130CD7AE9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3 2" xfId="3624" xr:uid="{7864E309-2B07-4E5E-8516-6C6152FEDCC5}"/>
    <cellStyle name="Note 68 4" xfId="3623" xr:uid="{1A5A4127-6ABB-4F9C-884C-39B2761A5589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3 2" xfId="3626" xr:uid="{DB0A9D7A-77D2-481F-9646-03F0F7521B12}"/>
    <cellStyle name="Note 69 4" xfId="3625" xr:uid="{166D3E91-FFC9-47FB-9C7B-E044B137CB7E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3 2" xfId="3628" xr:uid="{209AE5E6-19E8-41C0-9E3F-39712117D13C}"/>
    <cellStyle name="Note 70 4" xfId="3627" xr:uid="{C40894A7-37C7-43D6-B9BC-B769EFECB6E2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3 2" xfId="3630" xr:uid="{9C85D3C4-06A8-42E2-8BB3-75D6EE756B9A}"/>
    <cellStyle name="Note 71 4" xfId="3629" xr:uid="{F52541F1-44B9-4675-BADA-BDD0D3E71B47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3 2" xfId="3632" xr:uid="{517CE7F7-CB71-42B7-9499-360070697BF5}"/>
    <cellStyle name="Note 72 4" xfId="3631" xr:uid="{AB9D31D4-2467-4D04-96CA-D03F9448190F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3 2" xfId="3634" xr:uid="{6697B348-B8FF-4B64-8772-48571CA545C3}"/>
    <cellStyle name="Note 73 4" xfId="3633" xr:uid="{D15DED39-AEB1-466D-9076-839FD7FE1A8B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3 2" xfId="3636" xr:uid="{4A034E44-6C0F-4C64-9178-BC66373D63CF}"/>
    <cellStyle name="Note 74 4" xfId="3635" xr:uid="{CD307822-DCE2-4B02-92B8-AA855BFAC4A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3 2" xfId="3638" xr:uid="{25B1F035-4347-4A19-BF48-EB2C38CC7347}"/>
    <cellStyle name="Note 75 4" xfId="3637" xr:uid="{D617F71E-28C9-47A4-82BE-CB422909C09D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3 2" xfId="3640" xr:uid="{B66EA542-313E-49E0-8018-670344063033}"/>
    <cellStyle name="Note 76 4" xfId="3639" xr:uid="{5CB7339D-7BC8-43B1-9F0C-02B97D0AFC95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3 2" xfId="3642" xr:uid="{834E4FD0-6C27-4090-BBB5-F366A69AAF53}"/>
    <cellStyle name="Note 77 4" xfId="3641" xr:uid="{16A8E235-295D-4855-9893-3B062C97FEC2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3 2" xfId="3644" xr:uid="{C8D34A7C-1400-403D-A040-B737E081D0AC}"/>
    <cellStyle name="Note 78 4" xfId="3643" xr:uid="{446FC00E-DF75-4064-96E6-26490D6A8B89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3681" xr:uid="{959A4D1E-E88C-4FF5-93A4-DFFAFB1CB01D}"/>
    <cellStyle name="Percent 13" xfId="3686" xr:uid="{8F2E22D2-C10C-4A8A-A880-B9F592BBAC83}"/>
    <cellStyle name="Percent 14" xfId="3687" xr:uid="{0719C99A-4AED-4F67-9934-895EA952C999}"/>
    <cellStyle name="Percent 15" xfId="3688" xr:uid="{40882D37-36BF-4A18-A2DA-6BF1DB53361A}"/>
    <cellStyle name="Percent 16" xfId="3689" xr:uid="{02CBE70C-C1F3-49EC-BC94-D78A7C8EDB02}"/>
    <cellStyle name="Percent 17" xfId="3690" xr:uid="{83FEDAC3-4138-4A5A-A601-D20BD55766E0}"/>
    <cellStyle name="Percent 18" xfId="3691" xr:uid="{BEC10622-2808-4843-A613-9702DBE17C46}"/>
    <cellStyle name="Percent 19" xfId="3722" xr:uid="{AB8D9902-6E12-48AA-949A-D49B0CFF3BEE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648" xr:uid="{FBF1A942-8894-441D-B695-08CE8EC042C2}"/>
    <cellStyle name="Percent 2 2 2 2 2 3" xfId="2528" xr:uid="{00000000-0005-0000-0000-0000E2090000}"/>
    <cellStyle name="Percent 2 2 2 2 2 3 2" xfId="3649" xr:uid="{5828D407-F714-4543-994F-B989E11945A2}"/>
    <cellStyle name="Percent 2 2 2 2 2 4" xfId="2529" xr:uid="{00000000-0005-0000-0000-0000E3090000}"/>
    <cellStyle name="Percent 2 2 2 2 2 4 2" xfId="3650" xr:uid="{CB3EBB7D-3036-48F7-98DB-211F2970A490}"/>
    <cellStyle name="Percent 2 2 2 2 2 5" xfId="2530" xr:uid="{00000000-0005-0000-0000-0000E4090000}"/>
    <cellStyle name="Percent 2 2 2 2 2 5 2" xfId="3651" xr:uid="{76A1919F-CE73-4126-A507-291651C22347}"/>
    <cellStyle name="Percent 2 2 2 2 2 6" xfId="3647" xr:uid="{B9304EA7-C4A8-44F6-8F81-C175199B28D3}"/>
    <cellStyle name="Percent 2 2 2 2 3" xfId="2531" xr:uid="{00000000-0005-0000-0000-0000E5090000}"/>
    <cellStyle name="Percent 2 2 2 2 3 2" xfId="3652" xr:uid="{0ADEC421-7E27-407C-BB9A-8F09FD2238C0}"/>
    <cellStyle name="Percent 2 2 2 2 4" xfId="2532" xr:uid="{00000000-0005-0000-0000-0000E6090000}"/>
    <cellStyle name="Percent 2 2 2 2 4 2" xfId="3653" xr:uid="{47EF2A15-EC87-4A53-84EF-5E3D80A1B22C}"/>
    <cellStyle name="Percent 2 2 2 2 5" xfId="2533" xr:uid="{00000000-0005-0000-0000-0000E7090000}"/>
    <cellStyle name="Percent 2 2 2 2 5 2" xfId="3654" xr:uid="{818B3549-E7E2-4111-AE36-A7A08E4F63A2}"/>
    <cellStyle name="Percent 2 2 2 2 6" xfId="3646" xr:uid="{8D77B5B2-6226-4695-930A-96074AC79240}"/>
    <cellStyle name="Percent 2 2 2 3" xfId="2534" xr:uid="{00000000-0005-0000-0000-0000E8090000}"/>
    <cellStyle name="Percent 2 2 2 3 2" xfId="3655" xr:uid="{4DD3CFF8-BBF3-441D-A850-0C94BE4FBB9C}"/>
    <cellStyle name="Percent 2 2 2 4" xfId="2535" xr:uid="{00000000-0005-0000-0000-0000E9090000}"/>
    <cellStyle name="Percent 2 2 2 4 2" xfId="3656" xr:uid="{3095EA8D-3D98-4F74-BC02-C961AB729E28}"/>
    <cellStyle name="Percent 2 2 2 5" xfId="2536" xr:uid="{00000000-0005-0000-0000-0000EA090000}"/>
    <cellStyle name="Percent 2 2 2 5 2" xfId="3657" xr:uid="{A94D0315-5156-4BD4-9AAC-8E32C068207D}"/>
    <cellStyle name="Percent 2 2 2 6" xfId="2537" xr:uid="{00000000-0005-0000-0000-0000EB090000}"/>
    <cellStyle name="Percent 2 2 2 6 2" xfId="3658" xr:uid="{EF945374-1AFF-4060-8B51-84F7FA2C69A4}"/>
    <cellStyle name="Percent 2 2 2 7" xfId="2538" xr:uid="{00000000-0005-0000-0000-0000EC090000}"/>
    <cellStyle name="Percent 2 2 2 7 2" xfId="3659" xr:uid="{B978183B-C874-473E-9BDF-9AC864785D0F}"/>
    <cellStyle name="Percent 2 2 2 8" xfId="3645" xr:uid="{012ADCB0-F6FD-49A5-B380-96341D9E2E28}"/>
    <cellStyle name="Percent 2 2 3" xfId="2539" xr:uid="{00000000-0005-0000-0000-0000ED090000}"/>
    <cellStyle name="Percent 2 2 3 2" xfId="3660" xr:uid="{B08C132B-217D-472B-BE20-99E9ADE0C366}"/>
    <cellStyle name="Percent 2 2 4" xfId="2540" xr:uid="{00000000-0005-0000-0000-0000EE090000}"/>
    <cellStyle name="Percent 2 2 4 2" xfId="3661" xr:uid="{F1398AA8-7895-4F54-A152-A3660EB8AA81}"/>
    <cellStyle name="Percent 2 2 5" xfId="2541" xr:uid="{00000000-0005-0000-0000-0000EF090000}"/>
    <cellStyle name="Percent 2 2 5 2" xfId="3662" xr:uid="{676AA7A1-6CD5-4906-9CD8-21E44BB40A55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663" xr:uid="{FB1A4263-7089-4627-997F-15F94E5DB929}"/>
    <cellStyle name="Percent 2 4" xfId="2546" xr:uid="{00000000-0005-0000-0000-0000F4090000}"/>
    <cellStyle name="Percent 2 4 2" xfId="3664" xr:uid="{30A2D569-A734-4D16-B740-241DF60A3DCD}"/>
    <cellStyle name="Percent 2 5" xfId="2547" xr:uid="{00000000-0005-0000-0000-0000F5090000}"/>
    <cellStyle name="Percent 2 5 2" xfId="3665" xr:uid="{FA5DE28D-8E68-461A-A921-CB936BFCD693}"/>
    <cellStyle name="Percent 2 6" xfId="2548" xr:uid="{00000000-0005-0000-0000-0000F6090000}"/>
    <cellStyle name="Percent 2 6 2" xfId="3666" xr:uid="{CC9C0EF5-ADAF-4487-8481-09A74D366636}"/>
    <cellStyle name="Percent 2 7" xfId="2549" xr:uid="{00000000-0005-0000-0000-0000F7090000}"/>
    <cellStyle name="Percent 20" xfId="3723" xr:uid="{1C9B1E2C-489A-46DE-B13B-7F3EF306E909}"/>
    <cellStyle name="Percent 21" xfId="3724" xr:uid="{8F7485B6-90EB-4CCF-A63F-907FFE8FBDF4}"/>
    <cellStyle name="Percent 22" xfId="3725" xr:uid="{CD40667E-83CA-4F56-80FC-96B814DB2A85}"/>
    <cellStyle name="Percent 23" xfId="3726" xr:uid="{9129D0AE-EA15-4378-8FBC-8682FB9DC331}"/>
    <cellStyle name="Percent 24" xfId="3727" xr:uid="{4B668EC6-C58B-4617-8B99-98D4D4F71B41}"/>
    <cellStyle name="Percent 25" xfId="3728" xr:uid="{C0181132-A5EA-41F8-9DF7-C92F2C80A589}"/>
    <cellStyle name="Percent 26" xfId="3729" xr:uid="{E1D85B7C-5BEF-43F2-91B6-C7A1FBF0EB65}"/>
    <cellStyle name="Percent 27" xfId="3730" xr:uid="{966DA157-5664-4984-AA77-229E1DA4E2CB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669" xr:uid="{4F2D610F-C500-419C-B2B1-A7B9FCEAC610}"/>
    <cellStyle name="Percent 5 2 3" xfId="2558" xr:uid="{00000000-0005-0000-0000-0000000A0000}"/>
    <cellStyle name="Percent 5 2 3 2" xfId="3670" xr:uid="{908994BC-8F14-4F37-B786-E5CD5890F1EE}"/>
    <cellStyle name="Percent 5 2 4" xfId="2559" xr:uid="{00000000-0005-0000-0000-0000010A0000}"/>
    <cellStyle name="Percent 5 2 4 2" xfId="3671" xr:uid="{678F52CF-8676-46EA-9548-9D4F0178E734}"/>
    <cellStyle name="Percent 5 2 5" xfId="2560" xr:uid="{00000000-0005-0000-0000-0000020A0000}"/>
    <cellStyle name="Percent 5 2 5 2" xfId="3672" xr:uid="{C677BEB6-C880-4A41-8F2C-289505C45064}"/>
    <cellStyle name="Percent 5 2 6" xfId="2561" xr:uid="{00000000-0005-0000-0000-0000030A0000}"/>
    <cellStyle name="Percent 5 2 6 2" xfId="2562" xr:uid="{00000000-0005-0000-0000-0000040A0000}"/>
    <cellStyle name="Percent 5 2 7" xfId="3668" xr:uid="{8DFD395C-B70A-46CC-A32A-62A286D324BF}"/>
    <cellStyle name="Percent 5 3" xfId="2563" xr:uid="{00000000-0005-0000-0000-0000050A0000}"/>
    <cellStyle name="Percent 5 3 2" xfId="3673" xr:uid="{6E4F7D7F-E3C0-4640-AB94-DC054AB71472}"/>
    <cellStyle name="Percent 5 4" xfId="2564" xr:uid="{00000000-0005-0000-0000-0000060A0000}"/>
    <cellStyle name="Percent 5 4 2" xfId="3674" xr:uid="{15FE6E8D-78AC-4AAF-94E1-24DDE6AA5012}"/>
    <cellStyle name="Percent 5 5" xfId="2565" xr:uid="{00000000-0005-0000-0000-0000070A0000}"/>
    <cellStyle name="Percent 5 5 2" xfId="3675" xr:uid="{994CD582-0ED1-4CC5-9A93-FF12DAEFAACE}"/>
    <cellStyle name="Percent 5 6" xfId="3667" xr:uid="{485D9C47-A82F-4EA6-82CC-9D1E46E2B0A5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676" xr:uid="{93805EDA-B09A-47FE-A587-FAA77C72E78F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1.0250000000000001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0.71083365142626709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2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2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117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163582</xdr:colOff>
      <xdr:row>87</xdr:row>
      <xdr:rowOff>52389</xdr:rowOff>
    </xdr:from>
    <xdr:to>
      <xdr:col>7</xdr:col>
      <xdr:colOff>172811</xdr:colOff>
      <xdr:row>88</xdr:row>
      <xdr:rowOff>52389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43519F8C-CC28-4963-9904-CCA6341803A7}"/>
            </a:ext>
          </a:extLst>
        </xdr:cNvPr>
        <xdr:cNvCxnSpPr/>
      </xdr:nvCxnSpPr>
      <xdr:spPr>
        <a:xfrm flipH="1">
          <a:off x="2373382" y="13463589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CD9A36D7-E87E-4ED1-A076-88CA5FB9BE3F}"/>
            </a:ext>
          </a:extLst>
        </xdr:cNvPr>
        <xdr:cNvGrpSpPr/>
      </xdr:nvGrpSpPr>
      <xdr:grpSpPr>
        <a:xfrm>
          <a:off x="9620366" y="821390"/>
          <a:ext cx="1365900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7432C66D-49BD-4E37-819F-93029B6A2D2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913F0338-7B62-46A5-B597-CD6A5165FB7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41FC4530-2516-46A2-AE68-C9CD4216E3D7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F2FD76AE-D6D8-4692-9825-02972DFE748E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6BF731F8-68BD-4F68-8EF0-831277F305E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92458EB8-CA25-497A-AB44-99A414C773DC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CB6772F4-563D-4F46-AE70-6BC277921A61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D6BCB872-FA69-421D-84E0-889B77444154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45FB60F5-3790-432E-8567-35DCAC929C0B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DE9FCB42-8E09-4AFC-8531-0C650B4DCABB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2C10AEE-FDEE-4714-B949-9960CB341ACA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A9F850A0-623D-48DD-ACDF-2B7D47CA247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6EB0D5A0-AB38-4C1D-943E-D3F790CE8805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48F0654-5810-4377-A7AC-0B054AB547A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1BAF89C1-9435-42DD-A7E9-7FECE9B3DA5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ADD66ADD-E518-4A7A-BE77-2016A6AC95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C7642F98-700E-4747-9A46-B89ED9D76DC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B95BC650-356E-4675-B864-9EAF8569D56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1D75E9A-7600-414F-8491-AD7E59151272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0410BF-9CD7-460A-91F2-E8B574C388D6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6908828-ADB8-457E-8EF0-37CDA8BFE326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7E11B25-D58B-4BB4-897D-B799841C33E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9CE2413B-1B6E-4A23-9742-ADE1C8DDC24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BEF2FD-8EBF-4B83-8017-E61BD903DDB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3471C07A-637E-4BC5-B871-6EA11C6926A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2EF0A2FC-A63A-4037-BFED-A0A0B23D167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45A5C9FE-CF3F-47D8-8CBB-F5FC02E3095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16880B9-64C4-47AE-8BAB-9A557FA0164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F443B7B-1090-4A1E-8425-C49CD0701E4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71AD6D37-92FB-4816-BCEC-AF9E2F988DF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9D417E2-31AE-4D6B-981B-F5955B32032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5F479FF-1E50-416C-8E02-040D543F08A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6A4DB460-312E-467B-9B00-3D58A8F9AF3F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D597D1BA-086B-4A6A-B800-845D7396802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66A41086-0074-44C6-B4BC-A1791815F40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D6DE9A4F-EA3B-478B-804D-2A53FF63E6D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E6C9C7D3-0C4F-4433-9DDF-E0E19FBA166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FD5A4F1F-4A92-4DE2-A2AA-37B9CF96ED3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6FA72D60-54B5-4424-B1B6-5039F84A23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A921D549-1F48-46D9-8AF6-524D33598CF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A22EB306-1AD2-4DA2-BE6B-27FC041CCCD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6C101F0A-D576-4A2C-898A-11FF408C597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48780031-B338-49CB-B9EA-987338B81D2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A66036E0-4E25-4637-96A2-CB54BDFEC06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3E75546-2D04-48CE-B9F4-96B8C4AF189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4C27F859-6443-439D-B9E9-AFEB0F896851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1D8D66B0-54B7-49EB-979B-DF31A7177E5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C9F31C5-8106-4E7E-8183-BF4686EEF30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B92A2DF-2C2A-4F97-B8AD-65E27EDBD88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BD92FE96-BFB8-438E-B35C-1E99C80AE9D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6791E99B-5F89-4763-BCE3-6B0CD0A9CF6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73CD960A-0525-4986-9461-8F3EADB4EA7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849290DB-B4DD-4D68-8B05-2D6C9EC652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4FCEC1C0-91BB-4A10-AB65-6AEF71095E6E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879534CE-1362-4951-9C14-354BF83F283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54730549-FF62-481B-88E2-F7E5200E072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668C9B97-2334-452A-A6E1-13ED53FE06D8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5698DBFA-7096-49C9-8347-41EAF3C358D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39A6A10E-C5EC-4D88-8A77-8A565887DB1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B7329872-B69D-4C42-969F-C78E684CA02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728784DF-B6AD-4FCA-A374-7A7BDC32A613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77BE36D-F42B-4CB1-B455-86BF073ED9A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5970E41-F80A-4892-8533-8DE175FC29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3</xdr:col>
      <xdr:colOff>295275</xdr:colOff>
      <xdr:row>15</xdr:row>
      <xdr:rowOff>28575</xdr:rowOff>
    </xdr:from>
    <xdr:to>
      <xdr:col>19</xdr:col>
      <xdr:colOff>152400</xdr:colOff>
      <xdr:row>16</xdr:row>
      <xdr:rowOff>133350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4F5FC0A7-CDD1-4366-AD43-834831DF6524}"/>
            </a:ext>
          </a:extLst>
        </xdr:cNvPr>
        <xdr:cNvSpPr/>
      </xdr:nvSpPr>
      <xdr:spPr>
        <a:xfrm>
          <a:off x="981075" y="2343150"/>
          <a:ext cx="5953125" cy="2571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9525</xdr:colOff>
      <xdr:row>77</xdr:row>
      <xdr:rowOff>37042</xdr:rowOff>
    </xdr:from>
    <xdr:to>
      <xdr:col>20</xdr:col>
      <xdr:colOff>85724</xdr:colOff>
      <xdr:row>81</xdr:row>
      <xdr:rowOff>116416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A37F841C-0EC4-43BF-8B16-B17CF2E94983}"/>
            </a:ext>
          </a:extLst>
        </xdr:cNvPr>
        <xdr:cNvSpPr txBox="1"/>
      </xdr:nvSpPr>
      <xdr:spPr>
        <a:xfrm>
          <a:off x="6029325" y="11924242"/>
          <a:ext cx="1219199" cy="688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51857</xdr:colOff>
      <xdr:row>30</xdr:row>
      <xdr:rowOff>16410</xdr:rowOff>
    </xdr:from>
    <xdr:to>
      <xdr:col>40</xdr:col>
      <xdr:colOff>150811</xdr:colOff>
      <xdr:row>31</xdr:row>
      <xdr:rowOff>41275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23AE44B4-12ED-4C61-A521-49B639A5B302}"/>
            </a:ext>
          </a:extLst>
        </xdr:cNvPr>
        <xdr:cNvSpPr txBox="1"/>
      </xdr:nvSpPr>
      <xdr:spPr>
        <a:xfrm flipH="1">
          <a:off x="14920382" y="4607460"/>
          <a:ext cx="98954" cy="1772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36</xdr:col>
      <xdr:colOff>62441</xdr:colOff>
      <xdr:row>39</xdr:row>
      <xdr:rowOff>1058</xdr:rowOff>
    </xdr:from>
    <xdr:to>
      <xdr:col>41</xdr:col>
      <xdr:colOff>348192</xdr:colOff>
      <xdr:row>39</xdr:row>
      <xdr:rowOff>17992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79100932-43A3-4B10-9ACC-2ECE742A35EC}"/>
            </a:ext>
          </a:extLst>
        </xdr:cNvPr>
        <xdr:cNvCxnSpPr/>
      </xdr:nvCxnSpPr>
      <xdr:spPr>
        <a:xfrm flipH="1" flipV="1">
          <a:off x="13406966" y="5982758"/>
          <a:ext cx="2190751" cy="16934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222252</xdr:colOff>
      <xdr:row>37</xdr:row>
      <xdr:rowOff>8464</xdr:rowOff>
    </xdr:from>
    <xdr:to>
      <xdr:col>42</xdr:col>
      <xdr:colOff>365127</xdr:colOff>
      <xdr:row>38</xdr:row>
      <xdr:rowOff>56089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58EC057-3202-476E-936A-BA835994300F}"/>
            </a:ext>
          </a:extLst>
        </xdr:cNvPr>
        <xdr:cNvSpPr txBox="1"/>
      </xdr:nvSpPr>
      <xdr:spPr>
        <a:xfrm>
          <a:off x="15471777" y="5675839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100KVA</a:t>
          </a:r>
        </a:p>
      </xdr:txBody>
    </xdr:sp>
    <xdr:clientData/>
  </xdr:twoCellAnchor>
  <xdr:twoCellAnchor>
    <xdr:from>
      <xdr:col>40</xdr:col>
      <xdr:colOff>84666</xdr:colOff>
      <xdr:row>38</xdr:row>
      <xdr:rowOff>43391</xdr:rowOff>
    </xdr:from>
    <xdr:to>
      <xdr:col>40</xdr:col>
      <xdr:colOff>214362</xdr:colOff>
      <xdr:row>39</xdr:row>
      <xdr:rowOff>12878</xdr:rowOff>
    </xdr:to>
    <xdr:grpSp>
      <xdr:nvGrpSpPr>
        <xdr:cNvPr id="72" name="Group 682">
          <a:extLst>
            <a:ext uri="{FF2B5EF4-FFF2-40B4-BE49-F238E27FC236}">
              <a16:creationId xmlns:a16="http://schemas.microsoft.com/office/drawing/2014/main" id="{73BA649F-8384-47CC-9D13-5FF8CB6CA51B}"/>
            </a:ext>
          </a:extLst>
        </xdr:cNvPr>
        <xdr:cNvGrpSpPr>
          <a:grpSpLocks/>
        </xdr:cNvGrpSpPr>
      </xdr:nvGrpSpPr>
      <xdr:grpSpPr bwMode="auto">
        <a:xfrm>
          <a:off x="14953191" y="5872691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9D67621D-4096-465E-8046-53158982854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9DF01CF-E5C7-497F-8D2D-7BB5F55014C1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28905411-3550-4FFD-8FB4-1E58CC5824E5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60A4A7A8-7D43-4C11-AF43-930294781736}"/>
            </a:ext>
          </a:extLst>
        </xdr:cNvPr>
        <xdr:cNvGrpSpPr>
          <a:grpSpLocks/>
        </xdr:cNvGrpSpPr>
      </xdr:nvGrpSpPr>
      <xdr:grpSpPr bwMode="auto">
        <a:xfrm>
          <a:off x="12308248" y="942975"/>
          <a:ext cx="152400" cy="147358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8897C17C-DF00-49FD-9CCC-558C8E97099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4AF1382-55C4-495C-A685-28B8AA6AC0CB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B2ED66A3-F777-4F94-88FE-9FB250C73C9B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A5E98DE5-F080-457B-8BE8-50D9886CCFCA}"/>
            </a:ext>
          </a:extLst>
        </xdr:cNvPr>
        <xdr:cNvGrpSpPr>
          <a:grpSpLocks/>
        </xdr:cNvGrpSpPr>
      </xdr:nvGrpSpPr>
      <xdr:grpSpPr bwMode="auto">
        <a:xfrm>
          <a:off x="12832123" y="933450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903A2EF8-7D09-40BD-8464-AC32B4E5E1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CF052196-D3A6-405C-8C9A-F91584DA58F1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B87B8AA-AEA9-4EA2-B517-03E71439F564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FD0C5B27-23A4-4B5A-B76F-1B591036D8DE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67A16077-6A79-40B9-8F44-E826792020FE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31D6BBE3-1553-4AFD-90AA-E28AD22E8712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5B75811E-BCBA-4C3A-8AF9-AF17613B4391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F6625C4C-72A2-45D5-BBA6-70F9054DCA3F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131C0B1D-BFFC-45F3-B9C4-AE3B299998F2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785E7010-6C51-481D-A718-8000B73CD886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FC210465-1E55-48E8-88BB-8DCB6CCE9061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6F90F12E-01A7-4E18-8910-5A5A58A6E9AC}"/>
            </a:ext>
          </a:extLst>
        </xdr:cNvPr>
        <xdr:cNvGrpSpPr>
          <a:grpSpLocks/>
        </xdr:cNvGrpSpPr>
      </xdr:nvGrpSpPr>
      <xdr:grpSpPr bwMode="auto">
        <a:xfrm>
          <a:off x="12603523" y="2083734"/>
          <a:ext cx="152400" cy="104775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EB4B3765-ADCA-4BAF-9769-3E1A137E313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31E152BB-E7D9-4DA4-81A9-D67A1562F497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6ECC3538-022F-41C4-85EC-834E8DFD07EF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4ED0E06F-0C8D-46AC-B347-E2C90F0E374B}"/>
            </a:ext>
          </a:extLst>
        </xdr:cNvPr>
        <xdr:cNvGrpSpPr>
          <a:grpSpLocks/>
        </xdr:cNvGrpSpPr>
      </xdr:nvGrpSpPr>
      <xdr:grpSpPr bwMode="auto">
        <a:xfrm>
          <a:off x="12593998" y="2250142"/>
          <a:ext cx="161925" cy="95250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B72303C8-B3A8-4060-99BB-90C7C9E499F6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F38FB9C-C55D-4B7A-B633-23CCC7BFDE5F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6C59C5ED-3160-443F-B45C-5E6D5BFDF42D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AD2D0237-3DDD-40E6-BD63-BFEB893EA124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F9CB7E6E-4332-4432-9C75-CDE1A79A9B95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83823A8-0516-4FE7-9693-89F45C4B416E}"/>
            </a:ext>
          </a:extLst>
        </xdr:cNvPr>
        <xdr:cNvGrpSpPr>
          <a:grpSpLocks/>
        </xdr:cNvGrpSpPr>
      </xdr:nvGrpSpPr>
      <xdr:grpSpPr bwMode="auto">
        <a:xfrm>
          <a:off x="12603523" y="2416549"/>
          <a:ext cx="190500" cy="95250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75B28B4E-7CEC-4845-844D-D3AAC90CCC5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2DAF01A-C014-4A49-86A9-E1859D62772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A75601CB-1419-425A-98A4-601DC6EA145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636A238B-AA42-4797-9F33-88068E0F004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A2CC8785-6D03-4D4A-ABED-AC3315DB9AF9}"/>
            </a:ext>
          </a:extLst>
        </xdr:cNvPr>
        <xdr:cNvGrpSpPr>
          <a:grpSpLocks/>
        </xdr:cNvGrpSpPr>
      </xdr:nvGrpSpPr>
      <xdr:grpSpPr bwMode="auto">
        <a:xfrm>
          <a:off x="12603523" y="2582956"/>
          <a:ext cx="190500" cy="109258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B153BC3C-A11F-4F2A-9C6E-F73383ADCF07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F5137BD3-A3C7-4CB3-9F52-7C85D558A688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93A4F-B4D2-4951-BC58-B85C2D3C5E5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6B801FED-2444-47F2-93DD-F6571D8E5F03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ED20D15B-116B-4E96-BC07-26F629C9DCCC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4EBC04B4-286A-4BD2-8D86-459417B81BC8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285EDA42-F20B-4704-8156-B9AFDAF1761F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C1DDCE73-C5A9-4BFB-9611-992BEDA7A091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197F811B-0B0E-4308-9E8A-13398447C0A3}"/>
            </a:ext>
          </a:extLst>
        </xdr:cNvPr>
        <xdr:cNvGrpSpPr>
          <a:grpSpLocks/>
        </xdr:cNvGrpSpPr>
      </xdr:nvGrpSpPr>
      <xdr:grpSpPr bwMode="auto">
        <a:xfrm>
          <a:off x="12384448" y="3543300"/>
          <a:ext cx="685800" cy="304240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AB352D7B-6BBC-4E5F-AA36-24D230BE9F91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45E61377-23FF-4823-87AC-22AD99DBD365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8C96A86-4885-48A0-8D6C-187BFC186EF3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0A7CDBA-49B1-4916-905D-B2528484192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754F7495-ABAC-4653-B168-5E9B74000EE1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1D6A3177-7B91-4412-8C36-1EAF459501FB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C33A641-BEDA-4A8F-B5FF-9C478413160C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249646D-BE8C-4FB1-8821-A8D10EAB9AC4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93830D0A-391C-4F05-947C-F4A6DCA36899}"/>
            </a:ext>
          </a:extLst>
        </xdr:cNvPr>
        <xdr:cNvGrpSpPr>
          <a:grpSpLocks/>
        </xdr:cNvGrpSpPr>
      </xdr:nvGrpSpPr>
      <xdr:grpSpPr bwMode="auto">
        <a:xfrm>
          <a:off x="12336823" y="4541745"/>
          <a:ext cx="266700" cy="147357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86842FE2-6391-423B-816A-83F4A79DE932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5433C4CF-92D9-4AF2-8496-D53280EF042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D80F1D52-3CB2-4903-9BAB-59918FAA8E81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BE27DC8C-813C-43F4-AEFB-00828015C2D9}"/>
            </a:ext>
          </a:extLst>
        </xdr:cNvPr>
        <xdr:cNvGrpSpPr>
          <a:grpSpLocks/>
        </xdr:cNvGrpSpPr>
      </xdr:nvGrpSpPr>
      <xdr:grpSpPr bwMode="auto">
        <a:xfrm>
          <a:off x="12879748" y="4565277"/>
          <a:ext cx="247650" cy="142875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DB2CDF-0548-4B04-8DB0-08B563C0F989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AE0BFAD2-DD31-41A4-B569-29FF3DC99E9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ACC607C-929F-4651-B135-0822BBE4BBBA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852723C-B3BA-42D2-BE9B-BF5E9B054DED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F370607F-4744-40E2-893C-18497676C265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6BB34D1A-3C42-4F68-8148-689DC3268CE2}"/>
            </a:ext>
          </a:extLst>
        </xdr:cNvPr>
        <xdr:cNvGrpSpPr>
          <a:grpSpLocks/>
        </xdr:cNvGrpSpPr>
      </xdr:nvGrpSpPr>
      <xdr:grpSpPr bwMode="auto">
        <a:xfrm>
          <a:off x="12365398" y="5240431"/>
          <a:ext cx="200025" cy="137833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E8E47998-7B45-48DE-AFD6-22C5269E694B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20CF1F1A-33DF-4F36-A2B8-5C43891A87E6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FD66837C-1CCD-4DF3-8D66-2FC8A04513B9}"/>
            </a:ext>
          </a:extLst>
        </xdr:cNvPr>
        <xdr:cNvGrpSpPr>
          <a:grpSpLocks/>
        </xdr:cNvGrpSpPr>
      </xdr:nvGrpSpPr>
      <xdr:grpSpPr bwMode="auto">
        <a:xfrm>
          <a:off x="12927373" y="5230906"/>
          <a:ext cx="190500" cy="137833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96D46497-F9F3-40E8-B0A6-C9A20F9DC184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83B246-FB37-4384-9932-F65F6475B463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577F6EB-0D67-4E58-A56C-018D88DC99CB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856BB3D4-F335-4118-B0C7-1479B8BF9E6A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12</xdr:col>
      <xdr:colOff>142875</xdr:colOff>
      <xdr:row>60</xdr:row>
      <xdr:rowOff>143935</xdr:rowOff>
    </xdr:from>
    <xdr:to>
      <xdr:col>14</xdr:col>
      <xdr:colOff>307974</xdr:colOff>
      <xdr:row>65</xdr:row>
      <xdr:rowOff>133351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D3DF0C7-0A61-478F-8866-2480AA9FFB9E}"/>
            </a:ext>
          </a:extLst>
        </xdr:cNvPr>
        <xdr:cNvSpPr txBox="1"/>
      </xdr:nvSpPr>
      <xdr:spPr>
        <a:xfrm>
          <a:off x="4257675" y="9440335"/>
          <a:ext cx="927099" cy="75141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strike="sngStrike" baseline="0">
              <a:solidFill>
                <a:schemeClr val="tx1"/>
              </a:solidFill>
            </a:rPr>
            <a:t>1 G312-A 50KVA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3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12 CCO 70-70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40</xdr:col>
      <xdr:colOff>351368</xdr:colOff>
      <xdr:row>37</xdr:row>
      <xdr:rowOff>46568</xdr:rowOff>
    </xdr:from>
    <xdr:to>
      <xdr:col>41</xdr:col>
      <xdr:colOff>237068</xdr:colOff>
      <xdr:row>38</xdr:row>
      <xdr:rowOff>22475</xdr:rowOff>
    </xdr:to>
    <xdr:grpSp>
      <xdr:nvGrpSpPr>
        <xdr:cNvPr id="144" name="Group 114">
          <a:extLst>
            <a:ext uri="{FF2B5EF4-FFF2-40B4-BE49-F238E27FC236}">
              <a16:creationId xmlns:a16="http://schemas.microsoft.com/office/drawing/2014/main" id="{59075573-FDFC-4169-B9C8-F27A35F69385}"/>
            </a:ext>
          </a:extLst>
        </xdr:cNvPr>
        <xdr:cNvGrpSpPr>
          <a:grpSpLocks/>
        </xdr:cNvGrpSpPr>
      </xdr:nvGrpSpPr>
      <xdr:grpSpPr bwMode="auto">
        <a:xfrm>
          <a:off x="15219893" y="5713943"/>
          <a:ext cx="266700" cy="137832"/>
          <a:chOff x="12001500" y="4327373"/>
          <a:chExt cx="262305" cy="151942"/>
        </a:xfrm>
      </xdr:grpSpPr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5B3C4DC2-3D66-4CDF-9E07-8B7B7D8A6F23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6" name="Isosceles Triangle 145">
            <a:extLst>
              <a:ext uri="{FF2B5EF4-FFF2-40B4-BE49-F238E27FC236}">
                <a16:creationId xmlns:a16="http://schemas.microsoft.com/office/drawing/2014/main" id="{28FF1AAD-68A3-4625-91F5-AB73634D445D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7" name="Isosceles Triangle 146">
            <a:extLst>
              <a:ext uri="{FF2B5EF4-FFF2-40B4-BE49-F238E27FC236}">
                <a16:creationId xmlns:a16="http://schemas.microsoft.com/office/drawing/2014/main" id="{9EB80A5A-8F51-4B7B-9B60-A59ADC76FCE5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38</xdr:col>
      <xdr:colOff>81435</xdr:colOff>
      <xdr:row>36</xdr:row>
      <xdr:rowOff>141698</xdr:rowOff>
    </xdr:from>
    <xdr:to>
      <xdr:col>40</xdr:col>
      <xdr:colOff>103660</xdr:colOff>
      <xdr:row>38</xdr:row>
      <xdr:rowOff>148048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5E5B48DE-1BCC-4995-B242-3D0053B34302}"/>
            </a:ext>
          </a:extLst>
        </xdr:cNvPr>
        <xdr:cNvCxnSpPr>
          <a:stCxn id="73" idx="3"/>
          <a:endCxn id="160" idx="3"/>
        </xdr:cNvCxnSpPr>
      </xdr:nvCxnSpPr>
      <xdr:spPr>
        <a:xfrm flipH="1" flipV="1">
          <a:off x="14187960" y="5647148"/>
          <a:ext cx="784225" cy="3302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284691</xdr:colOff>
      <xdr:row>29</xdr:row>
      <xdr:rowOff>52915</xdr:rowOff>
    </xdr:from>
    <xdr:to>
      <xdr:col>44</xdr:col>
      <xdr:colOff>171877</xdr:colOff>
      <xdr:row>31</xdr:row>
      <xdr:rowOff>130833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60B25ADF-BC43-4600-9485-831A3B5D730B}"/>
            </a:ext>
          </a:extLst>
        </xdr:cNvPr>
        <xdr:cNvSpPr txBox="1"/>
      </xdr:nvSpPr>
      <xdr:spPr>
        <a:xfrm>
          <a:off x="15153216" y="4501090"/>
          <a:ext cx="1411186" cy="3731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53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3X70+N70 mm2 = 60M</a:t>
          </a:r>
        </a:p>
      </xdr:txBody>
    </xdr:sp>
    <xdr:clientData/>
  </xdr:twoCellAnchor>
  <xdr:twoCellAnchor>
    <xdr:from>
      <xdr:col>40</xdr:col>
      <xdr:colOff>136525</xdr:colOff>
      <xdr:row>39</xdr:row>
      <xdr:rowOff>22225</xdr:rowOff>
    </xdr:from>
    <xdr:to>
      <xdr:col>41</xdr:col>
      <xdr:colOff>3175</xdr:colOff>
      <xdr:row>40</xdr:row>
      <xdr:rowOff>22225</xdr:rowOff>
    </xdr:to>
    <xdr:grpSp>
      <xdr:nvGrpSpPr>
        <xdr:cNvPr id="154" name="Group 118">
          <a:extLst>
            <a:ext uri="{FF2B5EF4-FFF2-40B4-BE49-F238E27FC236}">
              <a16:creationId xmlns:a16="http://schemas.microsoft.com/office/drawing/2014/main" id="{6D66C8B3-DA5F-49BF-83CC-D23791208434}"/>
            </a:ext>
          </a:extLst>
        </xdr:cNvPr>
        <xdr:cNvGrpSpPr>
          <a:grpSpLocks/>
        </xdr:cNvGrpSpPr>
      </xdr:nvGrpSpPr>
      <xdr:grpSpPr bwMode="auto">
        <a:xfrm>
          <a:off x="15005050" y="6003925"/>
          <a:ext cx="247650" cy="152400"/>
          <a:chOff x="12446976" y="4345782"/>
          <a:chExt cx="251864" cy="151026"/>
        </a:xfrm>
      </xdr:grpSpPr>
      <xdr:sp macro="" textlink="">
        <xdr:nvSpPr>
          <xdr:cNvPr id="155" name="Isosceles Triangle 154">
            <a:extLst>
              <a:ext uri="{FF2B5EF4-FFF2-40B4-BE49-F238E27FC236}">
                <a16:creationId xmlns:a16="http://schemas.microsoft.com/office/drawing/2014/main" id="{E73897A0-73E1-4334-BFB9-3FC2A8EFF9DA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6" name="Isosceles Triangle 155">
            <a:extLst>
              <a:ext uri="{FF2B5EF4-FFF2-40B4-BE49-F238E27FC236}">
                <a16:creationId xmlns:a16="http://schemas.microsoft.com/office/drawing/2014/main" id="{7DF24F27-6E5C-4366-B0EF-0364A4F44E2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78454DCA-95D3-4A57-A813-C7718220F29F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40</xdr:col>
      <xdr:colOff>115358</xdr:colOff>
      <xdr:row>40</xdr:row>
      <xdr:rowOff>43392</xdr:rowOff>
    </xdr:from>
    <xdr:to>
      <xdr:col>41</xdr:col>
      <xdr:colOff>258233</xdr:colOff>
      <xdr:row>41</xdr:row>
      <xdr:rowOff>100542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7E88981-C00E-4677-B539-48C911AA450A}"/>
            </a:ext>
          </a:extLst>
        </xdr:cNvPr>
        <xdr:cNvSpPr txBox="1"/>
      </xdr:nvSpPr>
      <xdr:spPr>
        <a:xfrm>
          <a:off x="14983883" y="6177492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chemeClr val="tx1"/>
              </a:solidFill>
            </a:rPr>
            <a:t>50KVA</a:t>
          </a:r>
        </a:p>
      </xdr:txBody>
    </xdr:sp>
    <xdr:clientData/>
  </xdr:twoCellAnchor>
  <xdr:twoCellAnchor>
    <xdr:from>
      <xdr:col>38</xdr:col>
      <xdr:colOff>62441</xdr:colOff>
      <xdr:row>36</xdr:row>
      <xdr:rowOff>41275</xdr:rowOff>
    </xdr:from>
    <xdr:to>
      <xdr:col>38</xdr:col>
      <xdr:colOff>192137</xdr:colOff>
      <xdr:row>37</xdr:row>
      <xdr:rowOff>1236</xdr:rowOff>
    </xdr:to>
    <xdr:grpSp>
      <xdr:nvGrpSpPr>
        <xdr:cNvPr id="159" name="Group 682">
          <a:extLst>
            <a:ext uri="{FF2B5EF4-FFF2-40B4-BE49-F238E27FC236}">
              <a16:creationId xmlns:a16="http://schemas.microsoft.com/office/drawing/2014/main" id="{C40EAC13-4A58-40F9-A8FD-FB1077ED1253}"/>
            </a:ext>
          </a:extLst>
        </xdr:cNvPr>
        <xdr:cNvGrpSpPr>
          <a:grpSpLocks/>
        </xdr:cNvGrpSpPr>
      </xdr:nvGrpSpPr>
      <xdr:grpSpPr bwMode="auto">
        <a:xfrm>
          <a:off x="14168966" y="5546725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60" name="Oval 159">
            <a:extLst>
              <a:ext uri="{FF2B5EF4-FFF2-40B4-BE49-F238E27FC236}">
                <a16:creationId xmlns:a16="http://schemas.microsoft.com/office/drawing/2014/main" id="{BEBAD68D-D108-425D-B344-C7AAE70941D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E4B511C3-7721-4BD2-A36F-EFEDE7DE711E}"/>
              </a:ext>
            </a:extLst>
          </xdr:cNvPr>
          <xdr:cNvCxnSpPr>
            <a:stCxn id="160" idx="1"/>
            <a:endCxn id="16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1F90B01A-7615-4CA1-B337-BACEB2D99972}"/>
              </a:ext>
            </a:extLst>
          </xdr:cNvPr>
          <xdr:cNvCxnSpPr>
            <a:stCxn id="160" idx="3"/>
            <a:endCxn id="16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295275</xdr:colOff>
      <xdr:row>37</xdr:row>
      <xdr:rowOff>74086</xdr:rowOff>
    </xdr:from>
    <xdr:to>
      <xdr:col>39</xdr:col>
      <xdr:colOff>104775</xdr:colOff>
      <xdr:row>38</xdr:row>
      <xdr:rowOff>21418</xdr:rowOff>
    </xdr:to>
    <xdr:grpSp>
      <xdr:nvGrpSpPr>
        <xdr:cNvPr id="163" name="Group 33">
          <a:extLst>
            <a:ext uri="{FF2B5EF4-FFF2-40B4-BE49-F238E27FC236}">
              <a16:creationId xmlns:a16="http://schemas.microsoft.com/office/drawing/2014/main" id="{AC67B19C-2F57-48F4-AC2A-5D8C52411831}"/>
            </a:ext>
          </a:extLst>
        </xdr:cNvPr>
        <xdr:cNvGrpSpPr>
          <a:grpSpLocks/>
        </xdr:cNvGrpSpPr>
      </xdr:nvGrpSpPr>
      <xdr:grpSpPr bwMode="auto">
        <a:xfrm rot="1011365">
          <a:off x="14401800" y="5741461"/>
          <a:ext cx="190500" cy="109257"/>
          <a:chOff x="12267336" y="2379518"/>
          <a:chExt cx="192062" cy="99752"/>
        </a:xfrm>
      </xdr:grpSpPr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A135CAC2-F481-4366-BA84-C2E21C188C0B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90A2F6C-8D1B-4AF2-A180-94DE2F2E1C50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92FB8A71-E8A9-41FB-B3A7-106618BDCE5D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E5F8457E-9095-4602-9477-FBE9274AF6B4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284693</xdr:colOff>
      <xdr:row>30</xdr:row>
      <xdr:rowOff>20110</xdr:rowOff>
    </xdr:from>
    <xdr:to>
      <xdr:col>39</xdr:col>
      <xdr:colOff>379943</xdr:colOff>
      <xdr:row>31</xdr:row>
      <xdr:rowOff>30693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DC77FF8D-49FC-4F4F-BE95-4D77DCBBD36C}"/>
            </a:ext>
          </a:extLst>
        </xdr:cNvPr>
        <xdr:cNvSpPr txBox="1"/>
      </xdr:nvSpPr>
      <xdr:spPr>
        <a:xfrm>
          <a:off x="14772218" y="4611160"/>
          <a:ext cx="95250" cy="16298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</a:t>
          </a:r>
        </a:p>
      </xdr:txBody>
    </xdr:sp>
    <xdr:clientData/>
  </xdr:twoCellAnchor>
  <xdr:twoCellAnchor>
    <xdr:from>
      <xdr:col>38</xdr:col>
      <xdr:colOff>369763</xdr:colOff>
      <xdr:row>32</xdr:row>
      <xdr:rowOff>114952</xdr:rowOff>
    </xdr:from>
    <xdr:to>
      <xdr:col>39</xdr:col>
      <xdr:colOff>93787</xdr:colOff>
      <xdr:row>34</xdr:row>
      <xdr:rowOff>4886</xdr:rowOff>
    </xdr:to>
    <xdr:grpSp>
      <xdr:nvGrpSpPr>
        <xdr:cNvPr id="170" name="Group 33">
          <a:extLst>
            <a:ext uri="{FF2B5EF4-FFF2-40B4-BE49-F238E27FC236}">
              <a16:creationId xmlns:a16="http://schemas.microsoft.com/office/drawing/2014/main" id="{69B40F72-E8EB-42A1-B854-3DA946D97D33}"/>
            </a:ext>
          </a:extLst>
        </xdr:cNvPr>
        <xdr:cNvGrpSpPr>
          <a:grpSpLocks/>
        </xdr:cNvGrpSpPr>
      </xdr:nvGrpSpPr>
      <xdr:grpSpPr bwMode="auto">
        <a:xfrm rot="17275771">
          <a:off x="14431433" y="5055657"/>
          <a:ext cx="194734" cy="105024"/>
          <a:chOff x="12267336" y="2379518"/>
          <a:chExt cx="192062" cy="99752"/>
        </a:xfrm>
      </xdr:grpSpPr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6DD5B69C-EEC0-425F-BE6A-11C335B657F4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64EA3993-3640-4062-9294-0DAEAAF54301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CB45C802-F717-4CC8-906C-1037827974CE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7C1D53A4-9B89-4CA1-8B52-EDB714441D4B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178859</xdr:colOff>
      <xdr:row>36</xdr:row>
      <xdr:rowOff>62443</xdr:rowOff>
    </xdr:from>
    <xdr:to>
      <xdr:col>40</xdr:col>
      <xdr:colOff>149514</xdr:colOff>
      <xdr:row>38</xdr:row>
      <xdr:rowOff>43391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674C735B-FE31-434B-901E-3E6DB0610999}"/>
            </a:ext>
          </a:extLst>
        </xdr:cNvPr>
        <xdr:cNvCxnSpPr>
          <a:endCxn id="73" idx="0"/>
        </xdr:cNvCxnSpPr>
      </xdr:nvCxnSpPr>
      <xdr:spPr>
        <a:xfrm>
          <a:off x="14285384" y="5567893"/>
          <a:ext cx="732655" cy="3047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127093</xdr:colOff>
      <xdr:row>70</xdr:row>
      <xdr:rowOff>49578</xdr:rowOff>
    </xdr:from>
    <xdr:to>
      <xdr:col>18</xdr:col>
      <xdr:colOff>142875</xdr:colOff>
      <xdr:row>74</xdr:row>
      <xdr:rowOff>123825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F5D283F3-3C23-4BD5-A46F-9EE0020026E0}"/>
            </a:ext>
          </a:extLst>
        </xdr:cNvPr>
        <xdr:cNvCxnSpPr>
          <a:endCxn id="226" idx="3"/>
        </xdr:cNvCxnSpPr>
      </xdr:nvCxnSpPr>
      <xdr:spPr>
        <a:xfrm flipH="1" flipV="1">
          <a:off x="5765893" y="10869978"/>
          <a:ext cx="777782" cy="68384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154516</xdr:colOff>
      <xdr:row>32</xdr:row>
      <xdr:rowOff>129117</xdr:rowOff>
    </xdr:from>
    <xdr:to>
      <xdr:col>39</xdr:col>
      <xdr:colOff>245533</xdr:colOff>
      <xdr:row>34</xdr:row>
      <xdr:rowOff>23284</xdr:rowOff>
    </xdr:to>
    <xdr:grpSp>
      <xdr:nvGrpSpPr>
        <xdr:cNvPr id="177" name="Group 28">
          <a:extLst>
            <a:ext uri="{FF2B5EF4-FFF2-40B4-BE49-F238E27FC236}">
              <a16:creationId xmlns:a16="http://schemas.microsoft.com/office/drawing/2014/main" id="{CE33288C-8F5D-4C05-BDAB-D3B286A3CEAB}"/>
            </a:ext>
          </a:extLst>
        </xdr:cNvPr>
        <xdr:cNvGrpSpPr>
          <a:grpSpLocks/>
        </xdr:cNvGrpSpPr>
      </xdr:nvGrpSpPr>
      <xdr:grpSpPr bwMode="auto">
        <a:xfrm rot="17968288">
          <a:off x="14588066" y="5078942"/>
          <a:ext cx="198967" cy="91017"/>
          <a:chOff x="12267508" y="2212225"/>
          <a:chExt cx="192931" cy="101137"/>
        </a:xfrm>
      </xdr:grpSpPr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4598F3D9-1908-450C-A590-EF117ECCE934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3D96E2F7-A0B0-448F-80CB-033B34576AC4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66E2A861-6C7D-4B98-8C0E-068DDD4C655E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311B5C4C-7490-46CE-8671-FFA54BDAF6C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125941</xdr:colOff>
      <xdr:row>37</xdr:row>
      <xdr:rowOff>21167</xdr:rowOff>
    </xdr:from>
    <xdr:to>
      <xdr:col>39</xdr:col>
      <xdr:colOff>316441</xdr:colOff>
      <xdr:row>37</xdr:row>
      <xdr:rowOff>112184</xdr:rowOff>
    </xdr:to>
    <xdr:grpSp>
      <xdr:nvGrpSpPr>
        <xdr:cNvPr id="182" name="Group 28">
          <a:extLst>
            <a:ext uri="{FF2B5EF4-FFF2-40B4-BE49-F238E27FC236}">
              <a16:creationId xmlns:a16="http://schemas.microsoft.com/office/drawing/2014/main" id="{223E11F0-61BA-4198-AC6C-07D54A5A9E6A}"/>
            </a:ext>
          </a:extLst>
        </xdr:cNvPr>
        <xdr:cNvGrpSpPr>
          <a:grpSpLocks/>
        </xdr:cNvGrpSpPr>
      </xdr:nvGrpSpPr>
      <xdr:grpSpPr bwMode="auto">
        <a:xfrm>
          <a:off x="14613466" y="5688542"/>
          <a:ext cx="190500" cy="91017"/>
          <a:chOff x="12267508" y="2212225"/>
          <a:chExt cx="192931" cy="101137"/>
        </a:xfrm>
      </xdr:grpSpPr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3E19DCA9-09DD-4820-93D7-38FBE3627032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C6CB5C41-4B28-4D90-8695-6C9DA50BB84A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1B40A141-9D5A-4C33-8461-5E47B1F8E02B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91D75AE3-402F-4D67-8FC8-E7226717954A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115359</xdr:colOff>
      <xdr:row>39</xdr:row>
      <xdr:rowOff>32809</xdr:rowOff>
    </xdr:from>
    <xdr:to>
      <xdr:col>40</xdr:col>
      <xdr:colOff>348192</xdr:colOff>
      <xdr:row>40</xdr:row>
      <xdr:rowOff>117475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B28B1674-5516-4F2D-B233-618F1D40C0FE}"/>
            </a:ext>
          </a:extLst>
        </xdr:cNvPr>
        <xdr:cNvCxnSpPr/>
      </xdr:nvCxnSpPr>
      <xdr:spPr>
        <a:xfrm flipV="1">
          <a:off x="14983884" y="6014509"/>
          <a:ext cx="232833" cy="237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136525</xdr:colOff>
      <xdr:row>39</xdr:row>
      <xdr:rowOff>64559</xdr:rowOff>
    </xdr:from>
    <xdr:to>
      <xdr:col>40</xdr:col>
      <xdr:colOff>379941</xdr:colOff>
      <xdr:row>40</xdr:row>
      <xdr:rowOff>117475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E09007D6-5CF6-4361-A51B-9D14F60448A4}"/>
            </a:ext>
          </a:extLst>
        </xdr:cNvPr>
        <xdr:cNvCxnSpPr/>
      </xdr:nvCxnSpPr>
      <xdr:spPr>
        <a:xfrm>
          <a:off x="15005050" y="6046259"/>
          <a:ext cx="243416" cy="2053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327025</xdr:colOff>
      <xdr:row>37</xdr:row>
      <xdr:rowOff>127000</xdr:rowOff>
    </xdr:from>
    <xdr:to>
      <xdr:col>39</xdr:col>
      <xdr:colOff>295274</xdr:colOff>
      <xdr:row>38</xdr:row>
      <xdr:rowOff>75141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C3FF4D7F-775A-488D-9735-45E69844D6AD}"/>
            </a:ext>
          </a:extLst>
        </xdr:cNvPr>
        <xdr:cNvCxnSpPr/>
      </xdr:nvCxnSpPr>
      <xdr:spPr>
        <a:xfrm flipV="1">
          <a:off x="14433550" y="5794375"/>
          <a:ext cx="349249" cy="110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83608</xdr:colOff>
      <xdr:row>37</xdr:row>
      <xdr:rowOff>95250</xdr:rowOff>
    </xdr:from>
    <xdr:to>
      <xdr:col>39</xdr:col>
      <xdr:colOff>327024</xdr:colOff>
      <xdr:row>38</xdr:row>
      <xdr:rowOff>142875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759521D9-8220-4208-88B8-B4E987780128}"/>
            </a:ext>
          </a:extLst>
        </xdr:cNvPr>
        <xdr:cNvCxnSpPr/>
      </xdr:nvCxnSpPr>
      <xdr:spPr>
        <a:xfrm>
          <a:off x="14571133" y="5762625"/>
          <a:ext cx="243416" cy="209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157692</xdr:colOff>
      <xdr:row>33</xdr:row>
      <xdr:rowOff>62442</xdr:rowOff>
    </xdr:from>
    <xdr:to>
      <xdr:col>39</xdr:col>
      <xdr:colOff>20108</xdr:colOff>
      <xdr:row>34</xdr:row>
      <xdr:rowOff>115358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A6D198E4-3A7F-420A-B1F3-C7912C2B7053}"/>
            </a:ext>
          </a:extLst>
        </xdr:cNvPr>
        <xdr:cNvCxnSpPr/>
      </xdr:nvCxnSpPr>
      <xdr:spPr>
        <a:xfrm>
          <a:off x="14264217" y="5110692"/>
          <a:ext cx="243416" cy="2053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62442</xdr:colOff>
      <xdr:row>33</xdr:row>
      <xdr:rowOff>147108</xdr:rowOff>
    </xdr:from>
    <xdr:to>
      <xdr:col>39</xdr:col>
      <xdr:colOff>30691</xdr:colOff>
      <xdr:row>34</xdr:row>
      <xdr:rowOff>104774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6040C3B4-EE44-4B0F-8A03-290C426E470C}"/>
            </a:ext>
          </a:extLst>
        </xdr:cNvPr>
        <xdr:cNvCxnSpPr/>
      </xdr:nvCxnSpPr>
      <xdr:spPr>
        <a:xfrm flipV="1">
          <a:off x="14168967" y="5195358"/>
          <a:ext cx="349249" cy="110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51859</xdr:colOff>
      <xdr:row>30</xdr:row>
      <xdr:rowOff>62442</xdr:rowOff>
    </xdr:from>
    <xdr:to>
      <xdr:col>40</xdr:col>
      <xdr:colOff>20108</xdr:colOff>
      <xdr:row>31</xdr:row>
      <xdr:rowOff>20108</xdr:rowOff>
    </xdr:to>
    <xdr:cxnSp macro="">
      <xdr:nvCxnSpPr>
        <xdr:cNvPr id="193" name="Straight Connector 192">
          <a:extLst>
            <a:ext uri="{FF2B5EF4-FFF2-40B4-BE49-F238E27FC236}">
              <a16:creationId xmlns:a16="http://schemas.microsoft.com/office/drawing/2014/main" id="{97134698-864E-46EA-9633-854E45D99A3E}"/>
            </a:ext>
          </a:extLst>
        </xdr:cNvPr>
        <xdr:cNvCxnSpPr/>
      </xdr:nvCxnSpPr>
      <xdr:spPr>
        <a:xfrm flipV="1">
          <a:off x="14539384" y="4653492"/>
          <a:ext cx="349249" cy="110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157692</xdr:colOff>
      <xdr:row>30</xdr:row>
      <xdr:rowOff>20109</xdr:rowOff>
    </xdr:from>
    <xdr:to>
      <xdr:col>40</xdr:col>
      <xdr:colOff>20108</xdr:colOff>
      <xdr:row>31</xdr:row>
      <xdr:rowOff>73025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7FD11DDB-5AC0-41E7-81B0-35384531628F}"/>
            </a:ext>
          </a:extLst>
        </xdr:cNvPr>
        <xdr:cNvCxnSpPr/>
      </xdr:nvCxnSpPr>
      <xdr:spPr>
        <a:xfrm>
          <a:off x="14645217" y="4611159"/>
          <a:ext cx="243416" cy="2053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189441</xdr:colOff>
      <xdr:row>41</xdr:row>
      <xdr:rowOff>85725</xdr:rowOff>
    </xdr:from>
    <xdr:to>
      <xdr:col>44</xdr:col>
      <xdr:colOff>40613</xdr:colOff>
      <xdr:row>41</xdr:row>
      <xdr:rowOff>87313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888D9553-474E-4063-8F65-3722255FC71C}"/>
            </a:ext>
          </a:extLst>
        </xdr:cNvPr>
        <xdr:cNvCxnSpPr/>
      </xdr:nvCxnSpPr>
      <xdr:spPr>
        <a:xfrm>
          <a:off x="15438966" y="6372225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231775</xdr:colOff>
      <xdr:row>40</xdr:row>
      <xdr:rowOff>85726</xdr:rowOff>
    </xdr:from>
    <xdr:to>
      <xdr:col>44</xdr:col>
      <xdr:colOff>82947</xdr:colOff>
      <xdr:row>40</xdr:row>
      <xdr:rowOff>87314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F7FB5E45-6B80-4382-8E94-8B713B22890E}"/>
            </a:ext>
          </a:extLst>
        </xdr:cNvPr>
        <xdr:cNvCxnSpPr/>
      </xdr:nvCxnSpPr>
      <xdr:spPr>
        <a:xfrm>
          <a:off x="15481300" y="621982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51857</xdr:colOff>
      <xdr:row>35</xdr:row>
      <xdr:rowOff>125941</xdr:rowOff>
    </xdr:from>
    <xdr:to>
      <xdr:col>40</xdr:col>
      <xdr:colOff>194732</xdr:colOff>
      <xdr:row>37</xdr:row>
      <xdr:rowOff>25400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C5022A2A-C366-43FF-AF42-F838C3B997FD}"/>
            </a:ext>
          </a:extLst>
        </xdr:cNvPr>
        <xdr:cNvSpPr txBox="1"/>
      </xdr:nvSpPr>
      <xdr:spPr>
        <a:xfrm rot="1693368">
          <a:off x="14539382" y="5478991"/>
          <a:ext cx="523875" cy="2137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50M</a:t>
          </a:r>
        </a:p>
      </xdr:txBody>
    </xdr:sp>
    <xdr:clientData/>
  </xdr:twoCellAnchor>
  <xdr:twoCellAnchor>
    <xdr:from>
      <xdr:col>36</xdr:col>
      <xdr:colOff>136526</xdr:colOff>
      <xdr:row>35</xdr:row>
      <xdr:rowOff>30691</xdr:rowOff>
    </xdr:from>
    <xdr:to>
      <xdr:col>37</xdr:col>
      <xdr:colOff>337608</xdr:colOff>
      <xdr:row>37</xdr:row>
      <xdr:rowOff>31750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4E9CDCB-9489-475E-9190-F21FD39753B2}"/>
            </a:ext>
          </a:extLst>
        </xdr:cNvPr>
        <xdr:cNvSpPr txBox="1"/>
      </xdr:nvSpPr>
      <xdr:spPr>
        <a:xfrm>
          <a:off x="13481051" y="5383741"/>
          <a:ext cx="582082" cy="31538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2 CJ6-T</a:t>
          </a:r>
        </a:p>
      </xdr:txBody>
    </xdr:sp>
    <xdr:clientData/>
  </xdr:twoCellAnchor>
  <xdr:twoCellAnchor>
    <xdr:from>
      <xdr:col>36</xdr:col>
      <xdr:colOff>104775</xdr:colOff>
      <xdr:row>36</xdr:row>
      <xdr:rowOff>95781</xdr:rowOff>
    </xdr:from>
    <xdr:to>
      <xdr:col>37</xdr:col>
      <xdr:colOff>347531</xdr:colOff>
      <xdr:row>36</xdr:row>
      <xdr:rowOff>125943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2DC5AFE4-789F-420F-8670-C7A027E8C701}"/>
            </a:ext>
          </a:extLst>
        </xdr:cNvPr>
        <xdr:cNvCxnSpPr/>
      </xdr:nvCxnSpPr>
      <xdr:spPr>
        <a:xfrm flipV="1">
          <a:off x="13449300" y="5601231"/>
          <a:ext cx="623756" cy="301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295275</xdr:colOff>
      <xdr:row>59</xdr:row>
      <xdr:rowOff>76200</xdr:rowOff>
    </xdr:from>
    <xdr:to>
      <xdr:col>15</xdr:col>
      <xdr:colOff>43971</xdr:colOff>
      <xdr:row>60</xdr:row>
      <xdr:rowOff>45687</xdr:rowOff>
    </xdr:to>
    <xdr:grpSp>
      <xdr:nvGrpSpPr>
        <xdr:cNvPr id="208" name="Group 682">
          <a:extLst>
            <a:ext uri="{FF2B5EF4-FFF2-40B4-BE49-F238E27FC236}">
              <a16:creationId xmlns:a16="http://schemas.microsoft.com/office/drawing/2014/main" id="{20A2EBD3-2DAA-4CBD-A768-BDDE5C74FCAA}"/>
            </a:ext>
          </a:extLst>
        </xdr:cNvPr>
        <xdr:cNvGrpSpPr>
          <a:grpSpLocks/>
        </xdr:cNvGrpSpPr>
      </xdr:nvGrpSpPr>
      <xdr:grpSpPr bwMode="auto">
        <a:xfrm>
          <a:off x="5172075" y="9220200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09" name="Oval 208">
            <a:extLst>
              <a:ext uri="{FF2B5EF4-FFF2-40B4-BE49-F238E27FC236}">
                <a16:creationId xmlns:a16="http://schemas.microsoft.com/office/drawing/2014/main" id="{81CF3BD9-B909-870E-DDCF-C781423F42D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67D6D9B6-FFC3-8517-67FC-A229893F2832}"/>
              </a:ext>
            </a:extLst>
          </xdr:cNvPr>
          <xdr:cNvCxnSpPr>
            <a:stCxn id="209" idx="1"/>
            <a:endCxn id="20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CD977157-D4C7-6DFC-725C-99AD1842B1AE}"/>
              </a:ext>
            </a:extLst>
          </xdr:cNvPr>
          <xdr:cNvCxnSpPr>
            <a:stCxn id="209" idx="3"/>
            <a:endCxn id="20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323850</xdr:colOff>
      <xdr:row>19</xdr:row>
      <xdr:rowOff>66675</xdr:rowOff>
    </xdr:from>
    <xdr:to>
      <xdr:col>15</xdr:col>
      <xdr:colOff>72546</xdr:colOff>
      <xdr:row>20</xdr:row>
      <xdr:rowOff>36162</xdr:rowOff>
    </xdr:to>
    <xdr:grpSp>
      <xdr:nvGrpSpPr>
        <xdr:cNvPr id="212" name="Group 682">
          <a:extLst>
            <a:ext uri="{FF2B5EF4-FFF2-40B4-BE49-F238E27FC236}">
              <a16:creationId xmlns:a16="http://schemas.microsoft.com/office/drawing/2014/main" id="{7588E37E-B610-446D-A72F-9E8860906114}"/>
            </a:ext>
          </a:extLst>
        </xdr:cNvPr>
        <xdr:cNvGrpSpPr>
          <a:grpSpLocks/>
        </xdr:cNvGrpSpPr>
      </xdr:nvGrpSpPr>
      <xdr:grpSpPr bwMode="auto">
        <a:xfrm>
          <a:off x="5200650" y="2990850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3" name="Oval 212">
            <a:extLst>
              <a:ext uri="{FF2B5EF4-FFF2-40B4-BE49-F238E27FC236}">
                <a16:creationId xmlns:a16="http://schemas.microsoft.com/office/drawing/2014/main" id="{42DDA017-789E-FF31-70F1-4F01B6D6507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95651B22-CBE8-8A6E-6790-CBF7D796151B}"/>
              </a:ext>
            </a:extLst>
          </xdr:cNvPr>
          <xdr:cNvCxnSpPr>
            <a:stCxn id="213" idx="1"/>
            <a:endCxn id="21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EA888CBD-90CE-6F76-21EF-873951B937CB}"/>
              </a:ext>
            </a:extLst>
          </xdr:cNvPr>
          <xdr:cNvCxnSpPr>
            <a:stCxn id="213" idx="3"/>
            <a:endCxn id="21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104775</xdr:colOff>
      <xdr:row>19</xdr:row>
      <xdr:rowOff>85725</xdr:rowOff>
    </xdr:from>
    <xdr:to>
      <xdr:col>9</xdr:col>
      <xdr:colOff>234471</xdr:colOff>
      <xdr:row>20</xdr:row>
      <xdr:rowOff>55212</xdr:rowOff>
    </xdr:to>
    <xdr:grpSp>
      <xdr:nvGrpSpPr>
        <xdr:cNvPr id="216" name="Group 682">
          <a:extLst>
            <a:ext uri="{FF2B5EF4-FFF2-40B4-BE49-F238E27FC236}">
              <a16:creationId xmlns:a16="http://schemas.microsoft.com/office/drawing/2014/main" id="{9E8C75AF-461C-4F6D-BBD0-76B45DC0B0EA}"/>
            </a:ext>
          </a:extLst>
        </xdr:cNvPr>
        <xdr:cNvGrpSpPr>
          <a:grpSpLocks/>
        </xdr:cNvGrpSpPr>
      </xdr:nvGrpSpPr>
      <xdr:grpSpPr bwMode="auto">
        <a:xfrm>
          <a:off x="3076575" y="3009900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17" name="Oval 216">
            <a:extLst>
              <a:ext uri="{FF2B5EF4-FFF2-40B4-BE49-F238E27FC236}">
                <a16:creationId xmlns:a16="http://schemas.microsoft.com/office/drawing/2014/main" id="{68A78671-8EBA-29BE-F001-EC614B0B023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F4705746-6B68-4CBC-6DF3-77926E7E711C}"/>
              </a:ext>
            </a:extLst>
          </xdr:cNvPr>
          <xdr:cNvCxnSpPr>
            <a:stCxn id="217" idx="1"/>
            <a:endCxn id="21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BBFEE684-205C-677B-820B-9381D2D500AD}"/>
              </a:ext>
            </a:extLst>
          </xdr:cNvPr>
          <xdr:cNvCxnSpPr>
            <a:stCxn id="217" idx="3"/>
            <a:endCxn id="21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66675</xdr:colOff>
      <xdr:row>67</xdr:row>
      <xdr:rowOff>57150</xdr:rowOff>
    </xdr:from>
    <xdr:to>
      <xdr:col>12</xdr:col>
      <xdr:colOff>196371</xdr:colOff>
      <xdr:row>68</xdr:row>
      <xdr:rowOff>26637</xdr:rowOff>
    </xdr:to>
    <xdr:grpSp>
      <xdr:nvGrpSpPr>
        <xdr:cNvPr id="220" name="Group 682">
          <a:extLst>
            <a:ext uri="{FF2B5EF4-FFF2-40B4-BE49-F238E27FC236}">
              <a16:creationId xmlns:a16="http://schemas.microsoft.com/office/drawing/2014/main" id="{BF2E5B58-CD85-40EE-ADBA-9413F10E31EE}"/>
            </a:ext>
          </a:extLst>
        </xdr:cNvPr>
        <xdr:cNvGrpSpPr>
          <a:grpSpLocks/>
        </xdr:cNvGrpSpPr>
      </xdr:nvGrpSpPr>
      <xdr:grpSpPr bwMode="auto">
        <a:xfrm>
          <a:off x="4181475" y="10420350"/>
          <a:ext cx="1296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221" name="Oval 220">
            <a:extLst>
              <a:ext uri="{FF2B5EF4-FFF2-40B4-BE49-F238E27FC236}">
                <a16:creationId xmlns:a16="http://schemas.microsoft.com/office/drawing/2014/main" id="{ECB08B6B-6521-F2E9-6FCE-FE14BA68CED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699F0FBC-2681-55BA-9055-C47436749CC1}"/>
              </a:ext>
            </a:extLst>
          </xdr:cNvPr>
          <xdr:cNvCxnSpPr>
            <a:stCxn id="221" idx="1"/>
            <a:endCxn id="22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84737794-1129-C0BF-26B1-DD3C24C58EEA}"/>
              </a:ext>
            </a:extLst>
          </xdr:cNvPr>
          <xdr:cNvCxnSpPr>
            <a:stCxn id="221" idx="3"/>
            <a:endCxn id="22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161924</xdr:colOff>
      <xdr:row>58</xdr:row>
      <xdr:rowOff>142878</xdr:rowOff>
    </xdr:from>
    <xdr:to>
      <xdr:col>16</xdr:col>
      <xdr:colOff>38099</xdr:colOff>
      <xdr:row>71</xdr:row>
      <xdr:rowOff>28574</xdr:rowOff>
    </xdr:to>
    <xdr:sp macro="" textlink="">
      <xdr:nvSpPr>
        <xdr:cNvPr id="224" name="Rectangle 223">
          <a:extLst>
            <a:ext uri="{FF2B5EF4-FFF2-40B4-BE49-F238E27FC236}">
              <a16:creationId xmlns:a16="http://schemas.microsoft.com/office/drawing/2014/main" id="{D98FC971-5AFC-4895-9A94-DB8188FB9A9F}"/>
            </a:ext>
          </a:extLst>
        </xdr:cNvPr>
        <xdr:cNvSpPr/>
      </xdr:nvSpPr>
      <xdr:spPr>
        <a:xfrm rot="5400000">
          <a:off x="4614864" y="9939338"/>
          <a:ext cx="1866896" cy="2571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104775</xdr:colOff>
      <xdr:row>69</xdr:row>
      <xdr:rowOff>76200</xdr:rowOff>
    </xdr:from>
    <xdr:to>
      <xdr:col>16</xdr:col>
      <xdr:colOff>257175</xdr:colOff>
      <xdr:row>70</xdr:row>
      <xdr:rowOff>71158</xdr:rowOff>
    </xdr:to>
    <xdr:grpSp>
      <xdr:nvGrpSpPr>
        <xdr:cNvPr id="225" name="Group 2">
          <a:extLst>
            <a:ext uri="{FF2B5EF4-FFF2-40B4-BE49-F238E27FC236}">
              <a16:creationId xmlns:a16="http://schemas.microsoft.com/office/drawing/2014/main" id="{3B49FBD6-412D-4F19-9786-30443C605039}"/>
            </a:ext>
          </a:extLst>
        </xdr:cNvPr>
        <xdr:cNvGrpSpPr>
          <a:grpSpLocks/>
        </xdr:cNvGrpSpPr>
      </xdr:nvGrpSpPr>
      <xdr:grpSpPr bwMode="auto">
        <a:xfrm>
          <a:off x="5743575" y="10744200"/>
          <a:ext cx="152400" cy="147358"/>
          <a:chOff x="3725636" y="1945820"/>
          <a:chExt cx="153760" cy="144237"/>
        </a:xfrm>
      </xdr:grpSpPr>
      <xdr:sp macro="" textlink="">
        <xdr:nvSpPr>
          <xdr:cNvPr id="226" name="Oval 225">
            <a:extLst>
              <a:ext uri="{FF2B5EF4-FFF2-40B4-BE49-F238E27FC236}">
                <a16:creationId xmlns:a16="http://schemas.microsoft.com/office/drawing/2014/main" id="{034759F7-BD27-FC7B-CB61-C4DC275CFC5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581F68A0-F4A6-9A0D-313D-6F7722DB6DC8}"/>
              </a:ext>
            </a:extLst>
          </xdr:cNvPr>
          <xdr:cNvCxnSpPr>
            <a:stCxn id="226" idx="1"/>
            <a:endCxn id="22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E31E8807-2A2A-C6D8-7D8D-FE9110892911}"/>
              </a:ext>
            </a:extLst>
          </xdr:cNvPr>
          <xdr:cNvCxnSpPr>
            <a:stCxn id="226" idx="3"/>
            <a:endCxn id="22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114300</xdr:colOff>
      <xdr:row>25</xdr:row>
      <xdr:rowOff>133350</xdr:rowOff>
    </xdr:from>
    <xdr:to>
      <xdr:col>10</xdr:col>
      <xdr:colOff>266700</xdr:colOff>
      <xdr:row>26</xdr:row>
      <xdr:rowOff>128308</xdr:rowOff>
    </xdr:to>
    <xdr:grpSp>
      <xdr:nvGrpSpPr>
        <xdr:cNvPr id="229" name="Group 2">
          <a:extLst>
            <a:ext uri="{FF2B5EF4-FFF2-40B4-BE49-F238E27FC236}">
              <a16:creationId xmlns:a16="http://schemas.microsoft.com/office/drawing/2014/main" id="{1213F115-ACE5-4C88-95DA-F4AE3F0D15F6}"/>
            </a:ext>
          </a:extLst>
        </xdr:cNvPr>
        <xdr:cNvGrpSpPr>
          <a:grpSpLocks/>
        </xdr:cNvGrpSpPr>
      </xdr:nvGrpSpPr>
      <xdr:grpSpPr bwMode="auto">
        <a:xfrm>
          <a:off x="3467100" y="3971925"/>
          <a:ext cx="152400" cy="147358"/>
          <a:chOff x="3725636" y="1945820"/>
          <a:chExt cx="153760" cy="144237"/>
        </a:xfrm>
      </xdr:grpSpPr>
      <xdr:sp macro="" textlink="">
        <xdr:nvSpPr>
          <xdr:cNvPr id="230" name="Oval 229">
            <a:extLst>
              <a:ext uri="{FF2B5EF4-FFF2-40B4-BE49-F238E27FC236}">
                <a16:creationId xmlns:a16="http://schemas.microsoft.com/office/drawing/2014/main" id="{67805D90-BFA5-21D2-880B-5ABAC271788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0CE8A434-4BBD-D495-C951-03C673C2A707}"/>
              </a:ext>
            </a:extLst>
          </xdr:cNvPr>
          <xdr:cNvCxnSpPr>
            <a:stCxn id="230" idx="1"/>
            <a:endCxn id="23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3BB51EFF-1389-4E93-CB32-15829C01E229}"/>
              </a:ext>
            </a:extLst>
          </xdr:cNvPr>
          <xdr:cNvCxnSpPr>
            <a:stCxn id="230" idx="3"/>
            <a:endCxn id="23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104775</xdr:colOff>
      <xdr:row>24</xdr:row>
      <xdr:rowOff>47625</xdr:rowOff>
    </xdr:from>
    <xdr:to>
      <xdr:col>10</xdr:col>
      <xdr:colOff>257175</xdr:colOff>
      <xdr:row>25</xdr:row>
      <xdr:rowOff>42583</xdr:rowOff>
    </xdr:to>
    <xdr:grpSp>
      <xdr:nvGrpSpPr>
        <xdr:cNvPr id="233" name="Group 2">
          <a:extLst>
            <a:ext uri="{FF2B5EF4-FFF2-40B4-BE49-F238E27FC236}">
              <a16:creationId xmlns:a16="http://schemas.microsoft.com/office/drawing/2014/main" id="{05C24184-9C92-4CAC-B8C6-67534C1D3951}"/>
            </a:ext>
          </a:extLst>
        </xdr:cNvPr>
        <xdr:cNvGrpSpPr>
          <a:grpSpLocks/>
        </xdr:cNvGrpSpPr>
      </xdr:nvGrpSpPr>
      <xdr:grpSpPr bwMode="auto">
        <a:xfrm>
          <a:off x="3457575" y="3733800"/>
          <a:ext cx="152400" cy="147358"/>
          <a:chOff x="3725636" y="1945820"/>
          <a:chExt cx="153760" cy="144237"/>
        </a:xfrm>
      </xdr:grpSpPr>
      <xdr:sp macro="" textlink="">
        <xdr:nvSpPr>
          <xdr:cNvPr id="234" name="Oval 233">
            <a:extLst>
              <a:ext uri="{FF2B5EF4-FFF2-40B4-BE49-F238E27FC236}">
                <a16:creationId xmlns:a16="http://schemas.microsoft.com/office/drawing/2014/main" id="{BDF00D67-7BE3-A8EF-0594-1B372EB5FEB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5207688B-F671-13EB-B199-739822773D82}"/>
              </a:ext>
            </a:extLst>
          </xdr:cNvPr>
          <xdr:cNvCxnSpPr>
            <a:stCxn id="234" idx="1"/>
            <a:endCxn id="2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69B1B354-6DA5-3045-B6C5-2E0BF2E0B2A7}"/>
              </a:ext>
            </a:extLst>
          </xdr:cNvPr>
          <xdr:cNvCxnSpPr>
            <a:stCxn id="234" idx="3"/>
            <a:endCxn id="2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171450</xdr:colOff>
      <xdr:row>70</xdr:row>
      <xdr:rowOff>71158</xdr:rowOff>
    </xdr:from>
    <xdr:to>
      <xdr:col>16</xdr:col>
      <xdr:colOff>180975</xdr:colOff>
      <xdr:row>72</xdr:row>
      <xdr:rowOff>47625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id="{4A7A8E1E-0B2E-42D5-AB21-E6EFF6927FE0}"/>
            </a:ext>
          </a:extLst>
        </xdr:cNvPr>
        <xdr:cNvCxnSpPr>
          <a:endCxn id="226" idx="4"/>
        </xdr:cNvCxnSpPr>
      </xdr:nvCxnSpPr>
      <xdr:spPr>
        <a:xfrm flipV="1">
          <a:off x="5048250" y="10891558"/>
          <a:ext cx="771525" cy="28126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169623</xdr:colOff>
      <xdr:row>20</xdr:row>
      <xdr:rowOff>55212</xdr:rowOff>
    </xdr:from>
    <xdr:to>
      <xdr:col>10</xdr:col>
      <xdr:colOff>180975</xdr:colOff>
      <xdr:row>24</xdr:row>
      <xdr:rowOff>47625</xdr:rowOff>
    </xdr:to>
    <xdr:cxnSp macro="">
      <xdr:nvCxnSpPr>
        <xdr:cNvPr id="242" name="Straight Connector 241">
          <a:extLst>
            <a:ext uri="{FF2B5EF4-FFF2-40B4-BE49-F238E27FC236}">
              <a16:creationId xmlns:a16="http://schemas.microsoft.com/office/drawing/2014/main" id="{7C4DF0D8-828A-41B3-BE88-AF7B37F870E9}"/>
            </a:ext>
          </a:extLst>
        </xdr:cNvPr>
        <xdr:cNvCxnSpPr>
          <a:stCxn id="217" idx="4"/>
          <a:endCxn id="234" idx="0"/>
        </xdr:cNvCxnSpPr>
      </xdr:nvCxnSpPr>
      <xdr:spPr>
        <a:xfrm>
          <a:off x="3141423" y="3131787"/>
          <a:ext cx="392352" cy="60201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228600</xdr:colOff>
      <xdr:row>69</xdr:row>
      <xdr:rowOff>97780</xdr:rowOff>
    </xdr:from>
    <xdr:to>
      <xdr:col>16</xdr:col>
      <xdr:colOff>234857</xdr:colOff>
      <xdr:row>73</xdr:row>
      <xdr:rowOff>85725</xdr:rowOff>
    </xdr:to>
    <xdr:cxnSp macro="">
      <xdr:nvCxnSpPr>
        <xdr:cNvPr id="243" name="Straight Connector 242">
          <a:extLst>
            <a:ext uri="{FF2B5EF4-FFF2-40B4-BE49-F238E27FC236}">
              <a16:creationId xmlns:a16="http://schemas.microsoft.com/office/drawing/2014/main" id="{15D6DBAE-A3C7-4DFB-BCCE-7C99A3AADAE7}"/>
            </a:ext>
          </a:extLst>
        </xdr:cNvPr>
        <xdr:cNvCxnSpPr>
          <a:endCxn id="226" idx="7"/>
        </xdr:cNvCxnSpPr>
      </xdr:nvCxnSpPr>
      <xdr:spPr>
        <a:xfrm flipV="1">
          <a:off x="4343400" y="10765780"/>
          <a:ext cx="1530257" cy="59754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302973</xdr:colOff>
      <xdr:row>19</xdr:row>
      <xdr:rowOff>66675</xdr:rowOff>
    </xdr:from>
    <xdr:to>
      <xdr:col>15</xdr:col>
      <xdr:colOff>7698</xdr:colOff>
      <xdr:row>19</xdr:row>
      <xdr:rowOff>85725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99DFA5E1-017B-4B00-82AE-6225EC167913}"/>
            </a:ext>
          </a:extLst>
        </xdr:cNvPr>
        <xdr:cNvCxnSpPr>
          <a:endCxn id="213" idx="0"/>
        </xdr:cNvCxnSpPr>
      </xdr:nvCxnSpPr>
      <xdr:spPr>
        <a:xfrm flipV="1">
          <a:off x="2131773" y="2990850"/>
          <a:ext cx="3133725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7698</xdr:colOff>
      <xdr:row>19</xdr:row>
      <xdr:rowOff>66675</xdr:rowOff>
    </xdr:from>
    <xdr:to>
      <xdr:col>16</xdr:col>
      <xdr:colOff>76200</xdr:colOff>
      <xdr:row>19</xdr:row>
      <xdr:rowOff>76200</xdr:rowOff>
    </xdr:to>
    <xdr:cxnSp macro="">
      <xdr:nvCxnSpPr>
        <xdr:cNvPr id="253" name="Straight Connector 252">
          <a:extLst>
            <a:ext uri="{FF2B5EF4-FFF2-40B4-BE49-F238E27FC236}">
              <a16:creationId xmlns:a16="http://schemas.microsoft.com/office/drawing/2014/main" id="{238EDCFC-F1EF-407A-A1BF-381C83B4B1E4}"/>
            </a:ext>
          </a:extLst>
        </xdr:cNvPr>
        <xdr:cNvCxnSpPr>
          <a:endCxn id="213" idx="0"/>
        </xdr:cNvCxnSpPr>
      </xdr:nvCxnSpPr>
      <xdr:spPr>
        <a:xfrm flipH="1" flipV="1">
          <a:off x="5265498" y="2990850"/>
          <a:ext cx="449502" cy="9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</xdr:colOff>
      <xdr:row>67</xdr:row>
      <xdr:rowOff>57150</xdr:rowOff>
    </xdr:from>
    <xdr:to>
      <xdr:col>12</xdr:col>
      <xdr:colOff>131523</xdr:colOff>
      <xdr:row>67</xdr:row>
      <xdr:rowOff>76200</xdr:rowOff>
    </xdr:to>
    <xdr:cxnSp macro="">
      <xdr:nvCxnSpPr>
        <xdr:cNvPr id="256" name="Straight Connector 255">
          <a:extLst>
            <a:ext uri="{FF2B5EF4-FFF2-40B4-BE49-F238E27FC236}">
              <a16:creationId xmlns:a16="http://schemas.microsoft.com/office/drawing/2014/main" id="{E5D84C40-AC7B-4539-86E2-F1FB94C8E10C}"/>
            </a:ext>
          </a:extLst>
        </xdr:cNvPr>
        <xdr:cNvCxnSpPr>
          <a:stCxn id="221" idx="0"/>
        </xdr:cNvCxnSpPr>
      </xdr:nvCxnSpPr>
      <xdr:spPr>
        <a:xfrm flipH="1">
          <a:off x="3771900" y="10420350"/>
          <a:ext cx="474423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47625</xdr:colOff>
      <xdr:row>67</xdr:row>
      <xdr:rowOff>47625</xdr:rowOff>
    </xdr:from>
    <xdr:to>
      <xdr:col>14</xdr:col>
      <xdr:colOff>295275</xdr:colOff>
      <xdr:row>68</xdr:row>
      <xdr:rowOff>38100</xdr:rowOff>
    </xdr:to>
    <xdr:grpSp>
      <xdr:nvGrpSpPr>
        <xdr:cNvPr id="259" name="Group 118">
          <a:extLst>
            <a:ext uri="{FF2B5EF4-FFF2-40B4-BE49-F238E27FC236}">
              <a16:creationId xmlns:a16="http://schemas.microsoft.com/office/drawing/2014/main" id="{8F5DDC31-4D9E-4769-A245-EBFB1C9649E8}"/>
            </a:ext>
          </a:extLst>
        </xdr:cNvPr>
        <xdr:cNvGrpSpPr>
          <a:grpSpLocks/>
        </xdr:cNvGrpSpPr>
      </xdr:nvGrpSpPr>
      <xdr:grpSpPr bwMode="auto">
        <a:xfrm>
          <a:off x="4924425" y="10410825"/>
          <a:ext cx="247650" cy="142875"/>
          <a:chOff x="12446976" y="4345782"/>
          <a:chExt cx="251864" cy="151026"/>
        </a:xfrm>
      </xdr:grpSpPr>
      <xdr:sp macro="" textlink="">
        <xdr:nvSpPr>
          <xdr:cNvPr id="260" name="Isosceles Triangle 259">
            <a:extLst>
              <a:ext uri="{FF2B5EF4-FFF2-40B4-BE49-F238E27FC236}">
                <a16:creationId xmlns:a16="http://schemas.microsoft.com/office/drawing/2014/main" id="{2AE24B53-7878-E476-EC84-8E7B8AA03357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D202FCD6-E394-46C5-D597-AD3E50B3EEE1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62" name="Isosceles Triangle 261">
            <a:extLst>
              <a:ext uri="{FF2B5EF4-FFF2-40B4-BE49-F238E27FC236}">
                <a16:creationId xmlns:a16="http://schemas.microsoft.com/office/drawing/2014/main" id="{61E34C61-0698-046B-EE7A-41B27F3325B8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15</xdr:col>
      <xdr:colOff>43971</xdr:colOff>
      <xdr:row>59</xdr:row>
      <xdr:rowOff>137144</xdr:rowOff>
    </xdr:from>
    <xdr:to>
      <xdr:col>15</xdr:col>
      <xdr:colOff>95250</xdr:colOff>
      <xdr:row>64</xdr:row>
      <xdr:rowOff>47625</xdr:rowOff>
    </xdr:to>
    <xdr:cxnSp macro="">
      <xdr:nvCxnSpPr>
        <xdr:cNvPr id="263" name="Straight Connector 262">
          <a:extLst>
            <a:ext uri="{FF2B5EF4-FFF2-40B4-BE49-F238E27FC236}">
              <a16:creationId xmlns:a16="http://schemas.microsoft.com/office/drawing/2014/main" id="{4DF072E7-368C-4BF6-8215-C834CF0487FF}"/>
            </a:ext>
          </a:extLst>
        </xdr:cNvPr>
        <xdr:cNvCxnSpPr>
          <a:stCxn id="209" idx="6"/>
        </xdr:cNvCxnSpPr>
      </xdr:nvCxnSpPr>
      <xdr:spPr>
        <a:xfrm>
          <a:off x="5301771" y="9281144"/>
          <a:ext cx="51279" cy="67248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295275</xdr:colOff>
      <xdr:row>24</xdr:row>
      <xdr:rowOff>123825</xdr:rowOff>
    </xdr:from>
    <xdr:to>
      <xdr:col>11</xdr:col>
      <xdr:colOff>180975</xdr:colOff>
      <xdr:row>25</xdr:row>
      <xdr:rowOff>118782</xdr:rowOff>
    </xdr:to>
    <xdr:grpSp>
      <xdr:nvGrpSpPr>
        <xdr:cNvPr id="266" name="Group 114">
          <a:extLst>
            <a:ext uri="{FF2B5EF4-FFF2-40B4-BE49-F238E27FC236}">
              <a16:creationId xmlns:a16="http://schemas.microsoft.com/office/drawing/2014/main" id="{141B5B92-E2DA-49DF-9051-4951BE908533}"/>
            </a:ext>
          </a:extLst>
        </xdr:cNvPr>
        <xdr:cNvGrpSpPr>
          <a:grpSpLocks/>
        </xdr:cNvGrpSpPr>
      </xdr:nvGrpSpPr>
      <xdr:grpSpPr bwMode="auto">
        <a:xfrm>
          <a:off x="3648075" y="3810000"/>
          <a:ext cx="266700" cy="147357"/>
          <a:chOff x="12001500" y="4327373"/>
          <a:chExt cx="262305" cy="151942"/>
        </a:xfrm>
      </xdr:grpSpPr>
      <xdr:sp macro="" textlink="">
        <xdr:nvSpPr>
          <xdr:cNvPr id="267" name="Isosceles Triangle 266">
            <a:extLst>
              <a:ext uri="{FF2B5EF4-FFF2-40B4-BE49-F238E27FC236}">
                <a16:creationId xmlns:a16="http://schemas.microsoft.com/office/drawing/2014/main" id="{834DF9F5-C107-15AF-F5D2-15125CB16EF8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68" name="Isosceles Triangle 267">
            <a:extLst>
              <a:ext uri="{FF2B5EF4-FFF2-40B4-BE49-F238E27FC236}">
                <a16:creationId xmlns:a16="http://schemas.microsoft.com/office/drawing/2014/main" id="{0C9FA70B-4634-976B-C019-13D4F6B8C9DE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69" name="Isosceles Triangle 268">
            <a:extLst>
              <a:ext uri="{FF2B5EF4-FFF2-40B4-BE49-F238E27FC236}">
                <a16:creationId xmlns:a16="http://schemas.microsoft.com/office/drawing/2014/main" id="{9879B576-93E8-73CD-EEA0-F34634E4B9FE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19</xdr:col>
      <xdr:colOff>247650</xdr:colOff>
      <xdr:row>77</xdr:row>
      <xdr:rowOff>85725</xdr:rowOff>
    </xdr:from>
    <xdr:to>
      <xdr:col>20</xdr:col>
      <xdr:colOff>57149</xdr:colOff>
      <xdr:row>78</xdr:row>
      <xdr:rowOff>49741</xdr:rowOff>
    </xdr:to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2C8834E2-389D-4974-ADE4-40271CE24B13}"/>
            </a:ext>
          </a:extLst>
        </xdr:cNvPr>
        <xdr:cNvSpPr txBox="1"/>
      </xdr:nvSpPr>
      <xdr:spPr>
        <a:xfrm>
          <a:off x="7029450" y="11972925"/>
          <a:ext cx="190499" cy="1164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38100</xdr:colOff>
      <xdr:row>73</xdr:row>
      <xdr:rowOff>104775</xdr:rowOff>
    </xdr:from>
    <xdr:to>
      <xdr:col>18</xdr:col>
      <xdr:colOff>228600</xdr:colOff>
      <xdr:row>74</xdr:row>
      <xdr:rowOff>47625</xdr:rowOff>
    </xdr:to>
    <xdr:grpSp>
      <xdr:nvGrpSpPr>
        <xdr:cNvPr id="271" name="Group 28">
          <a:extLst>
            <a:ext uri="{FF2B5EF4-FFF2-40B4-BE49-F238E27FC236}">
              <a16:creationId xmlns:a16="http://schemas.microsoft.com/office/drawing/2014/main" id="{C6DE0AF5-AF8C-4570-B08F-C4B26FC050F9}"/>
            </a:ext>
          </a:extLst>
        </xdr:cNvPr>
        <xdr:cNvGrpSpPr>
          <a:grpSpLocks/>
        </xdr:cNvGrpSpPr>
      </xdr:nvGrpSpPr>
      <xdr:grpSpPr bwMode="auto">
        <a:xfrm>
          <a:off x="6438900" y="11382375"/>
          <a:ext cx="190500" cy="95250"/>
          <a:chOff x="12267508" y="2212225"/>
          <a:chExt cx="192931" cy="101137"/>
        </a:xfrm>
      </xdr:grpSpPr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1680164A-B517-CDDF-14A2-9830FD43CAE5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43CCC312-E155-F14F-9062-D072C7D2E86F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04E14165-B77F-8BBA-FEAB-9F569F363D6E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274">
            <a:extLst>
              <a:ext uri="{FF2B5EF4-FFF2-40B4-BE49-F238E27FC236}">
                <a16:creationId xmlns:a16="http://schemas.microsoft.com/office/drawing/2014/main" id="{4602F759-A47C-1081-8B92-C6008C5BA24E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247650</xdr:colOff>
      <xdr:row>69</xdr:row>
      <xdr:rowOff>57150</xdr:rowOff>
    </xdr:from>
    <xdr:to>
      <xdr:col>16</xdr:col>
      <xdr:colOff>57150</xdr:colOff>
      <xdr:row>70</xdr:row>
      <xdr:rowOff>0</xdr:rowOff>
    </xdr:to>
    <xdr:grpSp>
      <xdr:nvGrpSpPr>
        <xdr:cNvPr id="276" name="Group 28">
          <a:extLst>
            <a:ext uri="{FF2B5EF4-FFF2-40B4-BE49-F238E27FC236}">
              <a16:creationId xmlns:a16="http://schemas.microsoft.com/office/drawing/2014/main" id="{6FE6169D-DF7A-43D7-99B6-CDF52A81903E}"/>
            </a:ext>
          </a:extLst>
        </xdr:cNvPr>
        <xdr:cNvGrpSpPr>
          <a:grpSpLocks/>
        </xdr:cNvGrpSpPr>
      </xdr:nvGrpSpPr>
      <xdr:grpSpPr bwMode="auto">
        <a:xfrm>
          <a:off x="5505450" y="10725150"/>
          <a:ext cx="190500" cy="95250"/>
          <a:chOff x="12267508" y="2212225"/>
          <a:chExt cx="192931" cy="101137"/>
        </a:xfrm>
      </xdr:grpSpPr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40AB61C2-8BEA-7835-23A3-2E095824F82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0260840E-BB4B-D684-D83A-38ACB69FD45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C27A3B4D-9B61-1C13-6C1A-21C5FBE2431C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279">
            <a:extLst>
              <a:ext uri="{FF2B5EF4-FFF2-40B4-BE49-F238E27FC236}">
                <a16:creationId xmlns:a16="http://schemas.microsoft.com/office/drawing/2014/main" id="{06C0535C-90F8-0EF6-194B-6212F446605C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219075</xdr:colOff>
      <xdr:row>73</xdr:row>
      <xdr:rowOff>38100</xdr:rowOff>
    </xdr:from>
    <xdr:to>
      <xdr:col>24</xdr:col>
      <xdr:colOff>68161</xdr:colOff>
      <xdr:row>75</xdr:row>
      <xdr:rowOff>106493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957BE148-7304-411F-8E39-8EF7FA250C70}"/>
            </a:ext>
          </a:extLst>
        </xdr:cNvPr>
        <xdr:cNvSpPr txBox="1"/>
      </xdr:nvSpPr>
      <xdr:spPr>
        <a:xfrm>
          <a:off x="7381875" y="11315700"/>
          <a:ext cx="1411186" cy="3731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53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3X70+N70 mm2 = 150M</a:t>
          </a:r>
        </a:p>
      </xdr:txBody>
    </xdr:sp>
    <xdr:clientData/>
  </xdr:twoCellAnchor>
  <xdr:twoCellAnchor>
    <xdr:from>
      <xdr:col>7</xdr:col>
      <xdr:colOff>361950</xdr:colOff>
      <xdr:row>59</xdr:row>
      <xdr:rowOff>123825</xdr:rowOff>
    </xdr:from>
    <xdr:to>
      <xdr:col>11</xdr:col>
      <xdr:colOff>95250</xdr:colOff>
      <xdr:row>68</xdr:row>
      <xdr:rowOff>133350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3A200071-7BE0-40EF-9617-D28F1E7D35CE}"/>
            </a:ext>
          </a:extLst>
        </xdr:cNvPr>
        <xdr:cNvSpPr txBox="1"/>
      </xdr:nvSpPr>
      <xdr:spPr>
        <a:xfrm>
          <a:off x="2571750" y="9267825"/>
          <a:ext cx="1257300" cy="13811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DC MGN01-67 MGN06-73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S12-350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DC-C1-IH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3 SJ5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2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CM5-5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CCO 240-70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CCO 150-70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238124</xdr:colOff>
      <xdr:row>58</xdr:row>
      <xdr:rowOff>28575</xdr:rowOff>
    </xdr:from>
    <xdr:to>
      <xdr:col>20</xdr:col>
      <xdr:colOff>66675</xdr:colOff>
      <xdr:row>65</xdr:row>
      <xdr:rowOff>114300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A710D56E-DB2C-4E0B-8C8E-AA5AF751C2CF}"/>
            </a:ext>
          </a:extLst>
        </xdr:cNvPr>
        <xdr:cNvSpPr txBox="1"/>
      </xdr:nvSpPr>
      <xdr:spPr>
        <a:xfrm>
          <a:off x="5876924" y="9020175"/>
          <a:ext cx="1352551" cy="11525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DC MGN01-67 MGN06-73A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C14-35OE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CC8-AN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SJ6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</xdr:txBody>
    </xdr:sp>
    <xdr:clientData/>
  </xdr:twoCellAnchor>
  <xdr:twoCellAnchor>
    <xdr:from>
      <xdr:col>16</xdr:col>
      <xdr:colOff>171450</xdr:colOff>
      <xdr:row>67</xdr:row>
      <xdr:rowOff>142875</xdr:rowOff>
    </xdr:from>
    <xdr:to>
      <xdr:col>16</xdr:col>
      <xdr:colOff>180975</xdr:colOff>
      <xdr:row>69</xdr:row>
      <xdr:rowOff>76200</xdr:rowOff>
    </xdr:to>
    <xdr:cxnSp macro="">
      <xdr:nvCxnSpPr>
        <xdr:cNvPr id="284" name="Straight Arrow Connector 283">
          <a:extLst>
            <a:ext uri="{FF2B5EF4-FFF2-40B4-BE49-F238E27FC236}">
              <a16:creationId xmlns:a16="http://schemas.microsoft.com/office/drawing/2014/main" id="{A53B74C4-DF9E-4479-A779-A1EEA83443F8}"/>
            </a:ext>
          </a:extLst>
        </xdr:cNvPr>
        <xdr:cNvCxnSpPr>
          <a:stCxn id="226" idx="0"/>
        </xdr:cNvCxnSpPr>
      </xdr:nvCxnSpPr>
      <xdr:spPr>
        <a:xfrm flipH="1" flipV="1">
          <a:off x="5810250" y="10506075"/>
          <a:ext cx="9525" cy="2381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304800</xdr:colOff>
      <xdr:row>68</xdr:row>
      <xdr:rowOff>104774</xdr:rowOff>
    </xdr:from>
    <xdr:to>
      <xdr:col>20</xdr:col>
      <xdr:colOff>114300</xdr:colOff>
      <xdr:row>70</xdr:row>
      <xdr:rowOff>57149</xdr:rowOff>
    </xdr:to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BB3C566F-5783-40DB-AD07-989F1EB4C75F}"/>
            </a:ext>
          </a:extLst>
        </xdr:cNvPr>
        <xdr:cNvSpPr txBox="1"/>
      </xdr:nvSpPr>
      <xdr:spPr>
        <a:xfrm>
          <a:off x="5943600" y="10620374"/>
          <a:ext cx="13335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LVTC 3X70+NX50 mm2</a:t>
          </a:r>
        </a:p>
      </xdr:txBody>
    </xdr:sp>
    <xdr:clientData/>
  </xdr:twoCellAnchor>
  <xdr:twoCellAnchor>
    <xdr:from>
      <xdr:col>12</xdr:col>
      <xdr:colOff>161925</xdr:colOff>
      <xdr:row>68</xdr:row>
      <xdr:rowOff>114300</xdr:rowOff>
    </xdr:from>
    <xdr:to>
      <xdr:col>14</xdr:col>
      <xdr:colOff>352425</xdr:colOff>
      <xdr:row>70</xdr:row>
      <xdr:rowOff>28575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AFA5A98B-26BC-484E-80AC-DA813C65F1AB}"/>
            </a:ext>
          </a:extLst>
        </xdr:cNvPr>
        <xdr:cNvSpPr txBox="1"/>
      </xdr:nvSpPr>
      <xdr:spPr>
        <a:xfrm>
          <a:off x="4276725" y="10629900"/>
          <a:ext cx="95250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AAAC 70 mm2</a:t>
          </a:r>
        </a:p>
      </xdr:txBody>
    </xdr:sp>
    <xdr:clientData/>
  </xdr:twoCellAnchor>
  <xdr:twoCellAnchor>
    <xdr:from>
      <xdr:col>12</xdr:col>
      <xdr:colOff>152400</xdr:colOff>
      <xdr:row>21</xdr:row>
      <xdr:rowOff>95249</xdr:rowOff>
    </xdr:from>
    <xdr:to>
      <xdr:col>17</xdr:col>
      <xdr:colOff>38100</xdr:colOff>
      <xdr:row>37</xdr:row>
      <xdr:rowOff>9524</xdr:rowOff>
    </xdr:to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7788C85B-1AD5-4624-BF97-CB3FF52989F2}"/>
            </a:ext>
          </a:extLst>
        </xdr:cNvPr>
        <xdr:cNvSpPr txBox="1"/>
      </xdr:nvSpPr>
      <xdr:spPr>
        <a:xfrm>
          <a:off x="4267200" y="3324224"/>
          <a:ext cx="1790700" cy="23526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MGN06-335A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C12-35OE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CG 313A 160 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CM2-11M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GB3-2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100 NYY 1X70 mm2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PIPA PVC 6"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4 KNEE PIPA 6"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4 SPIRAL PRALON 6"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4 POLEBAND DR 10.5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4 POLEBAND DR 6.5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4 KABEL BEVESTEGGING 6"</a:t>
          </a:r>
          <a:br>
            <a:rPr lang="en-US" sz="800" baseline="0">
              <a:solidFill>
                <a:srgbClr val="FF0000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16 SEPATU KABEL CU-CU 70 mm2 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PAPAN PERINGATAN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PENGHALANG PANJAT</a:t>
          </a:r>
        </a:p>
      </xdr:txBody>
    </xdr:sp>
    <xdr:clientData/>
  </xdr:twoCellAnchor>
  <xdr:twoCellAnchor>
    <xdr:from>
      <xdr:col>5</xdr:col>
      <xdr:colOff>314325</xdr:colOff>
      <xdr:row>20</xdr:row>
      <xdr:rowOff>114300</xdr:rowOff>
    </xdr:from>
    <xdr:to>
      <xdr:col>9</xdr:col>
      <xdr:colOff>9524</xdr:colOff>
      <xdr:row>29</xdr:row>
      <xdr:rowOff>19050</xdr:rowOff>
    </xdr:to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374CB08E-AA05-45F4-B453-4325969C3926}"/>
            </a:ext>
          </a:extLst>
        </xdr:cNvPr>
        <xdr:cNvSpPr txBox="1"/>
      </xdr:nvSpPr>
      <xdr:spPr>
        <a:xfrm>
          <a:off x="1762125" y="3190875"/>
          <a:ext cx="1219199" cy="12763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MGN06-335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CM5-5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CCO 240-70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CCO 150-70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100 A3C 1X70 mm2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PAPAN PERINGATAN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PENGHALANG PANJAT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690561</xdr:colOff>
      <xdr:row>7</xdr:row>
      <xdr:rowOff>23812</xdr:rowOff>
    </xdr:from>
    <xdr:to>
      <xdr:col>21</xdr:col>
      <xdr:colOff>190499</xdr:colOff>
      <xdr:row>47</xdr:row>
      <xdr:rowOff>142873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1B96F7-8BD7-08E6-4823-E1211BBC2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4" y="1333500"/>
          <a:ext cx="11858625" cy="678656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DA5E6A-5623-463B-A6C1-DCF29E72388E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366E728-731B-434D-9007-99207B28EB96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10</xdr:row>
      <xdr:rowOff>0</xdr:rowOff>
    </xdr:from>
    <xdr:to>
      <xdr:col>28</xdr:col>
      <xdr:colOff>0</xdr:colOff>
      <xdr:row>68</xdr:row>
      <xdr:rowOff>86591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095C85-DF53-43B7-AEF7-9509337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562100"/>
          <a:ext cx="14344650" cy="94020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3" zoomScaleNormal="100" zoomScaleSheetLayoutView="100" workbookViewId="0">
      <selection activeCell="C15" sqref="C15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42578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1104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32</v>
      </c>
      <c r="E7" s="527" t="s">
        <v>33</v>
      </c>
      <c r="F7" s="527" t="s">
        <v>1105</v>
      </c>
      <c r="G7" s="528" t="s">
        <v>31</v>
      </c>
      <c r="H7" s="524" t="s">
        <v>1012</v>
      </c>
      <c r="I7" s="524" t="s">
        <v>1107</v>
      </c>
      <c r="J7" s="524" t="s">
        <v>996</v>
      </c>
      <c r="K7" s="518" t="s">
        <v>994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164 kVA MCCB 250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5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12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109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Modem 3G/4G</v>
      </c>
      <c r="D21" s="101" t="str">
        <f ca="1">IF(ISERROR(OFFSET('HARGA SATUAN'!$D$6,MATCH(C21,'HARGA SATUAN'!$C$7:$C$1492,0),0)),"",OFFSET('HARGA SATUAN'!$D$6,MATCH(C21,'HARGA SATUAN'!$C$7:$C$1492,0),0))</f>
        <v>HDW</v>
      </c>
      <c r="E21" s="101" t="str">
        <f ca="1">IF(B21="+","Unit",IF(ISERROR(OFFSET('HARGA SATUAN'!$E$6,MATCH(C21,'HARGA SATUAN'!$C$7:$C$1492,0),0)),"",OFFSET('HARGA SATUAN'!$E$6,MATCH(C21,'HARGA SATUAN'!$C$7:$C$1492,0),0)))</f>
        <v>Unit</v>
      </c>
      <c r="F21" s="138">
        <f t="shared" ca="1" si="2"/>
        <v>1</v>
      </c>
      <c r="G21" s="41">
        <f ca="1">IF(ISERROR(OFFSET('HARGA SATUAN'!$I$6,MATCH(C21,'HARGA SATUAN'!$C$7:$C$1492,0),0)),"",OFFSET('HARGA SATUAN'!$I$6,MATCH(C21,'HARGA SATUAN'!$C$7:$C$1492,0),0))</f>
        <v>1113900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SUMIFS(RAB!$F$14:$F$152,RAB!$C$14:$C$152,C714)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SUMIFS(RAB!$F$14:$F$152,RAB!$C$14:$C$152,C715)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SUMIFS(RAB!$F$14:$F$152,RAB!$C$14:$C$152,C716)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SUMIFS(RAB!$F$14:$F$152,RAB!$C$14:$C$152,C717)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SUMIFS(RAB!$F$14:$F$152,RAB!$C$14:$C$152,C718)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SUMIFS(RAB!$F$14:$F$152,RAB!$C$14:$C$152,C719)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SUMIFS(RAB!$F$14:$F$152,RAB!$C$14:$C$152,C720)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SUMIFS(RAB!$F$14:$F$152,RAB!$C$14:$C$152,C721)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SUMIFS(RAB!$F$14:$F$152,RAB!$C$14:$C$152,C722)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SUMIFS(RAB!$F$14:$F$152,RAB!$C$14:$C$152,C723)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SUMIFS(RAB!$F$14:$F$152,RAB!$C$14:$C$152,C724)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SUMIFS(RAB!$F$14:$F$152,RAB!$C$14:$C$152,C725)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SUMIFS(RAB!$F$14:$F$152,RAB!$C$14:$C$152,C726)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SUMIFS(RAB!$F$14:$F$152,RAB!$C$14:$C$152,C727)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SUMIFS(RAB!$F$14:$F$152,RAB!$C$14:$C$152,C728)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SUMIFS(RAB!$F$14:$F$152,RAB!$C$14:$C$152,C729)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SUMIFS(RAB!$F$14:$F$152,RAB!$C$14:$C$152,C730)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SUMIFS(RAB!$F$14:$F$152,RAB!$C$14:$C$152,C731)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SUMIFS(RAB!$F$14:$F$152,RAB!$C$14:$C$152,C732)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SUMIFS(RAB!$F$14:$F$152,RAB!$C$14:$C$152,C733)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SUMIFS(RAB!$F$14:$F$152,RAB!$C$14:$C$152,C734)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SUMIFS(RAB!$F$14:$F$152,RAB!$C$14:$C$152,C735)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SUMIFS(RAB!$F$14:$F$152,RAB!$C$14:$C$152,C736)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SUMIFS(RAB!$F$14:$F$152,RAB!$C$14:$C$152,C737)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SUMIFS(RAB!$F$14:$F$152,RAB!$C$14:$C$152,C738)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SUMIFS(RAB!$F$14:$F$152,RAB!$C$14:$C$152,C739)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SUMIFS(RAB!$F$14:$F$152,RAB!$C$14:$C$152,C740)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SUMIFS(RAB!$F$14:$F$152,RAB!$C$14:$C$152,C741)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SUMIFS(RAB!$F$14:$F$152,RAB!$C$14:$C$152,C742)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SUMIFS(RAB!$F$14:$F$152,RAB!$C$14:$C$152,C743)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SUMIFS(RAB!$F$14:$F$152,RAB!$C$14:$C$152,C744)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SUMIFS(RAB!$F$14:$F$152,RAB!$C$14:$C$152,C745)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SUMIFS(RAB!$F$14:$F$152,RAB!$C$14:$C$152,C746)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SUMIFS(RAB!$F$14:$F$152,RAB!$C$14:$C$152,C747)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SUMIFS(RAB!$F$14:$F$152,RAB!$C$14:$C$152,C748)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SUMIFS(RAB!$F$14:$F$152,RAB!$C$14:$C$152,C749)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SUMIFS(RAB!$F$14:$F$152,RAB!$C$14:$C$152,C750)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SUMIFS(RAB!$F$14:$F$152,RAB!$C$14:$C$152,C751)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SUMIFS(RAB!$F$14:$F$152,RAB!$C$14:$C$152,C752)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SUMIFS(RAB!$F$14:$F$152,RAB!$C$14:$C$152,C753)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SUMIFS(RAB!$F$14:$F$152,RAB!$C$14:$C$152,C754)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SUMIFS(RAB!$F$14:$F$152,RAB!$C$14:$C$152,C755)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SUMIFS(RAB!$F$14:$F$152,RAB!$C$14:$C$152,C756)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SUMIFS(RAB!$F$14:$F$152,RAB!$C$14:$C$152,C757)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SUMIFS(RAB!$F$14:$F$152,RAB!$C$14:$C$152,C758)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SUMIFS(RAB!$F$14:$F$152,RAB!$C$14:$C$152,C759)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SUMIFS(RAB!$F$14:$F$152,RAB!$C$14:$C$152,C760)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SUMIFS(RAB!$F$14:$F$152,RAB!$C$14:$C$152,C761)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SUMIFS(RAB!$F$14:$F$152,RAB!$C$14:$C$152,C762)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SUMIFS(RAB!$F$14:$F$152,RAB!$C$14:$C$152,C763)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SUMIFS(RAB!$F$14:$F$152,RAB!$C$14:$C$152,C764)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SUMIFS(RAB!$F$14:$F$152,RAB!$C$14:$C$152,C765)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SUMIFS(RAB!$F$14:$F$152,RAB!$C$14:$C$152,C766)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SUMIFS(RAB!$F$14:$F$152,RAB!$C$14:$C$152,C767)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SUMIFS(RAB!$F$14:$F$152,RAB!$C$14:$C$152,C768)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SUMIFS(RAB!$F$14:$F$152,RAB!$C$14:$C$152,C769)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SUMIFS(RAB!$F$14:$F$152,RAB!$C$14:$C$152,C770)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SUMIFS(RAB!$F$14:$F$152,RAB!$C$14:$C$152,C771)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SUMIFS(RAB!$F$14:$F$152,RAB!$C$14:$C$152,C772)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SUMIFS(RAB!$F$14:$F$152,RAB!$C$14:$C$152,C773)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SUMIFS(RAB!$F$14:$F$152,RAB!$C$14:$C$152,C774)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SUMIFS(RAB!$F$14:$F$152,RAB!$C$14:$C$152,C775)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SUMIFS(RAB!$F$14:$F$152,RAB!$C$14:$C$152,C776)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SUMIFS(RAB!$F$14:$F$152,RAB!$C$14:$C$152,C777)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SUMIFS(RAB!$F$14:$F$152,RAB!$C$14:$C$152,C778)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SUMIFS(RAB!$F$14:$F$152,RAB!$C$14:$C$152,C779)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SUMIFS(RAB!$F$14:$F$152,RAB!$C$14:$C$152,C780)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SUMIFS(RAB!$F$14:$F$152,RAB!$C$14:$C$152,C781)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SUMIFS(RAB!$F$14:$F$152,RAB!$C$14:$C$152,C782)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SUMIFS(RAB!$F$14:$F$152,RAB!$C$14:$C$152,C783)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SUMIFS(RAB!$F$14:$F$152,RAB!$C$14:$C$152,C784)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SUMIFS(RAB!$F$14:$F$152,RAB!$C$14:$C$152,C785)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SUMIFS(RAB!$F$14:$F$152,RAB!$C$14:$C$152,C786)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SUMIFS(RAB!$F$14:$F$152,RAB!$C$14:$C$152,C787)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SUMIFS(RAB!$F$14:$F$152,RAB!$C$14:$C$152,C788)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SUMIFS(RAB!$F$14:$F$152,RAB!$C$14:$C$152,C789)</f>
        <v>1</v>
      </c>
      <c r="E789" s="26">
        <f t="shared" ca="1" si="34"/>
        <v>1</v>
      </c>
      <c r="F789" s="26">
        <f ca="1">IF(D789=0,0,SUM($E$713:E789))</f>
        <v>2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SUMIFS(RAB!$F$14:$F$152,RAB!$C$14:$C$152,C790)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SUMIFS(RAB!$F$14:$F$152,RAB!$C$14:$C$152,C791)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SUMIFS(RAB!$F$14:$F$152,RAB!$C$14:$C$152,C792)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SUMIFS(RAB!$F$14:$F$152,RAB!$C$14:$C$152,C793)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SUMIFS(RAB!$F$14:$F$152,RAB!$C$14:$C$152,C794)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SUMIFS(RAB!$F$14:$F$152,RAB!$C$14:$C$152,C795)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SUMIFS(RAB!$F$14:$F$152,RAB!$C$14:$C$152,C796)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SUMIFS(RAB!$F$14:$F$152,RAB!$C$14:$C$152,C797)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SUMIFS(RAB!$F$14:$F$152,RAB!$C$14:$C$152,C798)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SUMIFS(RAB!$F$14:$F$152,RAB!$C$14:$C$152,C799)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SUMIFS(RAB!$F$14:$F$152,RAB!$C$14:$C$152,C800)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SUMIFS(RAB!$F$14:$F$152,RAB!$C$14:$C$152,C801)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SUMIFS(RAB!$F$14:$F$152,RAB!$C$14:$C$152,C802)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SUMIFS(RAB!$F$14:$F$152,RAB!$C$14:$C$152,C803)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SUMIFS(RAB!$F$14:$F$152,RAB!$C$14:$C$152,C804)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SUMIFS(RAB!$F$14:$F$152,RAB!$C$14:$C$152,C805)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SUMIFS(RAB!$F$14:$F$152,RAB!$C$14:$C$152,C806)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SUMIFS(RAB!$F$14:$F$152,RAB!$C$14:$C$152,C807)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SUMIFS(RAB!$F$14:$F$152,RAB!$C$14:$C$152,C808)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SUMIFS(RAB!$F$14:$F$152,RAB!$C$14:$C$152,C809)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SUMIFS(RAB!$F$14:$F$152,RAB!$C$14:$C$152,C810)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SUMIFS(RAB!$F$14:$F$152,RAB!$C$14:$C$152,C811)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SUMIFS(RAB!$F$14:$F$152,RAB!$C$14:$C$152,C812)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SUMIFS(RAB!$F$14:$F$152,RAB!$C$14:$C$152,C813)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SUMIFS(RAB!$F$14:$F$152,RAB!$C$14:$C$152,C814)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SUMIFS(RAB!$F$14:$F$152,RAB!$C$14:$C$152,C815)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SUMIFS(RAB!$F$14:$F$152,RAB!$C$14:$C$152,C816)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SUMIFS(RAB!$F$14:$F$152,RAB!$C$14:$C$152,C817)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SUMIFS(RAB!$F$14:$F$152,RAB!$C$14:$C$152,C818)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SUMIFS(RAB!$F$14:$F$152,RAB!$C$14:$C$152,C819)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SUMIFS(RAB!$F$14:$F$152,RAB!$C$14:$C$152,C820)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SUMIFS(RAB!$F$14:$F$152,RAB!$C$14:$C$152,C821)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SUMIFS(RAB!$F$14:$F$152,RAB!$C$14:$C$152,C822)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SUMIFS(RAB!$F$14:$F$152,RAB!$C$14:$C$152,C823)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SUMIFS(RAB!$F$14:$F$152,RAB!$C$14:$C$152,C824)</f>
        <v>5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SUMIFS(RAB!$F$14:$F$152,RAB!$C$14:$C$152,C825)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SUMIFS(RAB!$F$14:$F$152,RAB!$C$14:$C$152,C826)</f>
        <v>12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SUMIFS(RAB!$F$14:$F$152,RAB!$C$14:$C$152,C827)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SUMIFS(RAB!$F$14:$F$152,RAB!$C$14:$C$152,C828)</f>
        <v>109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SUMIFS(RAB!$F$14:$F$152,RAB!$C$14:$C$152,C829)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SUMIFS(RAB!$F$14:$F$152,RAB!$C$14:$C$152,C830)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SUMIFS(RAB!$F$14:$F$152,RAB!$C$14:$C$152,C831)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SUMIFS(RAB!$F$14:$F$152,RAB!$C$14:$C$152,C832)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SUMIFS(RAB!$F$14:$F$152,RAB!$C$14:$C$152,C833)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SUMIFS(RAB!$F$14:$F$152,RAB!$C$14:$C$152,C834)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SUMIFS(RAB!$F$14:$F$152,RAB!$C$14:$C$152,C835)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SUMIFS(RAB!$F$14:$F$152,RAB!$C$14:$C$152,C836)</f>
        <v>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SUMIFS(RAB!$F$14:$F$152,RAB!$C$14:$C$152,C837)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SUMIFS(RAB!$F$14:$F$152,RAB!$C$14:$C$152,C838)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SUMIFS(RAB!$F$14:$F$152,RAB!$C$14:$C$152,C839)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SUMIFS(RAB!$F$14:$F$152,RAB!$C$14:$C$152,C840)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SUMIFS(RAB!$F$14:$F$152,RAB!$C$14:$C$152,C841)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SUMIFS(RAB!$F$14:$F$152,RAB!$C$14:$C$152,C842)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SUMIFS(RAB!$F$14:$F$152,RAB!$C$14:$C$152,C843)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SUMIFS(RAB!$F$14:$F$152,RAB!$C$14:$C$152,C844)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SUMIFS(RAB!$F$14:$F$152,RAB!$C$14:$C$152,C845)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SUMIFS(RAB!$F$14:$F$152,RAB!$C$14:$C$152,C846)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SUMIFS(RAB!$F$14:$F$152,RAB!$C$14:$C$152,C847)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SUMIFS(RAB!$F$14:$F$152,RAB!$C$14:$C$152,C848)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SUMIFS(RAB!$F$14:$F$152,RAB!$C$14:$C$152,C849)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SUMIFS(RAB!$F$14:$F$152,RAB!$C$14:$C$152,C850)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SUMIFS(RAB!$F$14:$F$152,RAB!$C$14:$C$152,C851)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SUMIFS(RAB!$F$14:$F$152,RAB!$C$14:$C$152,C852)</f>
        <v>1</v>
      </c>
      <c r="E852" s="26">
        <f t="shared" ca="1" si="35"/>
        <v>1</v>
      </c>
      <c r="F852" s="26">
        <f ca="1">IF(D852=0,0,SUM($E$713:E852))</f>
        <v>10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SUMIFS(RAB!$F$14:$F$152,RAB!$C$14:$C$152,C853)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SUMIFS(RAB!$F$14:$F$152,RAB!$C$14:$C$152,C854)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SUMIFS(RAB!$F$14:$F$152,RAB!$C$14:$C$152,C855)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SUMIFS(RAB!$F$14:$F$152,RAB!$C$14:$C$152,C856)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SUMIFS(RAB!$F$14:$F$152,RAB!$C$14:$C$152,C857)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SUMIFS(RAB!$F$14:$F$152,RAB!$C$14:$C$152,C858)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SUMIFS(RAB!$F$14:$F$152,RAB!$C$14:$C$152,C859)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SUMIFS(RAB!$F$14:$F$152,RAB!$C$14:$C$152,C860)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SUMIFS(RAB!$F$14:$F$152,RAB!$C$14:$C$152,C861)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SUMIFS(RAB!$F$14:$F$152,RAB!$C$14:$C$152,C862)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SUMIFS(RAB!$F$14:$F$152,RAB!$C$14:$C$152,C863)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SUMIFS(RAB!$F$14:$F$152,RAB!$C$14:$C$152,C864)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SUMIFS(RAB!$F$14:$F$152,RAB!$C$14:$C$152,C865)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SUMIFS(RAB!$F$14:$F$152,RAB!$C$14:$C$152,C866)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SUMIFS(RAB!$F$14:$F$152,RAB!$C$14:$C$152,C867)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SUMIFS(RAB!$F$14:$F$152,RAB!$C$14:$C$152,C868)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SUMIFS(RAB!$F$14:$F$152,RAB!$C$14:$C$152,C869)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SUMIFS(RAB!$F$14:$F$152,RAB!$C$14:$C$152,C870)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SUMIFS(RAB!$F$14:$F$152,RAB!$C$14:$C$152,C871)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SUMIFS(RAB!$F$14:$F$152,RAB!$C$14:$C$152,C872)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SUMIFS(RAB!$F$14:$F$152,RAB!$C$14:$C$152,C873)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SUMIFS(RAB!$F$14:$F$152,RAB!$C$14:$C$152,C874)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SUMIFS(RAB!$F$14:$F$152,RAB!$C$14:$C$152,C875)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SUMIFS(RAB!$F$14:$F$152,RAB!$C$14:$C$152,C876)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SUMIFS(RAB!$F$14:$F$152,RAB!$C$14:$C$152,C877)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SUMIFS(RAB!$F$14:$F$152,RAB!$C$14:$C$152,C878)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SUMIFS(RAB!$F$14:$F$152,RAB!$C$14:$C$152,C879)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SUMIFS(RAB!$F$14:$F$152,RAB!$C$14:$C$152,C880)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SUMIFS(RAB!$F$14:$F$152,RAB!$C$14:$C$152,C881)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SUMIFS(RAB!$F$14:$F$152,RAB!$C$14:$C$152,C882)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SUMIFS(RAB!$F$14:$F$152,RAB!$C$14:$C$152,C883)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SUMIFS(RAB!$F$14:$F$152,RAB!$C$14:$C$152,C884)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SUMIFS(RAB!$F$14:$F$152,RAB!$C$14:$C$152,C885)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SUMIFS(RAB!$F$14:$F$152,RAB!$C$14:$C$152,C886)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SUMIFS(RAB!$F$14:$F$152,RAB!$C$14:$C$152,C887)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SUMIFS(RAB!$F$14:$F$152,RAB!$C$14:$C$152,C888)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SUMIFS(RAB!$F$14:$F$152,RAB!$C$14:$C$152,C889)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SUMIFS(RAB!$F$14:$F$152,RAB!$C$14:$C$152,C890)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SUMIFS(RAB!$F$14:$F$152,RAB!$C$14:$C$152,C891)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SUMIFS(RAB!$F$14:$F$152,RAB!$C$14:$C$152,C892)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SUMIFS(RAB!$F$14:$F$152,RAB!$C$14:$C$152,C893)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SUMIFS(RAB!$F$14:$F$152,RAB!$C$14:$C$152,C894)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SUMIFS(RAB!$F$14:$F$152,RAB!$C$14:$C$152,C895)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SUMIFS(RAB!$F$14:$F$152,RAB!$C$14:$C$152,C896)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SUMIFS(RAB!$F$14:$F$152,RAB!$C$14:$C$152,C897)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SUMIFS(RAB!$F$14:$F$152,RAB!$C$14:$C$152,C898)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SUMIFS(RAB!$F$14:$F$152,RAB!$C$14:$C$152,C899)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SUMIFS(RAB!$F$14:$F$152,RAB!$C$14:$C$152,C900)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SUMIFS(RAB!$F$14:$F$152,RAB!$C$14:$C$152,C901)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SUMIFS(RAB!$F$14:$F$152,RAB!$C$14:$C$152,C902)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SUMIFS(RAB!$F$14:$F$152,RAB!$C$14:$C$152,C903)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SUMIFS(RAB!$F$14:$F$152,RAB!$C$14:$C$152,C904)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SUMIFS(RAB!$F$14:$F$152,RAB!$C$14:$C$152,C905)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SUMIFS(RAB!$F$14:$F$152,RAB!$C$14:$C$152,C906)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SUMIFS(RAB!$F$14:$F$152,RAB!$C$14:$C$152,C907)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SUMIFS(RAB!$F$14:$F$152,RAB!$C$14:$C$152,C908)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SUMIFS(RAB!$F$14:$F$152,RAB!$C$14:$C$152,C909)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SUMIFS(RAB!$F$14:$F$152,RAB!$C$14:$C$152,C910)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SUMIFS(RAB!$F$14:$F$152,RAB!$C$14:$C$152,C911)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SUMIFS(RAB!$F$14:$F$152,RAB!$C$14:$C$152,C912)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SUMIFS(RAB!$F$14:$F$152,RAB!$C$14:$C$152,C913)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SUMIFS(RAB!$F$14:$F$152,RAB!$C$14:$C$152,C914)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SUMIFS(RAB!$F$14:$F$152,RAB!$C$14:$C$152,C915)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SUMIFS(RAB!$F$14:$F$152,RAB!$C$14:$C$152,C916)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SUMIFS(RAB!$F$14:$F$152,RAB!$C$14:$C$152,C917)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SUMIFS(RAB!$F$14:$F$152,RAB!$C$14:$C$152,C918)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SUMIFS(RAB!$F$14:$F$152,RAB!$C$14:$C$152,C919)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SUMIFS(RAB!$F$14:$F$152,RAB!$C$14:$C$152,C920)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SUMIFS(RAB!$F$14:$F$152,RAB!$C$14:$C$152,C921)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SUMIFS(RAB!$F$14:$F$152,RAB!$C$14:$C$152,C922)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SUMIFS(RAB!$F$14:$F$152,RAB!$C$14:$C$152,C923)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SUMIFS(RAB!$F$14:$F$152,RAB!$C$14:$C$152,C924)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SUMIFS(RAB!$F$14:$F$152,RAB!$C$14:$C$152,C925)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SUMIFS(RAB!$F$14:$F$152,RAB!$C$14:$C$152,C926)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SUMIFS(RAB!$F$14:$F$152,RAB!$C$14:$C$152,C927)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SUMIFS(RAB!$F$14:$F$152,RAB!$C$14:$C$152,C928)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SUMIFS(RAB!$F$14:$F$152,RAB!$C$14:$C$152,C929)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SUMIFS(RAB!$F$14:$F$152,RAB!$C$14:$C$152,C930)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SUMIFS(RAB!$F$14:$F$152,RAB!$C$14:$C$152,C931)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SUMIFS(RAB!$F$14:$F$152,RAB!$C$14:$C$152,C932)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SUMIFS(RAB!$F$14:$F$152,RAB!$C$14:$C$152,C933)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SUMIFS(RAB!$F$14:$F$152,RAB!$C$14:$C$152,C934)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SUMIFS(RAB!$F$14:$F$152,RAB!$C$14:$C$152,C935)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SUMIFS(RAB!$F$14:$F$152,RAB!$C$14:$C$152,C936)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SUMIFS(RAB!$F$14:$F$152,RAB!$C$14:$C$152,C937)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SUMIFS(RAB!$F$14:$F$152,RAB!$C$14:$C$152,C938)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SUMIFS(RAB!$F$14:$F$152,RAB!$C$14:$C$152,C939)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SUMIFS(RAB!$F$14:$F$152,RAB!$C$14:$C$152,C940)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SUMIFS(RAB!$F$14:$F$152,RAB!$C$14:$C$152,C941)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SUMIFS(RAB!$F$14:$F$152,RAB!$C$14:$C$152,C942)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SUMIFS(RAB!$F$14:$F$152,RAB!$C$14:$C$152,C943)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SUMIFS(RAB!$F$14:$F$152,RAB!$C$14:$C$152,C944)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SUMIFS(RAB!$F$14:$F$152,RAB!$C$14:$C$152,C945)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SUMIFS(RAB!$F$14:$F$152,RAB!$C$14:$C$152,C946)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SUMIFS(RAB!$F$14:$F$152,RAB!$C$14:$C$152,C947)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SUMIFS(RAB!$F$14:$F$152,RAB!$C$14:$C$152,C948)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SUMIFS(RAB!$F$14:$F$152,RAB!$C$14:$C$152,C949)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SUMIFS(RAB!$F$14:$F$152,RAB!$C$14:$C$152,C950)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SUMIFS(RAB!$F$14:$F$152,RAB!$C$14:$C$152,C951)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SUMIFS(RAB!$F$14:$F$152,RAB!$C$14:$C$152,C952)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SUMIFS(RAB!$F$14:$F$152,RAB!$C$14:$C$152,C953)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SUMIFS(RAB!$F$14:$F$152,RAB!$C$14:$C$152,C954)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SUMIFS(RAB!$F$14:$F$152,RAB!$C$14:$C$152,C955)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SUMIFS(RAB!$F$14:$F$152,RAB!$C$14:$C$152,C956)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SUMIFS(RAB!$F$14:$F$152,RAB!$C$14:$C$152,C957)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SUMIFS(RAB!$F$14:$F$152,RAB!$C$14:$C$152,C958)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SUMIFS(RAB!$F$14:$F$152,RAB!$C$14:$C$152,C959)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SUMIFS(RAB!$F$14:$F$152,RAB!$C$14:$C$152,C960)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SUMIFS(RAB!$F$14:$F$152,RAB!$C$14:$C$152,C961)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SUMIFS(RAB!$F$14:$F$152,RAB!$C$14:$C$152,C962)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SUMIFS(RAB!$F$14:$F$152,RAB!$C$14:$C$152,C963)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SUMIFS(RAB!$F$14:$F$152,RAB!$C$14:$C$152,C964)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SUMIFS(RAB!$F$14:$F$152,RAB!$C$14:$C$152,C965)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SUMIFS(RAB!$F$14:$F$152,RAB!$C$14:$C$152,C966)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SUMIFS(RAB!$F$14:$F$152,RAB!$C$14:$C$152,C967)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SUMIFS(RAB!$F$14:$F$152,RAB!$C$14:$C$152,C968)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SUMIFS(RAB!$F$14:$F$152,RAB!$C$14:$C$152,C969)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SUMIFS(RAB!$F$14:$F$152,RAB!$C$14:$C$152,C970)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SUMIFS(RAB!$F$14:$F$152,RAB!$C$14:$C$152,C971)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SUMIFS(RAB!$F$14:$F$152,RAB!$C$14:$C$152,C972)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SUMIFS(RAB!$F$14:$F$152,RAB!$C$14:$C$152,C973)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SUMIFS(RAB!$F$14:$F$152,RAB!$C$14:$C$152,C974)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SUMIFS(RAB!$F$14:$F$152,RAB!$C$14:$C$152,C975)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SUMIFS(RAB!$F$14:$F$152,RAB!$C$14:$C$152,C976)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SUMIFS(RAB!$F$14:$F$152,RAB!$C$14:$C$152,C977)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SUMIFS(RAB!$F$14:$F$152,RAB!$C$14:$C$152,C978)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SUMIFS(RAB!$F$14:$F$152,RAB!$C$14:$C$152,C979)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SUMIFS(RAB!$F$14:$F$152,RAB!$C$14:$C$152,C980)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SUMIFS(RAB!$F$14:$F$152,RAB!$C$14:$C$152,C981)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SUMIFS(RAB!$F$14:$F$152,RAB!$C$14:$C$152,C982)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SUMIFS(RAB!$F$14:$F$152,RAB!$C$14:$C$152,C983)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SUMIFS(RAB!$F$14:$F$152,RAB!$C$14:$C$152,C984)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SUMIFS(RAB!$F$14:$F$152,RAB!$C$14:$C$152,C985)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SUMIFS(RAB!$F$14:$F$152,RAB!$C$14:$C$152,C986)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SUMIFS(RAB!$F$14:$F$152,RAB!$C$14:$C$152,C987)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SUMIFS(RAB!$F$14:$F$152,RAB!$C$14:$C$152,C988)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SUMIFS(RAB!$F$14:$F$152,RAB!$C$14:$C$152,C989)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SUMIFS(RAB!$F$14:$F$152,RAB!$C$14:$C$152,C990)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SUMIFS(RAB!$F$14:$F$152,RAB!$C$14:$C$152,C991)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SUMIFS(RAB!$F$14:$F$152,RAB!$C$14:$C$152,C992)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SUMIFS(RAB!$F$14:$F$152,RAB!$C$14:$C$152,C993)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SUMIFS(RAB!$F$14:$F$152,RAB!$C$14:$C$152,C994)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SUMIFS(RAB!$F$14:$F$152,RAB!$C$14:$C$152,C995)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SUMIFS(RAB!$F$14:$F$152,RAB!$C$14:$C$152,C996)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SUMIFS(RAB!$F$14:$F$152,RAB!$C$14:$C$152,C997)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SUMIFS(RAB!$F$14:$F$152,RAB!$C$14:$C$152,C998)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SUMIFS(RAB!$F$14:$F$152,RAB!$C$14:$C$152,C999)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SUMIFS(RAB!$F$14:$F$152,RAB!$C$14:$C$152,C1000)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SUMIFS(RAB!$F$14:$F$152,RAB!$C$14:$C$152,C1001)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SUMIFS(RAB!$F$14:$F$152,RAB!$C$14:$C$152,C1002)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SUMIFS(RAB!$F$14:$F$152,RAB!$C$14:$C$152,C1003)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SUMIFS(RAB!$F$14:$F$152,RAB!$C$14:$C$152,C1004)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SUMIFS(RAB!$F$14:$F$152,RAB!$C$14:$C$152,C1005)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SUMIFS(RAB!$F$14:$F$152,RAB!$C$14:$C$152,C1006)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SUMIFS(RAB!$F$14:$F$152,RAB!$C$14:$C$152,C1007)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SUMIFS(RAB!$F$14:$F$152,RAB!$C$14:$C$152,C1008)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SUMIFS(RAB!$F$14:$F$152,RAB!$C$14:$C$152,C1009)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SUMIFS(RAB!$F$14:$F$152,RAB!$C$14:$C$152,C1010)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SUMIFS(RAB!$F$14:$F$152,RAB!$C$14:$C$152,C1011)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SUMIFS(RAB!$F$14:$F$152,RAB!$C$14:$C$152,C1012)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SUMIFS(RAB!$F$14:$F$152,RAB!$C$14:$C$152,C1013)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SUMIFS(RAB!$F$14:$F$152,RAB!$C$14:$C$152,C1014)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SUMIFS(RAB!$F$14:$F$152,RAB!$C$14:$C$152,C1015)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SUMIFS(RAB!$F$14:$F$152,RAB!$C$14:$C$152,C1016)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SUMIFS(RAB!$F$14:$F$152,RAB!$C$14:$C$152,C1017)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SUMIFS(RAB!$F$14:$F$152,RAB!$C$14:$C$152,C1018)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SUMIFS(RAB!$F$14:$F$152,RAB!$C$14:$C$152,C1019)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SUMIFS(RAB!$F$14:$F$152,RAB!$C$14:$C$152,C1020)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SUMIFS(RAB!$F$14:$F$152,RAB!$C$14:$C$152,C1021)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SUMIFS(RAB!$F$14:$F$152,RAB!$C$14:$C$152,C1022)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SUMIFS(RAB!$F$14:$F$152,RAB!$C$14:$C$152,C1023)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SUMIFS(RAB!$F$14:$F$152,RAB!$C$14:$C$152,C1024)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SUMIFS(RAB!$F$14:$F$152,RAB!$C$14:$C$152,C1025)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SUMIFS(RAB!$F$14:$F$152,RAB!$C$14:$C$152,C1026)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SUMIFS(RAB!$F$14:$F$152,RAB!$C$14:$C$152,C1027)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SUMIFS(RAB!$F$14:$F$152,RAB!$C$14:$C$152,C1028)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SUMIFS(RAB!$F$14:$F$152,RAB!$C$14:$C$152,C1029)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SUMIFS(RAB!$F$14:$F$152,RAB!$C$14:$C$152,C1030)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SUMIFS(RAB!$F$14:$F$152,RAB!$C$14:$C$152,C1031)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SUMIFS(RAB!$F$14:$F$152,RAB!$C$14:$C$152,C1032)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SUMIFS(RAB!$F$14:$F$152,RAB!$C$14:$C$152,C1033)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SUMIFS(RAB!$F$14:$F$152,RAB!$C$14:$C$152,C1034)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SUMIFS(RAB!$F$14:$F$152,RAB!$C$14:$C$152,C1035)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SUMIFS(RAB!$F$14:$F$152,RAB!$C$14:$C$152,C1036)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SUMIFS(RAB!$F$14:$F$152,RAB!$C$14:$C$152,C1037)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SUMIFS(RAB!$F$14:$F$152,RAB!$C$14:$C$152,C1038)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SUMIFS(RAB!$F$14:$F$152,RAB!$C$14:$C$152,C1039)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SUMIFS(RAB!$F$14:$F$152,RAB!$C$14:$C$152,C1040)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SUMIFS(RAB!$F$14:$F$152,RAB!$C$14:$C$152,C1041)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SUMIFS(RAB!$F$14:$F$152,RAB!$C$14:$C$152,C1042)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SUMIFS(RAB!$F$14:$F$152,RAB!$C$14:$C$152,C1043)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SUMIFS(RAB!$F$14:$F$152,RAB!$C$14:$C$152,C1044)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SUMIFS(RAB!$F$14:$F$152,RAB!$C$14:$C$152,C1045)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SUMIFS(RAB!$F$14:$F$152,RAB!$C$14:$C$152,C1046)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SUMIFS(RAB!$F$14:$F$152,RAB!$C$14:$C$152,C1047)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SUMIFS(RAB!$F$14:$F$152,RAB!$C$14:$C$152,C1048)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SUMIFS(RAB!$F$14:$F$152,RAB!$C$14:$C$152,C1049)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SUMIFS(RAB!$F$14:$F$152,RAB!$C$14:$C$152,C1050)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SUMIFS(RAB!$F$14:$F$152,RAB!$C$14:$C$152,C1051)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SUMIFS(RAB!$F$14:$F$152,RAB!$C$14:$C$152,C1052)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SUMIFS(RAB!$F$14:$F$152,RAB!$C$14:$C$152,C1053)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SUMIFS(RAB!$F$14:$F$152,RAB!$C$14:$C$152,C1054)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SUMIFS(RAB!$F$14:$F$152,RAB!$C$14:$C$152,C1055)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SUMIFS(RAB!$F$14:$F$152,RAB!$C$14:$C$152,C1056)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SUMIFS(RAB!$F$14:$F$152,RAB!$C$14:$C$152,C1057)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SUMIFS(RAB!$F$14:$F$152,RAB!$C$14:$C$152,C1058)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SUMIFS(RAB!$F$14:$F$152,RAB!$C$14:$C$152,C1059)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SUMIFS(RAB!$F$14:$F$152,RAB!$C$14:$C$152,C1060)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SUMIFS(RAB!$F$14:$F$152,RAB!$C$14:$C$152,C1061)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SUMIFS(RAB!$F$14:$F$152,RAB!$C$14:$C$152,C1062)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SUMIFS(RAB!$F$14:$F$152,RAB!$C$14:$C$152,C1063)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SUMIFS(RAB!$F$14:$F$152,RAB!$C$14:$C$152,C1064)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SUMIFS(RAB!$F$14:$F$152,RAB!$C$14:$C$152,C1065)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SUMIFS(RAB!$F$14:$F$152,RAB!$C$14:$C$152,C1066)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SUMIFS(RAB!$F$14:$F$152,RAB!$C$14:$C$152,C1067)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SUMIFS(RAB!$F$14:$F$152,RAB!$C$14:$C$152,C1068)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SUMIFS(RAB!$F$14:$F$152,RAB!$C$14:$C$152,C1069)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SUMIFS(RAB!$F$14:$F$152,RAB!$C$14:$C$152,C1070)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SUMIFS(RAB!$F$14:$F$152,RAB!$C$14:$C$152,C1071)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SUMIFS(RAB!$F$14:$F$152,RAB!$C$14:$C$152,C1072)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SUMIFS(RAB!$F$14:$F$152,RAB!$C$14:$C$152,C1073)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SUMIFS(RAB!$F$14:$F$152,RAB!$C$14:$C$152,C1074)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SUMIFS(RAB!$F$14:$F$152,RAB!$C$14:$C$152,C1075)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SUMIFS(RAB!$F$14:$F$152,RAB!$C$14:$C$152,C1076)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SUMIFS(RAB!$F$14:$F$152,RAB!$C$14:$C$152,C1077)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SUMIFS(RAB!$F$14:$F$152,RAB!$C$14:$C$152,C1078)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SUMIFS(RAB!$F$14:$F$152,RAB!$C$14:$C$152,C1079)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SUMIFS(RAB!$F$14:$F$152,RAB!$C$14:$C$152,C1080)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SUMIFS(RAB!$F$14:$F$152,RAB!$C$14:$C$152,C1081)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SUMIFS(RAB!$F$14:$F$152,RAB!$C$14:$C$152,C1082)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SUMIFS(RAB!$F$14:$F$152,RAB!$C$14:$C$152,C1083)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SUMIFS(RAB!$F$14:$F$152,RAB!$C$14:$C$152,C1084)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SUMIFS(RAB!$F$14:$F$152,RAB!$C$14:$C$152,C1085)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SUMIFS(RAB!$F$14:$F$152,RAB!$C$14:$C$152,C1086)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SUMIFS(RAB!$F$14:$F$152,RAB!$C$14:$C$152,C1087)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SUMIFS(RAB!$F$14:$F$152,RAB!$C$14:$C$152,C1088)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SUMIFS(RAB!$F$14:$F$152,RAB!$C$14:$C$152,C1089)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SUMIFS(RAB!$F$14:$F$152,RAB!$C$14:$C$152,C1090)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SUMIFS(RAB!$F$14:$F$152,RAB!$C$14:$C$152,C1091)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SUMIFS(RAB!$F$14:$F$152,RAB!$C$14:$C$152,C1092)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SUMIFS(RAB!$F$14:$F$152,RAB!$C$14:$C$152,C1093)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SUMIFS(RAB!$F$14:$F$152,RAB!$C$14:$C$152,C1094)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SUMIFS(RAB!$F$14:$F$152,RAB!$C$14:$C$152,C1095)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SUMIFS(RAB!$F$14:$F$152,RAB!$C$14:$C$152,C1096)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SUMIFS(RAB!$F$14:$F$152,RAB!$C$14:$C$152,C1097)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SUMIFS(RAB!$F$14:$F$152,RAB!$C$14:$C$152,C1098)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SUMIFS(RAB!$F$14:$F$152,RAB!$C$14:$C$152,C1099)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SUMIFS(RAB!$F$14:$F$152,RAB!$C$14:$C$152,C1100)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SUMIFS(RAB!$F$14:$F$152,RAB!$C$14:$C$152,C1101)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SUMIFS(RAB!$F$14:$F$152,RAB!$C$14:$C$152,C1102)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SUMIFS(RAB!$F$14:$F$152,RAB!$C$14:$C$152,C1103)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SUMIFS(RAB!$F$14:$F$152,RAB!$C$14:$C$152,C1104)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SUMIFS(RAB!$F$14:$F$152,RAB!$C$14:$C$152,C1105)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SUMIFS(RAB!$F$14:$F$152,RAB!$C$14:$C$152,C1106)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SUMIFS(RAB!$F$14:$F$152,RAB!$C$14:$C$152,C1107)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SUMIFS(RAB!$F$14:$F$152,RAB!$C$14:$C$152,C1108)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SUMIFS(RAB!$F$14:$F$152,RAB!$C$14:$C$152,C1109)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SUMIFS(RAB!$F$14:$F$152,RAB!$C$14:$C$152,C1110)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SUMIFS(RAB!$F$14:$F$152,RAB!$C$14:$C$152,C1111)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SUMIFS(RAB!$F$14:$F$152,RAB!$C$14:$C$152,C1112)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SUMIFS(RAB!$F$14:$F$152,RAB!$C$14:$C$152,C1113)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SUMIFS(RAB!$F$14:$F$152,RAB!$C$14:$C$152,C1114)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SUMIFS(RAB!$F$14:$F$152,RAB!$C$14:$C$152,C1115)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SUMIFS(RAB!$F$14:$F$152,RAB!$C$14:$C$152,C1116)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SUMIFS(RAB!$F$14:$F$152,RAB!$C$14:$C$152,C1117)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SUMIFS(RAB!$F$14:$F$152,RAB!$C$14:$C$152,C1118)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SUMIFS(RAB!$F$14:$F$152,RAB!$C$14:$C$152,C1119)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SUMIFS(RAB!$F$14:$F$152,RAB!$C$14:$C$152,C1120)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SUMIFS(RAB!$F$14:$F$152,RAB!$C$14:$C$152,C1121)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SUMIFS(RAB!$F$14:$F$152,RAB!$C$14:$C$152,C1122)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SUMIFS(RAB!$F$14:$F$152,RAB!$C$14:$C$152,C1123)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SUMIFS(RAB!$F$14:$F$152,RAB!$C$14:$C$152,C1124)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SUMIFS(RAB!$F$14:$F$152,RAB!$C$14:$C$152,C1125)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SUMIFS(RAB!$F$14:$F$152,RAB!$C$14:$C$152,C1126)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SUMIFS(RAB!$F$14:$F$152,RAB!$C$14:$C$152,C1127)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SUMIFS(RAB!$F$14:$F$152,RAB!$C$14:$C$152,C1128)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SUMIFS(RAB!$F$14:$F$152,RAB!$C$14:$C$152,C1129)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SUMIFS(RAB!$F$14:$F$152,RAB!$C$14:$C$152,C1130)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SUMIFS(RAB!$F$14:$F$152,RAB!$C$14:$C$152,C1131)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SUMIFS(RAB!$F$14:$F$152,RAB!$C$14:$C$152,C1132)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SUMIFS(RAB!$F$14:$F$152,RAB!$C$14:$C$152,C1133)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SUMIFS(RAB!$F$14:$F$152,RAB!$C$14:$C$152,C1134)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SUMIFS(RAB!$F$14:$F$152,RAB!$C$14:$C$152,C1135)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SUMIFS(RAB!$F$14:$F$152,RAB!$C$14:$C$152,C1136)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SUMIFS(RAB!$F$14:$F$152,RAB!$C$14:$C$152,C1137)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SUMIFS(RAB!$F$14:$F$152,RAB!$C$14:$C$152,C1138)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SUMIFS(RAB!$F$14:$F$152,RAB!$C$14:$C$152,C1139)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SUMIFS(RAB!$F$14:$F$152,RAB!$C$14:$C$152,C1140)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SUMIFS(RAB!$F$14:$F$152,RAB!$C$14:$C$152,C1141)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SUMIFS(RAB!$F$14:$F$152,RAB!$C$14:$C$152,C1142)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SUMIFS(RAB!$F$14:$F$152,RAB!$C$14:$C$152,C1143)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SUMIFS(RAB!$F$14:$F$152,RAB!$C$14:$C$152,C1144)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SUMIFS(RAB!$F$14:$F$152,RAB!$C$14:$C$152,C1145)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SUMIFS(RAB!$F$14:$F$152,RAB!$C$14:$C$152,C1146)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SUMIFS(RAB!$F$14:$F$152,RAB!$C$14:$C$152,C1147)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SUMIFS(RAB!$F$14:$F$152,RAB!$C$14:$C$152,C1148)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SUMIFS(RAB!$F$14:$F$152,RAB!$C$14:$C$152,C1149)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SUMIFS(RAB!$F$14:$F$152,RAB!$C$14:$C$152,C1150)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SUMIFS(RAB!$F$14:$F$152,RAB!$C$14:$C$152,C1151)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SUMIFS(RAB!$F$14:$F$152,RAB!$C$14:$C$152,C1152)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SUMIFS(RAB!$F$14:$F$152,RAB!$C$14:$C$152,C1153)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SUMIFS(RAB!$F$14:$F$152,RAB!$C$14:$C$152,C1154)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SUMIFS(RAB!$F$14:$F$152,RAB!$C$14:$C$152,C1155)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SUMIFS(RAB!$F$14:$F$152,RAB!$C$14:$C$152,C1156)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SUMIFS(RAB!$F$14:$F$152,RAB!$C$14:$C$152,C1157)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SUMIFS(RAB!$F$14:$F$152,RAB!$C$14:$C$152,C1158)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SUMIFS(RAB!$F$14:$F$152,RAB!$C$14:$C$152,C1159)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SUMIFS(RAB!$F$14:$F$152,RAB!$C$14:$C$152,C1160)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SUMIFS(RAB!$F$14:$F$152,RAB!$C$14:$C$152,C1161)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SUMIFS(RAB!$F$14:$F$152,RAB!$C$14:$C$152,C1162)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SUMIFS(RAB!$F$14:$F$152,RAB!$C$14:$C$152,C1163)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SUMIFS(RAB!$F$14:$F$152,RAB!$C$14:$C$152,C1164)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SUMIFS(RAB!$F$14:$F$152,RAB!$C$14:$C$152,C1165)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SUMIFS(RAB!$F$14:$F$152,RAB!$C$14:$C$152,C1166)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SUMIFS(RAB!$F$14:$F$152,RAB!$C$14:$C$152,C1167)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SUMIFS(RAB!$F$14:$F$152,RAB!$C$14:$C$152,C1168)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SUMIFS(RAB!$F$14:$F$152,RAB!$C$14:$C$152,C1169)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SUMIFS(RAB!$F$14:$F$152,RAB!$C$14:$C$152,C1170)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SUMIFS(RAB!$F$14:$F$152,RAB!$C$14:$C$152,C1171)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SUMIFS(RAB!$F$14:$F$152,RAB!$C$14:$C$152,C1172)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SUMIFS(RAB!$F$14:$F$152,RAB!$C$14:$C$152,C1173)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SUMIFS(RAB!$F$14:$F$152,RAB!$C$14:$C$152,C1174)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SUMIFS(RAB!$F$14:$F$152,RAB!$C$14:$C$152,C1175)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SUMIFS(RAB!$F$14:$F$152,RAB!$C$14:$C$152,C1176)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SUMIFS(RAB!$F$14:$F$152,RAB!$C$14:$C$152,C1177)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SUMIFS(RAB!$F$14:$F$152,RAB!$C$14:$C$152,C1178)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SUMIFS(RAB!$F$14:$F$152,RAB!$C$14:$C$152,C1179)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SUMIFS(RAB!$F$14:$F$152,RAB!$C$14:$C$152,C1180)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SUMIFS(RAB!$F$14:$F$152,RAB!$C$14:$C$152,C1181)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SUMIFS(RAB!$F$14:$F$152,RAB!$C$14:$C$152,C1182)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SUMIFS(RAB!$F$14:$F$152,RAB!$C$14:$C$152,C1183)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SUMIFS(RAB!$F$14:$F$152,RAB!$C$14:$C$152,C1184)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SUMIFS(RAB!$F$14:$F$152,RAB!$C$14:$C$152,C1185)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SUMIFS(RAB!$F$14:$F$152,RAB!$C$14:$C$152,C1186)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SUMIFS(RAB!$F$14:$F$152,RAB!$C$14:$C$152,C1187)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SUMIFS(RAB!$F$14:$F$152,RAB!$C$14:$C$152,C1188)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SUMIFS(RAB!$F$14:$F$152,RAB!$C$14:$C$152,C1189)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SUMIFS(RAB!$F$14:$F$152,RAB!$C$14:$C$152,C1190)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SUMIFS(RAB!$F$14:$F$152,RAB!$C$14:$C$152,C1191)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SUMIFS(RAB!$F$14:$F$152,RAB!$C$14:$C$152,C1192)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SUMIFS(RAB!$F$14:$F$152,RAB!$C$14:$C$152,C1193)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SUMIFS(RAB!$F$14:$F$152,RAB!$C$14:$C$152,C1194)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SUMIFS(RAB!$F$14:$F$152,RAB!$C$14:$C$152,C1195)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SUMIFS(RAB!$F$14:$F$152,RAB!$C$14:$C$152,C1196)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SUMIFS(RAB!$F$14:$F$152,RAB!$C$14:$C$152,C1197)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SUMIFS(RAB!$F$14:$F$152,RAB!$C$14:$C$152,C1198)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SUMIFS(RAB!$F$14:$F$152,RAB!$C$14:$C$152,C1199)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SUMIFS(RAB!$F$14:$F$152,RAB!$C$14:$C$152,C1200)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SUMIFS(RAB!$F$14:$F$152,RAB!$C$14:$C$152,C1201)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SUMIFS(RAB!$F$14:$F$152,RAB!$C$14:$C$152,C1202)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SUMIFS(RAB!$F$14:$F$152,RAB!$C$14:$C$152,C1203)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SUMIFS(RAB!$F$14:$F$152,RAB!$C$14:$C$152,C1204)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SUMIFS(RAB!$F$14:$F$152,RAB!$C$14:$C$152,C1205)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SUMIFS(RAB!$F$14:$F$152,RAB!$C$14:$C$152,C1206)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SUMIFS(RAB!$F$14:$F$152,RAB!$C$14:$C$152,C1207)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SUMIFS(RAB!$F$14:$F$152,RAB!$C$14:$C$152,C1208)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SUMIFS(RAB!$F$14:$F$152,RAB!$C$14:$C$152,C1209)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SUMIFS(RAB!$F$14:$F$152,RAB!$C$14:$C$152,C1210)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SUMIFS(RAB!$F$14:$F$152,RAB!$C$14:$C$152,C1211)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SUMIFS(RAB!$F$14:$F$152,RAB!$C$14:$C$152,C1212)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SUMIFS(RAB!$F$14:$F$152,RAB!$C$14:$C$152,C1213)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SUMIFS(RAB!$F$14:$F$152,RAB!$C$14:$C$152,C1214)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SUMIFS(RAB!$F$14:$F$152,RAB!$C$14:$C$152,C1215)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SUMIFS(RAB!$F$14:$F$152,RAB!$C$14:$C$152,C1216)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SUMIFS(RAB!$F$14:$F$152,RAB!$C$14:$C$152,C1217)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SUMIFS(RAB!$F$14:$F$152,RAB!$C$14:$C$152,C1218)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SUMIFS(RAB!$F$14:$F$152,RAB!$C$14:$C$152,C1219)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SUMIFS(RAB!$F$14:$F$152,RAB!$C$14:$C$152,C1220)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SUMIFS(RAB!$F$14:$F$152,RAB!$C$14:$C$152,C1221)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SUMIFS(RAB!$F$14:$F$152,RAB!$C$14:$C$152,C1222)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SUMIFS(RAB!$F$14:$F$152,RAB!$C$14:$C$152,C1223)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SUMIFS(RAB!$F$14:$F$152,RAB!$C$14:$C$152,C1224)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SUMIFS(RAB!$F$14:$F$152,RAB!$C$14:$C$152,C1225)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SUMIFS(RAB!$F$14:$F$152,RAB!$C$14:$C$152,C1226)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SUMIFS(RAB!$F$14:$F$152,RAB!$C$14:$C$152,C1227)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SUMIFS(RAB!$F$14:$F$152,RAB!$C$14:$C$152,C1228)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SUMIFS(RAB!$F$14:$F$152,RAB!$C$14:$C$152,C1229)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SUMIFS(RAB!$F$14:$F$152,RAB!$C$14:$C$152,C1230)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SUMIFS(RAB!$F$14:$F$152,RAB!$C$14:$C$152,C1231)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SUMIFS(RAB!$F$14:$F$152,RAB!$C$14:$C$152,C1232)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SUMIFS(RAB!$F$14:$F$152,RAB!$C$14:$C$152,C1233)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SUMIFS(RAB!$F$14:$F$152,RAB!$C$14:$C$152,C1234)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SUMIFS(RAB!$F$14:$F$152,RAB!$C$14:$C$152,C1235)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SUMIFS(RAB!$F$14:$F$152,RAB!$C$14:$C$152,C1236)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SUMIFS(RAB!$F$14:$F$152,RAB!$C$14:$C$152,C1237)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SUMIFS(RAB!$F$14:$F$152,RAB!$C$14:$C$152,C1238)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SUMIFS(RAB!$F$14:$F$152,RAB!$C$14:$C$152,C1239)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SUMIFS(RAB!$F$14:$F$152,RAB!$C$14:$C$152,C1240)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SUMIFS(RAB!$F$14:$F$152,RAB!$C$14:$C$152,C1241)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SUMIFS(RAB!$F$14:$F$152,RAB!$C$14:$C$152,C1242)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SUMIFS(RAB!$F$14:$F$152,RAB!$C$14:$C$152,C1243)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SUMIFS(RAB!$F$14:$F$152,RAB!$C$14:$C$152,C1244)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SUMIFS(RAB!$F$14:$F$152,RAB!$C$14:$C$152,C1245)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SUMIFS(RAB!$F$14:$F$152,RAB!$C$14:$C$152,C1246)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SUMIFS(RAB!$F$14:$F$152,RAB!$C$14:$C$152,C1247)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SUMIFS(RAB!$F$14:$F$152,RAB!$C$14:$C$152,C1248)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SUMIFS(RAB!$F$14:$F$152,RAB!$C$14:$C$152,C1249)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SUMIFS(RAB!$F$14:$F$152,RAB!$C$14:$C$152,C1250)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SUMIFS(RAB!$F$14:$F$152,RAB!$C$14:$C$152,C1251)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SUMIFS(RAB!$F$14:$F$152,RAB!$C$14:$C$152,C1252)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SUMIFS(RAB!$F$14:$F$152,RAB!$C$14:$C$152,C1253)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SUMIFS(RAB!$F$14:$F$152,RAB!$C$14:$C$152,C1254)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SUMIFS(RAB!$F$14:$F$152,RAB!$C$14:$C$152,C1255)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SUMIFS(RAB!$F$14:$F$152,RAB!$C$14:$C$152,C1256)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SUMIFS(RAB!$F$14:$F$152,RAB!$C$14:$C$152,C1257)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SUMIFS(RAB!$F$14:$F$152,RAB!$C$14:$C$152,C1258)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SUMIFS(RAB!$F$14:$F$152,RAB!$C$14:$C$152,C1259)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SUMIFS(RAB!$F$14:$F$152,RAB!$C$14:$C$152,C1260)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SUMIFS(RAB!$F$14:$F$152,RAB!$C$14:$C$152,C1261)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SUMIFS(RAB!$F$14:$F$152,RAB!$C$14:$C$152,C1262)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SUMIFS(RAB!$F$14:$F$152,RAB!$C$14:$C$152,C1263)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SUMIFS(RAB!$F$14:$F$152,RAB!$C$14:$C$152,C1264)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SUMIFS(RAB!$F$14:$F$152,RAB!$C$14:$C$152,C1265)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SUMIFS(RAB!$F$14:$F$152,RAB!$C$14:$C$152,C1266)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SUMIFS(RAB!$F$14:$F$152,RAB!$C$14:$C$152,C1267)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SUMIFS(RAB!$F$14:$F$152,RAB!$C$14:$C$152,C1268)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SUMIFS(RAB!$F$14:$F$152,RAB!$C$14:$C$152,C1269)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SUMIFS(RAB!$F$14:$F$152,RAB!$C$14:$C$152,C1270)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SUMIFS(RAB!$F$14:$F$152,RAB!$C$14:$C$152,C1271)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SUMIFS(RAB!$F$14:$F$152,RAB!$C$14:$C$152,C1272)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SUMIFS(RAB!$F$14:$F$152,RAB!$C$14:$C$152,C1273)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SUMIFS(RAB!$F$14:$F$152,RAB!$C$14:$C$152,C1274)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SUMIFS(RAB!$F$14:$F$152,RAB!$C$14:$C$152,C1275)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SUMIFS(RAB!$F$14:$F$152,RAB!$C$14:$C$152,C1276)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SUMIFS(RAB!$F$14:$F$152,RAB!$C$14:$C$152,C1277)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SUMIFS(RAB!$F$14:$F$152,RAB!$C$14:$C$152,C1278)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SUMIFS(RAB!$F$14:$F$152,RAB!$C$14:$C$152,C1279)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SUMIFS(RAB!$F$14:$F$152,RAB!$C$14:$C$152,C1280)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SUMIFS(RAB!$F$14:$F$152,RAB!$C$14:$C$152,C1281)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SUMIFS(RAB!$F$14:$F$152,RAB!$C$14:$C$152,C1282)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SUMIFS(RAB!$F$14:$F$152,RAB!$C$14:$C$152,C1283)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SUMIFS(RAB!$F$14:$F$152,RAB!$C$14:$C$152,C1284)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SUMIFS(RAB!$F$14:$F$152,RAB!$C$14:$C$152,C1285)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SUMIFS(RAB!$F$14:$F$152,RAB!$C$14:$C$152,C1286)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SUMIFS(RAB!$F$14:$F$152,RAB!$C$14:$C$152,C1287)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SUMIFS(RAB!$F$14:$F$152,RAB!$C$14:$C$152,C1288)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SUMIFS(RAB!$F$14:$F$152,RAB!$C$14:$C$152,C1289)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SUMIFS(RAB!$F$14:$F$152,RAB!$C$14:$C$152,C1290)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SUMIFS(RAB!$F$14:$F$152,RAB!$C$14:$C$152,C1291)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SUMIFS(RAB!$F$14:$F$152,RAB!$C$14:$C$152,C1292)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SUMIFS(RAB!$F$14:$F$152,RAB!$C$14:$C$152,C1293)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SUMIFS(RAB!$F$14:$F$152,RAB!$C$14:$C$152,C1294)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SUMIFS(RAB!$F$14:$F$152,RAB!$C$14:$C$152,C1295)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SUMIFS(RAB!$F$14:$F$152,RAB!$C$14:$C$152,C1296)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SUMIFS(RAB!$F$14:$F$152,RAB!$C$14:$C$152,C1297)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SUMIFS(RAB!$F$14:$F$152,RAB!$C$14:$C$152,C1298)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SUMIFS(RAB!$F$14:$F$152,RAB!$C$14:$C$152,C1299)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SUMIFS(RAB!$F$14:$F$152,RAB!$C$14:$C$152,C1300)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SUMIFS(RAB!$F$14:$F$152,RAB!$C$14:$C$152,C1301)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SUMIFS(RAB!$F$14:$F$152,RAB!$C$14:$C$152,C1302)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SUMIFS(RAB!$F$14:$F$152,RAB!$C$14:$C$152,C1303)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SUMIFS(RAB!$F$14:$F$152,RAB!$C$14:$C$152,C1304)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SUMIFS(RAB!$F$14:$F$152,RAB!$C$14:$C$152,C1305)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SUMIFS(RAB!$F$14:$F$152,RAB!$C$14:$C$152,C1306)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SUMIFS(RAB!$F$14:$F$152,RAB!$C$14:$C$152,C1307)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SUMIFS(RAB!$F$14:$F$152,RAB!$C$14:$C$152,C1308)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SUMIFS(RAB!$F$14:$F$152,RAB!$C$14:$C$152,C1309)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SUMIFS(RAB!$F$14:$F$152,RAB!$C$14:$C$152,C1310)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SUMIFS(RAB!$F$14:$F$152,RAB!$C$14:$C$152,C1311)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SUMIFS(RAB!$F$14:$F$152,RAB!$C$14:$C$152,C1312)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SUMIFS(RAB!$F$14:$F$152,RAB!$C$14:$C$152,C1313)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SUMIFS(RAB!$F$14:$F$152,RAB!$C$14:$C$152,C1314)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SUMIFS(RAB!$F$14:$F$152,RAB!$C$14:$C$152,C1315)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SUMIFS(RAB!$F$14:$F$152,RAB!$C$14:$C$152,C1316)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SUMIFS(RAB!$F$14:$F$152,RAB!$C$14:$C$152,C1317)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SUMIFS(RAB!$F$14:$F$152,RAB!$C$14:$C$152,C1318)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SUMIFS(RAB!$F$14:$F$152,RAB!$C$14:$C$152,C1319)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SUMIFS(RAB!$F$14:$F$152,RAB!$C$14:$C$152,C1320)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8" priority="5" operator="equal">
      <formula>0</formula>
    </cfRule>
  </conditionalFormatting>
  <conditionalFormatting sqref="A10:L65536">
    <cfRule type="cellIs" dxfId="57" priority="1" operator="equal">
      <formula>0</formula>
    </cfRule>
  </conditionalFormatting>
  <conditionalFormatting sqref="C12:C711">
    <cfRule type="cellIs" dxfId="56" priority="66" stopIfTrue="1" operator="equal">
      <formula>0</formula>
    </cfRule>
  </conditionalFormatting>
  <conditionalFormatting sqref="E712:E65536">
    <cfRule type="cellIs" dxfId="55" priority="16" stopIfTrue="1" operator="equal">
      <formula>0</formula>
    </cfRule>
  </conditionalFormatting>
  <conditionalFormatting sqref="G1:G11 E6:E11 E1:E3 H7 H10:H11 F10:F711 G712:G65536">
    <cfRule type="cellIs" dxfId="54" priority="69" stopIfTrue="1" operator="equal">
      <formula>0</formula>
    </cfRule>
  </conditionalFormatting>
  <conditionalFormatting sqref="G12:H711">
    <cfRule type="cellIs" dxfId="53" priority="12" stopIfTrue="1" operator="equal">
      <formula>0</formula>
    </cfRule>
  </conditionalFormatting>
  <conditionalFormatting sqref="I7:K7">
    <cfRule type="cellIs" dxfId="52" priority="4" stopIfTrue="1" operator="equal">
      <formula>0</formula>
    </cfRule>
  </conditionalFormatting>
  <conditionalFormatting sqref="I10:L711">
    <cfRule type="cellIs" dxfId="51" priority="2" stopIfTrue="1" operator="equal">
      <formula>0</formula>
    </cfRule>
  </conditionalFormatting>
  <conditionalFormatting sqref="L1:L6">
    <cfRule type="cellIs" dxfId="50" priority="10" operator="equal">
      <formula>0</formula>
    </cfRule>
  </conditionalFormatting>
  <conditionalFormatting sqref="M1:IV1048576 A8:G9">
    <cfRule type="cellIs" dxfId="4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9" t="s">
        <v>1097</v>
      </c>
      <c r="C4" s="529"/>
      <c r="D4" s="529"/>
      <c r="E4" s="529"/>
      <c r="F4" s="529"/>
      <c r="G4" s="529"/>
      <c r="H4" s="529"/>
      <c r="I4" s="529"/>
      <c r="J4" s="529"/>
      <c r="K4" s="52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53" t="str">
        <f>RAB!G6</f>
        <v>PT AGUSTA JAYA BETON</v>
      </c>
      <c r="H6" s="553"/>
      <c r="I6" s="553"/>
      <c r="J6" s="553"/>
      <c r="K6" s="553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JL. RAYA SEMARANG-PURWODADI DESA GUBUG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0" t="s">
        <v>0</v>
      </c>
      <c r="C11" s="532" t="s">
        <v>1</v>
      </c>
      <c r="D11" s="535" t="s">
        <v>32</v>
      </c>
      <c r="E11" s="535" t="s">
        <v>33</v>
      </c>
      <c r="F11" s="535" t="s">
        <v>2</v>
      </c>
      <c r="G11" s="537" t="s">
        <v>31</v>
      </c>
      <c r="H11" s="535" t="s">
        <v>3</v>
      </c>
      <c r="I11" s="535"/>
      <c r="J11" s="535"/>
      <c r="K11" s="540"/>
      <c r="M11" s="33"/>
      <c r="N11" s="33"/>
      <c r="O11" s="33"/>
      <c r="P11" s="33"/>
      <c r="R11" s="34"/>
      <c r="S11" s="74"/>
      <c r="T11" s="74"/>
    </row>
    <row r="12" spans="1:21" ht="15" customHeight="1">
      <c r="B12" s="531"/>
      <c r="C12" s="533"/>
      <c r="D12" s="536"/>
      <c r="E12" s="536"/>
      <c r="F12" s="536"/>
      <c r="G12" s="538"/>
      <c r="H12" s="544" t="s">
        <v>36</v>
      </c>
      <c r="I12" s="544" t="s">
        <v>5</v>
      </c>
      <c r="J12" s="536" t="s">
        <v>37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1"/>
      <c r="C13" s="534"/>
      <c r="D13" s="536"/>
      <c r="E13" s="536"/>
      <c r="F13" s="536"/>
      <c r="G13" s="539"/>
      <c r="H13" s="545"/>
      <c r="I13" s="545"/>
      <c r="J13" s="536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12148800</v>
      </c>
      <c r="J16" s="42">
        <f t="shared" ca="1" si="3"/>
        <v>0</v>
      </c>
      <c r="K16" s="43">
        <f t="shared" ca="1" si="0"/>
        <v>12148800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4" t="s">
        <v>980</v>
      </c>
      <c r="D38" s="554"/>
      <c r="E38" s="554"/>
      <c r="F38" s="554"/>
      <c r="G38" s="77" t="s">
        <v>9</v>
      </c>
      <c r="H38" s="55">
        <f ca="1">SUM(H14:H37)</f>
        <v>0</v>
      </c>
      <c r="I38" s="55">
        <f ca="1">SUM(I14:I37)</f>
        <v>12148800</v>
      </c>
      <c r="J38" s="55">
        <f ca="1">SUM(J14:J37)</f>
        <v>0</v>
      </c>
      <c r="K38" s="55">
        <f ca="1">SUM(K14:K37)</f>
        <v>12148800</v>
      </c>
      <c r="L38" s="44"/>
      <c r="R38" s="99"/>
      <c r="S38" s="99"/>
      <c r="T38" s="99"/>
    </row>
    <row r="39" spans="1:20" s="36" customFormat="1">
      <c r="A39" s="30"/>
      <c r="B39" s="56"/>
      <c r="C39" s="555" t="s">
        <v>452</v>
      </c>
      <c r="D39" s="555"/>
      <c r="E39" s="555"/>
      <c r="F39" s="555"/>
      <c r="G39" s="59" t="s">
        <v>9</v>
      </c>
      <c r="H39" s="60">
        <f ca="1">H38*0.1</f>
        <v>0</v>
      </c>
      <c r="I39" s="60">
        <f ca="1">I38*0.1</f>
        <v>1214880</v>
      </c>
      <c r="J39" s="60">
        <f ca="1">J38*0.1</f>
        <v>0</v>
      </c>
      <c r="K39" s="60">
        <f ca="1">K38*0.1</f>
        <v>1214880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6" t="s">
        <v>453</v>
      </c>
      <c r="D40" s="546"/>
      <c r="E40" s="546"/>
      <c r="F40" s="546"/>
      <c r="G40" s="61" t="s">
        <v>9</v>
      </c>
      <c r="H40" s="78">
        <f ca="1">SUM(H38:H39)</f>
        <v>0</v>
      </c>
      <c r="I40" s="78">
        <f ca="1">SUM(I38:I39)</f>
        <v>13363680</v>
      </c>
      <c r="J40" s="61">
        <f ca="1">SUM(J38:J39)</f>
        <v>0</v>
      </c>
      <c r="K40" s="61">
        <f ca="1">SUM(K38:K39)</f>
        <v>13363680</v>
      </c>
      <c r="L40" s="44"/>
      <c r="R40" s="99"/>
      <c r="S40" s="99"/>
      <c r="T40" s="99"/>
    </row>
    <row r="41" spans="1:20" s="36" customFormat="1">
      <c r="A41" s="30"/>
      <c r="B41" s="547" t="e">
        <f ca="1">"Terbilang : ( "&amp;L42&amp;" Rupiah )"</f>
        <v>#NAME?</v>
      </c>
      <c r="C41" s="548"/>
      <c r="D41" s="548"/>
      <c r="E41" s="548"/>
      <c r="F41" s="548"/>
      <c r="G41" s="548"/>
      <c r="H41" s="548"/>
      <c r="I41" s="548"/>
      <c r="J41" s="548"/>
      <c r="K41" s="549"/>
      <c r="L41" s="44"/>
      <c r="R41" s="58"/>
      <c r="S41" s="58"/>
      <c r="T41" s="58"/>
    </row>
    <row r="42" spans="1:20" s="36" customFormat="1">
      <c r="A42" s="30"/>
      <c r="B42" s="550"/>
      <c r="C42" s="551"/>
      <c r="D42" s="551"/>
      <c r="E42" s="551"/>
      <c r="F42" s="551"/>
      <c r="G42" s="551"/>
      <c r="H42" s="551"/>
      <c r="I42" s="551"/>
      <c r="J42" s="551"/>
      <c r="K42" s="552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1"/>
      <c r="I45" s="541"/>
      <c r="J45" s="542"/>
      <c r="K45" s="54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1"/>
      <c r="I46" s="541"/>
      <c r="J46" s="542"/>
      <c r="K46" s="54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1"/>
      <c r="I47" s="541"/>
      <c r="J47" s="542"/>
      <c r="K47" s="54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1"/>
      <c r="I52" s="541"/>
      <c r="J52" s="542"/>
      <c r="K52" s="54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SUMIFS(RAB!$F$14:$F$152,RAB!$C$14:$C$152,'REKAP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SUMIFS(RAB!$F$14:$F$152,RAB!$C$14:$C$152,'REKAP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SUMIFS(RAB!$F$14:$F$152,RAB!$C$14:$C$152,'REKAP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SUMIFS(RAB!$F$14:$F$152,RAB!$C$14:$C$152,'REKAP TIANG'!C60)</f>
        <v>2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SUMIFS(RAB!$F$14:$F$152,RAB!$C$14:$C$152,'REKAP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SUMIFS(RAB!$F$14:$F$152,RAB!$C$14:$C$152,'REKAP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SUMIFS(RAB!$F$14:$F$152,RAB!$C$14:$C$152,'REKAP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SUMIFS(RAB!$F$14:$F$152,RAB!$C$14:$C$152,'REKAP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SUMIFS(RAB!$F$14:$F$152,RAB!$C$14:$C$152,'REKAP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SUMIFS(RAB!$F$14:$F$152,RAB!$C$14:$C$152,'REKAP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SUMIFS(RAB!$F$14:$F$152,RAB!$C$14:$C$152,'REKAP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SUMIFS(RAB!$F$14:$F$152,RAB!$C$14:$C$152,'REKAP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SUMIFS(RAB!$F$14:$F$152,RAB!$C$14:$C$152,'REKAP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SUMIFS(RAB!$F$14:$F$152,RAB!$C$14:$C$152,'REKAP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SUMIFS(RAB!$F$14:$F$152,RAB!$C$14:$C$152,'REKAP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SUMIFS(RAB!$F$14:$F$152,RAB!$C$14:$C$152,'REKAP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SUMIFS(RAB!$F$14:$F$152,RAB!$C$14:$C$152,'REKAP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SUMIFS(RAB!$F$14:$F$152,RAB!$C$14:$C$152,'REKAP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SUMIFS(RAB!$F$14:$F$152,RAB!$C$14:$C$152,'REKAP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SUMIFS(RAB!$F$14:$F$152,RAB!$C$14:$C$152,'REKAP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9" t="s">
        <v>1004</v>
      </c>
      <c r="C4" s="529"/>
      <c r="D4" s="529"/>
      <c r="E4" s="529"/>
      <c r="F4" s="529"/>
      <c r="G4" s="529"/>
      <c r="H4" s="529"/>
      <c r="I4" s="529"/>
      <c r="J4" s="529"/>
      <c r="K4" s="52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53" t="str">
        <f>RAB!G6</f>
        <v>PT AGUSTA JAYA BETON</v>
      </c>
      <c r="H6" s="553"/>
      <c r="I6" s="553"/>
      <c r="J6" s="553"/>
      <c r="K6" s="553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JL. RAYA SEMARANG-PURWODADI DESA GUBUG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0" t="s">
        <v>0</v>
      </c>
      <c r="C11" s="532" t="s">
        <v>1</v>
      </c>
      <c r="D11" s="535" t="s">
        <v>32</v>
      </c>
      <c r="E11" s="535" t="s">
        <v>33</v>
      </c>
      <c r="F11" s="535" t="s">
        <v>2</v>
      </c>
      <c r="G11" s="537" t="s">
        <v>31</v>
      </c>
      <c r="H11" s="535" t="s">
        <v>3</v>
      </c>
      <c r="I11" s="535"/>
      <c r="J11" s="535"/>
      <c r="K11" s="540"/>
      <c r="M11" s="33"/>
      <c r="N11" s="33"/>
      <c r="O11" s="33"/>
      <c r="P11" s="33"/>
      <c r="R11" s="34"/>
      <c r="S11" s="74"/>
      <c r="T11" s="74"/>
    </row>
    <row r="12" spans="1:21" ht="15" customHeight="1">
      <c r="B12" s="531"/>
      <c r="C12" s="533"/>
      <c r="D12" s="536"/>
      <c r="E12" s="536"/>
      <c r="F12" s="536"/>
      <c r="G12" s="538"/>
      <c r="H12" s="544" t="s">
        <v>36</v>
      </c>
      <c r="I12" s="544" t="s">
        <v>5</v>
      </c>
      <c r="J12" s="536" t="s">
        <v>37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1"/>
      <c r="C13" s="534"/>
      <c r="D13" s="536"/>
      <c r="E13" s="536"/>
      <c r="F13" s="536"/>
      <c r="G13" s="539"/>
      <c r="H13" s="545"/>
      <c r="I13" s="545"/>
      <c r="J13" s="536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164 kVA MCCB 250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5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1179500</v>
      </c>
      <c r="I21" s="42">
        <f t="shared" ca="1" si="2"/>
        <v>0</v>
      </c>
      <c r="J21" s="42">
        <f t="shared" ca="1" si="3"/>
        <v>0</v>
      </c>
      <c r="K21" s="43">
        <f t="shared" ca="1" si="0"/>
        <v>1179500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12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5160000</v>
      </c>
      <c r="I22" s="42">
        <f t="shared" ca="1" si="2"/>
        <v>0</v>
      </c>
      <c r="J22" s="42">
        <f t="shared" ca="1" si="3"/>
        <v>0</v>
      </c>
      <c r="K22" s="43">
        <f t="shared" ca="1" si="0"/>
        <v>5160000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109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1547800</v>
      </c>
      <c r="I23" s="42">
        <f t="shared" ca="1" si="2"/>
        <v>0</v>
      </c>
      <c r="J23" s="42">
        <f t="shared" ca="1" si="3"/>
        <v>0</v>
      </c>
      <c r="K23" s="43">
        <f t="shared" ca="1" si="0"/>
        <v>1547800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163500</v>
      </c>
      <c r="I24" s="42">
        <f t="shared" ca="1" si="2"/>
        <v>0</v>
      </c>
      <c r="J24" s="42">
        <f t="shared" ca="1" si="3"/>
        <v>0</v>
      </c>
      <c r="K24" s="43">
        <f t="shared" ca="1" si="0"/>
        <v>163500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4" t="s">
        <v>980</v>
      </c>
      <c r="D168" s="554"/>
      <c r="E168" s="554"/>
      <c r="F168" s="554"/>
      <c r="G168" s="77" t="s">
        <v>9</v>
      </c>
      <c r="H168" s="55">
        <f ca="1">SUM(H14:H167)</f>
        <v>106927750</v>
      </c>
      <c r="I168" s="55">
        <f ca="1">SUM(I14:I167)</f>
        <v>0</v>
      </c>
      <c r="J168" s="55">
        <f ca="1">SUM(J14:J167)</f>
        <v>0</v>
      </c>
      <c r="K168" s="55">
        <f ca="1">SUM(K14:K167)</f>
        <v>106927750</v>
      </c>
      <c r="L168" s="44"/>
      <c r="R168" s="99"/>
      <c r="S168" s="99"/>
      <c r="T168" s="99"/>
    </row>
    <row r="169" spans="1:20" s="36" customFormat="1">
      <c r="A169" s="30"/>
      <c r="B169" s="56"/>
      <c r="C169" s="555" t="s">
        <v>452</v>
      </c>
      <c r="D169" s="555"/>
      <c r="E169" s="555"/>
      <c r="F169" s="555"/>
      <c r="G169" s="59" t="s">
        <v>9</v>
      </c>
      <c r="H169" s="60">
        <f ca="1">H168*0.1</f>
        <v>10692775</v>
      </c>
      <c r="I169" s="60">
        <f ca="1">I168*0.1</f>
        <v>0</v>
      </c>
      <c r="J169" s="60">
        <f ca="1">J168*0.1</f>
        <v>0</v>
      </c>
      <c r="K169" s="60">
        <f ca="1">K168*0.1</f>
        <v>10692775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6" t="s">
        <v>453</v>
      </c>
      <c r="D170" s="546"/>
      <c r="E170" s="546"/>
      <c r="F170" s="546"/>
      <c r="G170" s="61" t="s">
        <v>9</v>
      </c>
      <c r="H170" s="78">
        <f ca="1">SUM(H168:H169)</f>
        <v>117620525</v>
      </c>
      <c r="I170" s="78">
        <f ca="1">SUM(I168:I169)</f>
        <v>0</v>
      </c>
      <c r="J170" s="61">
        <f ca="1">SUM(J168:J169)</f>
        <v>0</v>
      </c>
      <c r="K170" s="61">
        <f ca="1">SUM(K168:K169)</f>
        <v>117620525</v>
      </c>
      <c r="L170" s="44"/>
      <c r="R170" s="99"/>
      <c r="S170" s="99"/>
      <c r="T170" s="99"/>
    </row>
    <row r="171" spans="1:20" s="36" customFormat="1">
      <c r="A171" s="30"/>
      <c r="B171" s="547" t="e">
        <f ca="1">"Terbilang : ( "&amp;L172&amp;" Rupiah )"</f>
        <v>#NAME?</v>
      </c>
      <c r="C171" s="548"/>
      <c r="D171" s="548"/>
      <c r="E171" s="548"/>
      <c r="F171" s="548"/>
      <c r="G171" s="548"/>
      <c r="H171" s="548"/>
      <c r="I171" s="548"/>
      <c r="J171" s="548"/>
      <c r="K171" s="549"/>
      <c r="L171" s="44"/>
      <c r="R171" s="58"/>
      <c r="S171" s="58"/>
      <c r="T171" s="58"/>
    </row>
    <row r="172" spans="1:20" s="36" customFormat="1">
      <c r="A172" s="30"/>
      <c r="B172" s="550"/>
      <c r="C172" s="551"/>
      <c r="D172" s="551"/>
      <c r="E172" s="551"/>
      <c r="F172" s="551"/>
      <c r="G172" s="551"/>
      <c r="H172" s="551"/>
      <c r="I172" s="551"/>
      <c r="J172" s="551"/>
      <c r="K172" s="552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1"/>
      <c r="I175" s="541"/>
      <c r="J175" s="542"/>
      <c r="K175" s="54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1"/>
      <c r="I176" s="541"/>
      <c r="J176" s="542"/>
      <c r="K176" s="54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1"/>
      <c r="I177" s="541"/>
      <c r="J177" s="542"/>
      <c r="K177" s="54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1"/>
      <c r="I182" s="541"/>
      <c r="J182" s="542"/>
      <c r="K182" s="54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SUMIFS(RAB!$F$14:$F$152,RAB!$C$14:$C$152,C224)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SUMIFS(RAB!$F$14:$F$152,RAB!$C$14:$C$152,C225)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SUMIFS(RAB!$F$14:$F$152,RAB!$C$14:$C$152,C226)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SUMIFS(RAB!$F$14:$F$152,RAB!$C$14:$C$152,C227)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SUMIFS(RAB!$F$14:$F$152,RAB!$C$14:$C$152,C228)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SUMIFS(RAB!$F$14:$F$152,RAB!$C$14:$C$152,C229)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SUMIFS(RAB!$F$14:$F$152,RAB!$C$14:$C$152,C230)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SUMIFS(RAB!$F$14:$F$152,RAB!$C$14:$C$152,C231)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SUMIFS(RAB!$F$14:$F$152,RAB!$C$14:$C$152,C232)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SUMIFS(RAB!$F$14:$F$152,RAB!$C$14:$C$152,C233)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SUMIFS(RAB!$F$14:$F$152,RAB!$C$14:$C$152,C234)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SUMIFS(RAB!$F$14:$F$152,RAB!$C$14:$C$152,C235)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SUMIFS(RAB!$F$14:$F$152,RAB!$C$14:$C$152,C236)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SUMIFS(RAB!$F$14:$F$152,RAB!$C$14:$C$152,C237)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SUMIFS(RAB!$F$14:$F$152,RAB!$C$14:$C$152,C238)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SUMIFS(RAB!$F$14:$F$152,RAB!$C$14:$C$152,C239)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SUMIFS(RAB!$F$14:$F$152,RAB!$C$14:$C$152,C240)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SUMIFS(RAB!$F$14:$F$152,RAB!$C$14:$C$152,C241)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SUMIFS(RAB!$F$14:$F$152,RAB!$C$14:$C$152,C242)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SUMIFS(RAB!$F$14:$F$152,RAB!$C$14:$C$152,C243)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SUMIFS(RAB!$F$14:$F$152,RAB!$C$14:$C$152,C244)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SUMIFS(RAB!$F$14:$F$152,RAB!$C$14:$C$152,C245)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SUMIFS(RAB!$F$14:$F$152,RAB!$C$14:$C$152,C246)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SUMIFS(RAB!$F$14:$F$152,RAB!$C$14:$C$152,C247)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SUMIFS(RAB!$F$14:$F$152,RAB!$C$14:$C$152,C248)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SUMIFS(RAB!$F$14:$F$152,RAB!$C$14:$C$152,C249)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SUMIFS(RAB!$F$14:$F$152,RAB!$C$14:$C$152,C250)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SUMIFS(RAB!$F$14:$F$152,RAB!$C$14:$C$152,C251)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SUMIFS(RAB!$F$14:$F$152,RAB!$C$14:$C$152,C252)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SUMIFS(RAB!$F$14:$F$152,RAB!$C$14:$C$152,C253)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SUMIFS(RAB!$F$14:$F$152,RAB!$C$14:$C$152,C254)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SUMIFS(RAB!$F$14:$F$152,RAB!$C$14:$C$152,C255)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SUMIFS(RAB!$F$14:$F$152,RAB!$C$14:$C$152,C256)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SUMIFS(RAB!$F$14:$F$152,RAB!$C$14:$C$152,C257)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SUMIFS(RAB!$F$14:$F$152,RAB!$C$14:$C$152,C258)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SUMIFS(RAB!$F$14:$F$152,RAB!$C$14:$C$152,C259)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SUMIFS(RAB!$F$14:$F$152,RAB!$C$14:$C$152,C260)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SUMIFS(RAB!$F$14:$F$152,RAB!$C$14:$C$152,C261)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SUMIFS(RAB!$F$14:$F$152,RAB!$C$14:$C$152,C262)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SUMIFS(RAB!$F$14:$F$152,RAB!$C$14:$C$152,C263)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SUMIFS(RAB!$F$14:$F$152,RAB!$C$14:$C$152,C264)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SUMIFS(RAB!$F$14:$F$152,RAB!$C$14:$C$152,C265)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SUMIFS(RAB!$F$14:$F$152,RAB!$C$14:$C$152,C266)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SUMIFS(RAB!$F$14:$F$152,RAB!$C$14:$C$152,C267)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SUMIFS(RAB!$F$14:$F$152,RAB!$C$14:$C$152,C268)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SUMIFS(RAB!$F$14:$F$152,RAB!$C$14:$C$152,C269)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SUMIFS(RAB!$F$14:$F$152,RAB!$C$14:$C$152,C270)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SUMIFS(RAB!$F$14:$F$152,RAB!$C$14:$C$152,C271)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SUMIFS(RAB!$F$14:$F$152,RAB!$C$14:$C$152,C272)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SUMIFS(RAB!$F$14:$F$152,RAB!$C$14:$C$152,C273)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SUMIFS(RAB!$F$14:$F$152,RAB!$C$14:$C$152,C274)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SUMIFS(RAB!$F$14:$F$152,RAB!$C$14:$C$152,C275)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SUMIFS(RAB!$F$14:$F$152,RAB!$C$14:$C$152,C276)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SUMIFS(RAB!$F$14:$F$152,RAB!$C$14:$C$152,C277)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SUMIFS(RAB!$F$14:$F$152,RAB!$C$14:$C$152,C278)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SUMIFS(RAB!$F$14:$F$152,RAB!$C$14:$C$152,C279)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SUMIFS(RAB!$F$14:$F$152,RAB!$C$14:$C$152,C280)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SUMIFS(RAB!$F$14:$F$152,RAB!$C$14:$C$152,C281)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SUMIFS(RAB!$F$14:$F$152,RAB!$C$14:$C$152,C282)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SUMIFS(RAB!$F$14:$F$152,RAB!$C$14:$C$152,C283)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SUMIFS(RAB!$F$14:$F$152,RAB!$C$14:$C$152,C284)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SUMIFS(RAB!$F$14:$F$152,RAB!$C$14:$C$152,C285)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SUMIFS(RAB!$F$14:$F$152,RAB!$C$14:$C$152,C286)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SUMIFS(RAB!$F$14:$F$152,RAB!$C$14:$C$152,C287)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SUMIFS(RAB!$F$14:$F$152,RAB!$C$14:$C$152,C288)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SUMIFS(RAB!$F$14:$F$152,RAB!$C$14:$C$152,C289)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SUMIFS(RAB!$F$14:$F$152,RAB!$C$14:$C$152,C290)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SUMIFS(RAB!$F$14:$F$152,RAB!$C$14:$C$152,C291)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SUMIFS(RAB!$F$14:$F$152,RAB!$C$14:$C$152,C292)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SUMIFS(RAB!$F$14:$F$152,RAB!$C$14:$C$152,C293)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SUMIFS(RAB!$F$14:$F$152,RAB!$C$14:$C$152,C294)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SUMIFS(RAB!$F$14:$F$152,RAB!$C$14:$C$152,C295)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SUMIFS(RAB!$F$14:$F$152,RAB!$C$14:$C$152,C296)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SUMIFS(RAB!$F$14:$F$152,RAB!$C$14:$C$152,C297)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SUMIFS(RAB!$F$14:$F$152,RAB!$C$14:$C$152,C298)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SUMIFS(RAB!$F$14:$F$152,RAB!$C$14:$C$152,C299)</f>
        <v>1</v>
      </c>
      <c r="E299" s="24">
        <f t="shared" ca="1" si="22"/>
        <v>1</v>
      </c>
      <c r="F299" s="24">
        <f ca="1">IF(D299=0,0,SUM($E$223:E299))</f>
        <v>2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SUMIFS(RAB!$F$14:$F$152,RAB!$C$14:$C$152,C300)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SUMIFS(RAB!$F$14:$F$152,RAB!$C$14:$C$152,C301)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SUMIFS(RAB!$F$14:$F$152,RAB!$C$14:$C$152,C302)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SUMIFS(RAB!$F$14:$F$152,RAB!$C$14:$C$152,C303)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SUMIFS(RAB!$F$14:$F$152,RAB!$C$14:$C$152,C304)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SUMIFS(RAB!$F$14:$F$152,RAB!$C$14:$C$152,C305)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SUMIFS(RAB!$F$14:$F$152,RAB!$C$14:$C$152,C306)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SUMIFS(RAB!$F$14:$F$152,RAB!$C$14:$C$152,C307)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SUMIFS(RAB!$F$14:$F$152,RAB!$C$14:$C$152,C308)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SUMIFS(RAB!$F$14:$F$152,RAB!$C$14:$C$152,C309)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SUMIFS(RAB!$F$14:$F$152,RAB!$C$14:$C$152,C310)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SUMIFS(RAB!$F$14:$F$152,RAB!$C$14:$C$152,C311)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SUMIFS(RAB!$F$14:$F$152,RAB!$C$14:$C$152,C312)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SUMIFS(RAB!$F$14:$F$152,RAB!$C$14:$C$152,C313)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SUMIFS(RAB!$F$14:$F$152,RAB!$C$14:$C$152,C314)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SUMIFS(RAB!$F$14:$F$152,RAB!$C$14:$C$152,C315)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SUMIFS(RAB!$F$14:$F$152,RAB!$C$14:$C$152,C316)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SUMIFS(RAB!$F$14:$F$152,RAB!$C$14:$C$152,C317)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SUMIFS(RAB!$F$14:$F$152,RAB!$C$14:$C$152,C318)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SUMIFS(RAB!$F$14:$F$152,RAB!$C$14:$C$152,C319)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SUMIFS(RAB!$F$14:$F$152,RAB!$C$14:$C$152,C320)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SUMIFS(RAB!$F$14:$F$152,RAB!$C$14:$C$152,C321)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SUMIFS(RAB!$F$14:$F$152,RAB!$C$14:$C$152,C322)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SUMIFS(RAB!$F$14:$F$152,RAB!$C$14:$C$152,C323)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SUMIFS(RAB!$F$14:$F$152,RAB!$C$14:$C$152,C324)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SUMIFS(RAB!$F$14:$F$152,RAB!$C$14:$C$152,C325)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SUMIFS(RAB!$F$14:$F$152,RAB!$C$14:$C$152,C326)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SUMIFS(RAB!$F$14:$F$152,RAB!$C$14:$C$152,C327)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SUMIFS(RAB!$F$14:$F$152,RAB!$C$14:$C$152,C328)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SUMIFS(RAB!$F$14:$F$152,RAB!$C$14:$C$152,C329)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SUMIFS(RAB!$F$14:$F$152,RAB!$C$14:$C$152,C330)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SUMIFS(RAB!$F$14:$F$152,RAB!$C$14:$C$152,C331)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SUMIFS(RAB!$F$14:$F$152,RAB!$C$14:$C$152,C332)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SUMIFS(RAB!$F$14:$F$152,RAB!$C$14:$C$152,C333)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SUMIFS(RAB!$F$14:$F$152,RAB!$C$14:$C$152,C334)</f>
        <v>5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SUMIFS(RAB!$F$14:$F$152,RAB!$C$14:$C$152,C335)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SUMIFS(RAB!$F$14:$F$152,RAB!$C$14:$C$152,C336)</f>
        <v>12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SUMIFS(RAB!$F$14:$F$152,RAB!$C$14:$C$152,C337)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SUMIFS(RAB!$F$14:$F$152,RAB!$C$14:$C$152,C338)</f>
        <v>109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SUMIFS(RAB!$F$14:$F$152,RAB!$C$14:$C$152,C339)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SUMIFS(RAB!$F$14:$F$152,RAB!$C$14:$C$152,C340)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SUMIFS(RAB!$F$14:$F$152,RAB!$C$14:$C$152,C341)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SUMIFS(RAB!$F$14:$F$152,RAB!$C$14:$C$152,C342)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SUMIFS(RAB!$F$14:$F$152,RAB!$C$14:$C$152,C343)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SUMIFS(RAB!$F$14:$F$152,RAB!$C$14:$C$152,C344)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SUMIFS(RAB!$F$14:$F$152,RAB!$C$14:$C$152,C345)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SUMIFS(RAB!$F$14:$F$152,RAB!$C$14:$C$152,C346)</f>
        <v>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SUMIFS(RAB!$F$14:$F$152,RAB!$C$14:$C$152,C347)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SUMIFS(RAB!$F$14:$F$152,RAB!$C$14:$C$152,C348)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SUMIFS(RAB!$F$14:$F$152,RAB!$C$14:$C$152,C349)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SUMIFS(RAB!$F$14:$F$152,RAB!$C$14:$C$152,C350)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SUMIFS(RAB!$F$14:$F$152,RAB!$C$14:$C$152,C351)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SUMIFS(RAB!$F$14:$F$152,RAB!$C$14:$C$152,C352)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SUMIFS(RAB!$F$14:$F$152,RAB!$C$14:$C$152,C353)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SUMIFS(RAB!$F$14:$F$152,RAB!$C$14:$C$152,C354)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SUMIFS(RAB!$F$14:$F$152,RAB!$C$14:$C$152,C355)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SUMIFS(RAB!$F$14:$F$152,RAB!$C$14:$C$152,C356)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SUMIFS(RAB!$F$14:$F$152,RAB!$C$14:$C$152,C357)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SUMIFS(RAB!$F$14:$F$152,RAB!$C$14:$C$152,C358)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SUMIFS(RAB!$F$14:$F$152,RAB!$C$14:$C$152,C359)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SUMIFS(RAB!$F$14:$F$152,RAB!$C$14:$C$152,C360)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SUMIFS(RAB!$F$14:$F$152,RAB!$C$14:$C$152,C361)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SUMIFS(RAB!$F$14:$F$152,RAB!$C$14:$C$152,C362)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SUMIFS(RAB!$F$14:$F$152,RAB!$C$14:$C$152,C363)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SUMIFS(RAB!$F$14:$F$152,RAB!$C$14:$C$152,C364)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SUMIFS(RAB!$F$14:$F$152,RAB!$C$14:$C$152,C365)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SUMIFS(RAB!$F$14:$F$152,RAB!$C$14:$C$152,C366)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SUMIFS(RAB!$F$14:$F$152,RAB!$C$14:$C$152,C367)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SUMIFS(RAB!$F$14:$F$152,RAB!$C$14:$C$152,C368)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SUMIFS(RAB!$F$14:$F$152,RAB!$C$14:$C$152,C369)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SUMIFS(RAB!$F$14:$F$152,RAB!$C$14:$C$152,C370)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SUMIFS(RAB!$F$14:$F$152,RAB!$C$14:$C$152,C371)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SUMIFS(RAB!$F$14:$F$152,RAB!$C$14:$C$152,C372)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SUMIFS(RAB!$F$14:$F$152,RAB!$C$14:$C$152,C373)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6" priority="5" operator="equal">
      <formula>0</formula>
    </cfRule>
  </conditionalFormatting>
  <conditionalFormatting sqref="C16:C165">
    <cfRule type="cellIs" dxfId="45" priority="4" stopIfTrue="1" operator="equal">
      <formula>0</formula>
    </cfRule>
  </conditionalFormatting>
  <conditionalFormatting sqref="C16:E165">
    <cfRule type="cellIs" dxfId="44" priority="1" operator="equal">
      <formula>0</formula>
    </cfRule>
  </conditionalFormatting>
  <conditionalFormatting sqref="D224:F373">
    <cfRule type="cellIs" dxfId="43" priority="8" operator="equal">
      <formula>0</formula>
    </cfRule>
  </conditionalFormatting>
  <conditionalFormatting sqref="E1:E3 G1:G115 E6:E15 H12:I12 N13 F14:F15 H14:K115 E166:K166 G166:G223 E167:F167 H167:K167">
    <cfRule type="cellIs" dxfId="42" priority="43" stopIfTrue="1" operator="equal">
      <formula>0</formula>
    </cfRule>
  </conditionalFormatting>
  <conditionalFormatting sqref="E171:E65536">
    <cfRule type="cellIs" dxfId="41" priority="9" stopIfTrue="1" operator="equal">
      <formula>0</formula>
    </cfRule>
  </conditionalFormatting>
  <conditionalFormatting sqref="G224">
    <cfRule type="cellIs" dxfId="40" priority="10" operator="equal">
      <formula>0</formula>
    </cfRule>
  </conditionalFormatting>
  <conditionalFormatting sqref="G225:G65536">
    <cfRule type="cellIs" dxfId="39" priority="14" stopIfTrue="1" operator="equal">
      <formula>0</formula>
    </cfRule>
  </conditionalFormatting>
  <conditionalFormatting sqref="R14:T166 G116:K165">
    <cfRule type="cellIs" dxfId="3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42578125" customWidth="1"/>
  </cols>
  <sheetData>
    <row r="1" spans="4:4" ht="89.25" customHeight="1"/>
    <row r="3" spans="4:4" ht="50.25" customHeight="1">
      <c r="D3" s="366"/>
    </row>
    <row r="4" spans="4:4" ht="57" customHeight="1">
      <c r="D4" s="366">
        <v>3</v>
      </c>
    </row>
    <row r="5" spans="4:4" ht="57" customHeight="1">
      <c r="D5" s="36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44" activePane="bottomRight" state="frozen"/>
      <selection activeCell="D209" sqref="D209"/>
      <selection pane="topRight" activeCell="D209" sqref="D209"/>
      <selection pane="bottomLeft" activeCell="D209" sqref="D209"/>
      <selection pane="bottomRight" activeCell="C1054" sqref="C105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42578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31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13</v>
      </c>
      <c r="C4" s="559" t="s">
        <v>982</v>
      </c>
      <c r="D4" s="559" t="s">
        <v>32</v>
      </c>
      <c r="E4" s="558" t="s">
        <v>33</v>
      </c>
      <c r="F4" s="108" t="s">
        <v>1574</v>
      </c>
      <c r="G4" s="108" t="s">
        <v>1573</v>
      </c>
      <c r="H4" s="556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1528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1529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1530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1531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1532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1533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1534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1535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1536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1537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1538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1539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1540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1541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1542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1543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1544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1545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1546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1547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1548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1549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1550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1551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1552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1553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1554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1555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1556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1557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1558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1559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1560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1561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1562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1563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1564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1565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1566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1567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1568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9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9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1480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1481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1482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1483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1484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1486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1569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1570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1571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1572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90">
        <v>2740</v>
      </c>
      <c r="G1433" s="39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1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1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1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1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1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7" priority="138" operator="equal">
      <formula>0</formula>
    </cfRule>
  </conditionalFormatting>
  <conditionalFormatting sqref="B8:C135">
    <cfRule type="cellIs" dxfId="36" priority="51" operator="equal">
      <formula>0</formula>
    </cfRule>
  </conditionalFormatting>
  <conditionalFormatting sqref="B150:G1493">
    <cfRule type="cellIs" dxfId="35" priority="1" operator="equal">
      <formula>0</formula>
    </cfRule>
  </conditionalFormatting>
  <conditionalFormatting sqref="C143:G149">
    <cfRule type="cellIs" dxfId="34" priority="5" operator="equal">
      <formula>0</formula>
    </cfRule>
  </conditionalFormatting>
  <conditionalFormatting sqref="D9:G142">
    <cfRule type="cellIs" dxfId="33" priority="11" operator="equal">
      <formula>0</formula>
    </cfRule>
  </conditionalFormatting>
  <conditionalFormatting sqref="D1:IV5 A1:C7 D6:K6 H1455:IV1457 H1458:XFD1485 H1486:H1493 I1486:XFD1494 A1494:H1494 A1495:XFD65536">
    <cfRule type="cellIs" dxfId="32" priority="163" operator="equal">
      <formula>0</formula>
    </cfRule>
  </conditionalFormatting>
  <conditionalFormatting sqref="D7:IV8 C136:C142 B136:B149">
    <cfRule type="cellIs" dxfId="31" priority="62" operator="equal">
      <formula>0</formula>
    </cfRule>
  </conditionalFormatting>
  <conditionalFormatting sqref="H9:H1418">
    <cfRule type="cellIs" dxfId="30" priority="129" operator="equal">
      <formula>0</formula>
    </cfRule>
  </conditionalFormatting>
  <conditionalFormatting sqref="H1419:I1454">
    <cfRule type="cellIs" dxfId="29" priority="128" operator="equal">
      <formula>0</formula>
    </cfRule>
  </conditionalFormatting>
  <conditionalFormatting sqref="I108:I1418">
    <cfRule type="cellIs" dxfId="28" priority="125" operator="equal">
      <formula>0</formula>
    </cfRule>
  </conditionalFormatting>
  <conditionalFormatting sqref="J108:IV1454">
    <cfRule type="cellIs" dxfId="27" priority="139" operator="equal">
      <formula>0</formula>
    </cfRule>
  </conditionalFormatting>
  <conditionalFormatting sqref="M6:IV6">
    <cfRule type="cellIs" dxfId="2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P27"/>
  <sheetViews>
    <sheetView zoomScale="55" zoomScaleNormal="55" zoomScaleSheetLayoutView="85" workbookViewId="0">
      <selection activeCell="P15" sqref="P15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42578125" style="191" customWidth="1"/>
    <col min="18" max="16384" width="9.140625" style="191"/>
  </cols>
  <sheetData>
    <row r="2" spans="1:16" s="194" customFormat="1" ht="18.75" customHeight="1">
      <c r="B2" s="591" t="s">
        <v>1425</v>
      </c>
      <c r="C2" s="591"/>
      <c r="D2" s="591"/>
      <c r="E2" s="591"/>
      <c r="I2" s="195"/>
    </row>
    <row r="3" spans="1:16" s="194" customFormat="1" ht="13.5" customHeight="1" thickBot="1">
      <c r="B3" s="201"/>
      <c r="C3" s="201"/>
      <c r="D3" s="201"/>
      <c r="E3" s="201"/>
      <c r="I3" s="195"/>
    </row>
    <row r="4" spans="1:16" s="194" customFormat="1" ht="29.25" customHeight="1">
      <c r="A4" s="198"/>
      <c r="B4" s="596" t="s">
        <v>1499</v>
      </c>
      <c r="C4" s="597"/>
      <c r="D4" s="597"/>
      <c r="E4" s="598"/>
      <c r="F4" s="348"/>
      <c r="G4" s="348"/>
      <c r="H4" s="349"/>
      <c r="I4" s="560" t="s">
        <v>1500</v>
      </c>
      <c r="J4" s="561"/>
      <c r="K4" s="561"/>
      <c r="L4" s="562"/>
    </row>
    <row r="5" spans="1:16" ht="34.5" customHeight="1">
      <c r="A5" s="193"/>
      <c r="B5" s="351" t="s">
        <v>1349</v>
      </c>
      <c r="C5" s="200" t="s">
        <v>9</v>
      </c>
      <c r="D5" s="592" t="str">
        <f>DATA!D14</f>
        <v>PT AGUSTA JAYA BETON</v>
      </c>
      <c r="E5" s="593"/>
      <c r="F5" s="197"/>
      <c r="G5" s="197"/>
      <c r="I5" s="352" t="s">
        <v>1349</v>
      </c>
      <c r="J5" s="200" t="s">
        <v>9</v>
      </c>
      <c r="K5" s="563" t="str">
        <f>D5</f>
        <v>PT AGUSTA JAYA BETON</v>
      </c>
      <c r="L5" s="564"/>
    </row>
    <row r="6" spans="1:16" ht="31.5" customHeight="1">
      <c r="A6" s="193"/>
      <c r="B6" s="351" t="s">
        <v>1496</v>
      </c>
      <c r="C6" s="200" t="s">
        <v>9</v>
      </c>
      <c r="D6" s="601">
        <f>DATA!D17*1000</f>
        <v>5500</v>
      </c>
      <c r="E6" s="602"/>
      <c r="F6" s="197"/>
      <c r="G6" s="197"/>
      <c r="I6" s="352" t="s">
        <v>1497</v>
      </c>
      <c r="J6" s="200" t="s">
        <v>9</v>
      </c>
      <c r="K6" s="565">
        <f>DATA!D20*1000</f>
        <v>164000</v>
      </c>
      <c r="L6" s="566"/>
    </row>
    <row r="7" spans="1:16" ht="30.75" customHeight="1">
      <c r="A7" s="193"/>
      <c r="B7" s="351" t="s">
        <v>1411</v>
      </c>
      <c r="C7" s="200" t="s">
        <v>9</v>
      </c>
      <c r="D7" s="599">
        <f>DATA!D18</f>
        <v>1</v>
      </c>
      <c r="E7" s="600"/>
      <c r="F7" s="350" t="s">
        <v>1424</v>
      </c>
      <c r="I7" s="352" t="s">
        <v>1411</v>
      </c>
      <c r="J7" s="200" t="s">
        <v>9</v>
      </c>
      <c r="K7" s="567">
        <f>DATA!D21</f>
        <v>3</v>
      </c>
      <c r="L7" s="568"/>
    </row>
    <row r="8" spans="1:16" ht="51" customHeight="1">
      <c r="A8" s="193"/>
      <c r="B8" s="351" t="s">
        <v>1412</v>
      </c>
      <c r="C8" s="200" t="s">
        <v>9</v>
      </c>
      <c r="D8" s="599">
        <f>DATA!D19</f>
        <v>220</v>
      </c>
      <c r="E8" s="600"/>
      <c r="F8" s="350" t="s">
        <v>1424</v>
      </c>
      <c r="G8" s="345">
        <v>220</v>
      </c>
      <c r="I8" s="352" t="s">
        <v>1412</v>
      </c>
      <c r="J8" s="200" t="s">
        <v>9</v>
      </c>
      <c r="K8" s="567">
        <f>DATA!D22</f>
        <v>380</v>
      </c>
      <c r="L8" s="568"/>
      <c r="P8" s="517"/>
    </row>
    <row r="9" spans="1:16" ht="30" customHeight="1" thickBot="1">
      <c r="A9" s="193"/>
      <c r="B9" s="357" t="s">
        <v>1508</v>
      </c>
      <c r="C9" s="347" t="s">
        <v>9</v>
      </c>
      <c r="D9" s="594">
        <f>IF(D7=1,D6/(380/3^0.5),(D6/(380*3^0.5)))</f>
        <v>25.069156425339013</v>
      </c>
      <c r="E9" s="595"/>
      <c r="F9" s="196"/>
      <c r="G9" s="346">
        <v>380</v>
      </c>
      <c r="I9" s="358" t="s">
        <v>1508</v>
      </c>
      <c r="J9" s="347" t="s">
        <v>9</v>
      </c>
      <c r="K9" s="571">
        <f>IF(K7=1,K6/(380/3^0.5),(K6/(380*3^0.5)))</f>
        <v>249.17222143973325</v>
      </c>
      <c r="L9" s="572"/>
    </row>
    <row r="10" spans="1:16" ht="24.75" customHeight="1">
      <c r="B10" s="359"/>
      <c r="C10" s="356"/>
      <c r="D10" s="360"/>
      <c r="E10" s="360"/>
      <c r="F10" s="196"/>
      <c r="G10" s="346"/>
      <c r="I10" s="359"/>
      <c r="J10" s="356"/>
      <c r="K10" s="360"/>
      <c r="L10" s="360"/>
    </row>
    <row r="11" spans="1:16" ht="16.5" thickBot="1">
      <c r="B11" s="353" t="s">
        <v>1509</v>
      </c>
      <c r="I11" s="353" t="s">
        <v>1503</v>
      </c>
    </row>
    <row r="12" spans="1:16" ht="34.5" customHeight="1">
      <c r="A12" s="193"/>
      <c r="B12" s="381" t="s">
        <v>1501</v>
      </c>
      <c r="C12" s="375" t="s">
        <v>9</v>
      </c>
      <c r="D12" s="603" t="s">
        <v>1661</v>
      </c>
      <c r="E12" s="604"/>
      <c r="F12" s="197"/>
      <c r="G12" s="197"/>
      <c r="I12" s="374" t="s">
        <v>1501</v>
      </c>
      <c r="J12" s="375" t="s">
        <v>9</v>
      </c>
      <c r="K12" s="573" t="s">
        <v>1661</v>
      </c>
      <c r="L12" s="574"/>
    </row>
    <row r="13" spans="1:16" ht="31.5" customHeight="1">
      <c r="A13" s="193"/>
      <c r="B13" s="382" t="s">
        <v>1350</v>
      </c>
      <c r="C13" s="362" t="s">
        <v>9</v>
      </c>
      <c r="D13" s="607" t="s">
        <v>1662</v>
      </c>
      <c r="E13" s="608"/>
      <c r="F13" s="197"/>
      <c r="G13" s="197"/>
      <c r="I13" s="376" t="s">
        <v>1350</v>
      </c>
      <c r="J13" s="362" t="s">
        <v>9</v>
      </c>
      <c r="K13" s="569" t="s">
        <v>1661</v>
      </c>
      <c r="L13" s="570"/>
    </row>
    <row r="14" spans="1:16" ht="30.75" customHeight="1">
      <c r="A14" s="193"/>
      <c r="B14" s="382" t="s">
        <v>1502</v>
      </c>
      <c r="C14" s="362" t="s">
        <v>9</v>
      </c>
      <c r="D14" s="579">
        <v>50</v>
      </c>
      <c r="E14" s="580"/>
      <c r="F14" s="350" t="s">
        <v>1424</v>
      </c>
      <c r="G14" s="354">
        <v>50</v>
      </c>
      <c r="I14" s="376" t="s">
        <v>1502</v>
      </c>
      <c r="J14" s="362" t="s">
        <v>9</v>
      </c>
      <c r="K14" s="581">
        <v>160</v>
      </c>
      <c r="L14" s="582"/>
    </row>
    <row r="15" spans="1:16" ht="57" customHeight="1">
      <c r="A15" s="193"/>
      <c r="B15" s="382" t="s">
        <v>1411</v>
      </c>
      <c r="C15" s="362" t="s">
        <v>9</v>
      </c>
      <c r="D15" s="368">
        <v>3</v>
      </c>
      <c r="E15" s="377"/>
      <c r="F15" s="350" t="s">
        <v>1424</v>
      </c>
      <c r="G15" s="354">
        <v>100</v>
      </c>
      <c r="I15" s="376" t="s">
        <v>1411</v>
      </c>
      <c r="J15" s="362" t="s">
        <v>9</v>
      </c>
      <c r="K15" s="368">
        <v>3</v>
      </c>
      <c r="L15" s="377"/>
    </row>
    <row r="16" spans="1:16" ht="44.25" customHeight="1">
      <c r="A16" s="193"/>
      <c r="B16" s="382" t="s">
        <v>1512</v>
      </c>
      <c r="C16" s="362"/>
      <c r="D16" s="583">
        <v>54</v>
      </c>
      <c r="E16" s="584"/>
      <c r="F16" s="350"/>
      <c r="G16" s="354">
        <v>160</v>
      </c>
      <c r="I16" s="376" t="s">
        <v>1504</v>
      </c>
      <c r="J16" s="362" t="s">
        <v>9</v>
      </c>
      <c r="K16" s="585">
        <f>K9</f>
        <v>249.17222143973325</v>
      </c>
      <c r="L16" s="586"/>
    </row>
    <row r="17" spans="1:12" ht="34.5" customHeight="1">
      <c r="A17" s="193"/>
      <c r="B17" s="382" t="s">
        <v>1505</v>
      </c>
      <c r="C17" s="362" t="s">
        <v>9</v>
      </c>
      <c r="D17" s="577">
        <f>IF(D15=1,D14/(20/3^0.5),(D14/(20*3^0.5)))</f>
        <v>1.4433756729740645</v>
      </c>
      <c r="E17" s="578"/>
      <c r="F17" s="350" t="s">
        <v>1424</v>
      </c>
      <c r="G17" s="355">
        <v>200</v>
      </c>
      <c r="I17" s="376" t="s">
        <v>1505</v>
      </c>
      <c r="J17" s="362" t="s">
        <v>9</v>
      </c>
      <c r="K17" s="575">
        <f>IF(K15=1,K14/(20/3^0.5),(K14/(20*3^0.5)))</f>
        <v>4.6188021535170067</v>
      </c>
      <c r="L17" s="576"/>
    </row>
    <row r="18" spans="1:12" ht="34.5" customHeight="1">
      <c r="A18" s="193"/>
      <c r="B18" s="382" t="s">
        <v>1506</v>
      </c>
      <c r="C18" s="362" t="s">
        <v>9</v>
      </c>
      <c r="D18" s="577">
        <f>IF(D15=1,D14/(380/3^0.5),(D14/(380*3^0.5)))*1000</f>
        <v>75.96714068284551</v>
      </c>
      <c r="E18" s="578"/>
      <c r="F18" s="350" t="s">
        <v>1424</v>
      </c>
      <c r="G18" s="355">
        <v>250</v>
      </c>
      <c r="I18" s="376" t="s">
        <v>1506</v>
      </c>
      <c r="J18" s="362" t="s">
        <v>9</v>
      </c>
      <c r="K18" s="575">
        <f>IF(K15=1,K14/(380/3^0.5),(K14/(380*3^0.5)))*1000</f>
        <v>243.0948501851056</v>
      </c>
      <c r="L18" s="576"/>
    </row>
    <row r="19" spans="1:12" ht="30" customHeight="1">
      <c r="A19" s="193"/>
      <c r="B19" s="383" t="s">
        <v>1498</v>
      </c>
      <c r="C19" s="361" t="s">
        <v>9</v>
      </c>
      <c r="D19" s="577" t="e">
        <f>IF(D15=1,D13/(380/3^0.5),(D13/(380*3^0.5)))</f>
        <v>#VALUE!</v>
      </c>
      <c r="E19" s="578"/>
      <c r="F19" s="196"/>
      <c r="G19" s="346"/>
      <c r="I19" s="378" t="s">
        <v>1498</v>
      </c>
      <c r="J19" s="361" t="s">
        <v>9</v>
      </c>
      <c r="K19" s="575" t="e">
        <f>IF(K15=1,K13/(380/3^0.5),(K13/(380*3^0.5)))</f>
        <v>#VALUE!</v>
      </c>
      <c r="L19" s="576"/>
    </row>
    <row r="20" spans="1:12" ht="30" customHeight="1" thickBot="1">
      <c r="A20" s="193"/>
      <c r="B20" s="384" t="s">
        <v>1507</v>
      </c>
      <c r="C20" s="380" t="s">
        <v>9</v>
      </c>
      <c r="D20" s="605">
        <f>D16/D18</f>
        <v>0.71083365142626709</v>
      </c>
      <c r="E20" s="606"/>
      <c r="F20" s="196"/>
      <c r="G20" s="346"/>
      <c r="I20" s="379" t="s">
        <v>1498</v>
      </c>
      <c r="J20" s="380" t="s">
        <v>9</v>
      </c>
      <c r="K20" s="609">
        <f>K16/K18</f>
        <v>1.0250000000000001</v>
      </c>
      <c r="L20" s="610"/>
    </row>
    <row r="21" spans="1:12" ht="9.75" customHeight="1">
      <c r="A21" s="193"/>
      <c r="B21" s="369" t="s">
        <v>1507</v>
      </c>
      <c r="C21" s="370" t="s">
        <v>9</v>
      </c>
      <c r="D21" s="590">
        <v>1</v>
      </c>
      <c r="E21" s="590"/>
      <c r="F21" s="371"/>
      <c r="G21" s="372"/>
      <c r="H21" s="373"/>
      <c r="I21" s="369" t="s">
        <v>1498</v>
      </c>
      <c r="J21" s="370" t="s">
        <v>9</v>
      </c>
      <c r="K21" s="590">
        <v>1</v>
      </c>
      <c r="L21" s="590"/>
    </row>
    <row r="22" spans="1:12" ht="6.75" customHeight="1">
      <c r="B22" s="359"/>
      <c r="C22" s="356"/>
      <c r="D22" s="367"/>
      <c r="E22" s="367"/>
      <c r="F22" s="196"/>
      <c r="G22" s="346"/>
      <c r="J22" s="356"/>
      <c r="K22" s="367"/>
      <c r="L22" s="367"/>
    </row>
    <row r="23" spans="1:12" ht="15.75" thickBot="1"/>
    <row r="24" spans="1:12" ht="200.25" customHeight="1" thickBot="1">
      <c r="B24" s="587"/>
      <c r="C24" s="588"/>
      <c r="D24" s="588"/>
      <c r="E24" s="589"/>
      <c r="I24" s="587"/>
      <c r="J24" s="588"/>
      <c r="K24" s="588"/>
      <c r="L24" s="589"/>
    </row>
    <row r="26" spans="1:12">
      <c r="D26" s="364"/>
    </row>
    <row r="27" spans="1:12">
      <c r="D27" s="365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  <mergeCell ref="K12:L12"/>
  </mergeCells>
  <conditionalFormatting sqref="O4 Q4">
    <cfRule type="cellIs" dxfId="25" priority="5" stopIfTrue="1" operator="greaterThan">
      <formula>0.89</formula>
    </cfRule>
    <cfRule type="cellIs" dxfId="2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D23" sqref="D23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11"/>
      <c r="C1" s="611"/>
      <c r="D1" s="611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92">
        <v>1084.1250458865841</v>
      </c>
      <c r="F5" s="388" t="s">
        <v>1575</v>
      </c>
      <c r="K5" s="387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8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158.5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148514500</v>
      </c>
    </row>
    <row r="10" spans="2:11" ht="20.100000000000001" customHeight="1">
      <c r="B10" s="214" t="s">
        <v>1417</v>
      </c>
      <c r="C10" s="215" t="s">
        <v>9</v>
      </c>
      <c r="D10" s="221">
        <f ca="1">RAB!K158</f>
        <v>182895757.729545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3657915.1545909001</v>
      </c>
    </row>
    <row r="12" spans="2:11" ht="9" customHeight="1">
      <c r="B12" s="612"/>
      <c r="C12" s="612"/>
      <c r="D12" s="612"/>
    </row>
    <row r="13" spans="2:11" ht="15.75" customHeight="1">
      <c r="B13" s="222"/>
      <c r="C13" s="222"/>
      <c r="D13" s="222"/>
    </row>
    <row r="14" spans="2:11" ht="33.75" customHeight="1">
      <c r="B14" s="335" t="s">
        <v>1349</v>
      </c>
      <c r="C14" s="336" t="s">
        <v>9</v>
      </c>
      <c r="D14" s="341" t="str">
        <f>RAB!G6</f>
        <v>PT AGUSTA JAYA BETON</v>
      </c>
      <c r="E14" s="223" t="s">
        <v>1424</v>
      </c>
    </row>
    <row r="15" spans="2:11" ht="20.100000000000001" customHeight="1">
      <c r="B15" s="337" t="s">
        <v>1418</v>
      </c>
      <c r="C15" s="338" t="s">
        <v>9</v>
      </c>
      <c r="D15" s="342" t="s">
        <v>1581</v>
      </c>
      <c r="E15" s="223" t="s">
        <v>1424</v>
      </c>
    </row>
    <row r="16" spans="2:11" ht="20.100000000000001" customHeight="1">
      <c r="B16" s="337" t="s">
        <v>1419</v>
      </c>
      <c r="C16" s="338" t="s">
        <v>9</v>
      </c>
      <c r="D16" s="342" t="s">
        <v>1422</v>
      </c>
      <c r="E16" s="223" t="s">
        <v>1424</v>
      </c>
    </row>
    <row r="17" spans="2:5" ht="20.100000000000001" customHeight="1">
      <c r="B17" s="337" t="s">
        <v>1420</v>
      </c>
      <c r="C17" s="338" t="s">
        <v>9</v>
      </c>
      <c r="D17" s="343">
        <v>5.5</v>
      </c>
      <c r="E17" s="223" t="s">
        <v>1424</v>
      </c>
    </row>
    <row r="18" spans="2:5" ht="20.100000000000001" hidden="1" customHeight="1">
      <c r="B18" s="337" t="s">
        <v>1510</v>
      </c>
      <c r="C18" s="338"/>
      <c r="D18" s="343">
        <f>IF((D17&lt;=11),1,3)</f>
        <v>1</v>
      </c>
      <c r="E18" s="223"/>
    </row>
    <row r="19" spans="2:5" ht="20.100000000000001" hidden="1" customHeight="1">
      <c r="B19" s="337" t="s">
        <v>1511</v>
      </c>
      <c r="C19" s="338"/>
      <c r="D19" s="343">
        <f>IF((D17&lt;=11),220,380)</f>
        <v>220</v>
      </c>
      <c r="E19" s="223"/>
    </row>
    <row r="20" spans="2:5" ht="20.100000000000001" customHeight="1">
      <c r="B20" s="337" t="s">
        <v>1421</v>
      </c>
      <c r="C20" s="338" t="s">
        <v>9</v>
      </c>
      <c r="D20" s="343">
        <v>164</v>
      </c>
      <c r="E20" s="223" t="s">
        <v>1424</v>
      </c>
    </row>
    <row r="21" spans="2:5" ht="20.100000000000001" hidden="1" customHeight="1">
      <c r="B21" s="337" t="s">
        <v>1510</v>
      </c>
      <c r="C21" s="338"/>
      <c r="D21" s="343">
        <f>IF((D20&lt;=11),1,3)</f>
        <v>3</v>
      </c>
      <c r="E21" s="223"/>
    </row>
    <row r="22" spans="2:5" ht="20.100000000000001" hidden="1" customHeight="1">
      <c r="B22" s="337" t="s">
        <v>1511</v>
      </c>
      <c r="C22" s="338"/>
      <c r="D22" s="343">
        <f>IF((D20&lt;=11),220,380)</f>
        <v>380</v>
      </c>
      <c r="E22" s="223"/>
    </row>
    <row r="23" spans="2:5" ht="20.100000000000001" customHeight="1">
      <c r="B23" s="337" t="s">
        <v>1323</v>
      </c>
      <c r="C23" s="338" t="s">
        <v>9</v>
      </c>
      <c r="D23" s="342">
        <v>1444.7</v>
      </c>
      <c r="E23" s="223" t="s">
        <v>1424</v>
      </c>
    </row>
    <row r="24" spans="2:5" ht="20.100000000000001" customHeight="1">
      <c r="B24" s="337" t="s">
        <v>1324</v>
      </c>
      <c r="C24" s="338" t="s">
        <v>9</v>
      </c>
      <c r="D24" s="342">
        <v>1444.7</v>
      </c>
      <c r="E24" s="223" t="s">
        <v>1424</v>
      </c>
    </row>
    <row r="25" spans="2:5" ht="20.100000000000001" customHeight="1">
      <c r="B25" s="337" t="s">
        <v>1423</v>
      </c>
      <c r="C25" s="338" t="s">
        <v>9</v>
      </c>
      <c r="D25" s="343">
        <v>937</v>
      </c>
      <c r="E25" s="223" t="s">
        <v>1424</v>
      </c>
    </row>
    <row r="26" spans="2:5" ht="20.100000000000001" customHeight="1">
      <c r="B26" s="339" t="s">
        <v>1325</v>
      </c>
      <c r="C26" s="340" t="s">
        <v>9</v>
      </c>
      <c r="D26" s="344">
        <v>40</v>
      </c>
      <c r="E26" s="223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topLeftCell="D1" zoomScale="85" zoomScaleNormal="85" workbookViewId="0">
      <pane ySplit="6" topLeftCell="A31" activePane="bottomLeft" state="frozen"/>
      <selection activeCell="H1093" sqref="H1093"/>
      <selection pane="bottomLeft" activeCell="F11" sqref="F11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42578125" style="225" bestFit="1" customWidth="1"/>
    <col min="9" max="9" width="14.140625" style="225" bestFit="1" customWidth="1"/>
    <col min="10" max="10" width="13.85546875" style="225" bestFit="1" customWidth="1"/>
    <col min="11" max="11" width="15.42578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19" t="s">
        <v>1327</v>
      </c>
      <c r="C3" s="619"/>
      <c r="D3" s="619"/>
      <c r="E3" s="619"/>
      <c r="F3" s="228" t="str">
        <f>DATA!D14</f>
        <v>PT AGUSTA JAYA BETON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13" t="s">
        <v>1319</v>
      </c>
      <c r="C5" s="613" t="s">
        <v>1328</v>
      </c>
      <c r="D5" s="618" t="s">
        <v>1329</v>
      </c>
      <c r="E5" s="618" t="s">
        <v>1330</v>
      </c>
      <c r="F5" s="613" t="s">
        <v>1331</v>
      </c>
      <c r="G5" s="613"/>
      <c r="H5" s="613"/>
      <c r="I5" s="613"/>
      <c r="J5" s="613"/>
      <c r="K5" s="613" t="s">
        <v>1332</v>
      </c>
      <c r="L5" s="613"/>
      <c r="M5" s="230"/>
      <c r="N5" s="616" t="s">
        <v>1333</v>
      </c>
      <c r="O5" s="618" t="s">
        <v>1334</v>
      </c>
      <c r="P5" s="618" t="s">
        <v>1335</v>
      </c>
      <c r="Q5" s="618" t="s">
        <v>1336</v>
      </c>
      <c r="R5" s="231"/>
      <c r="S5" s="232"/>
      <c r="T5" s="614" t="s">
        <v>1337</v>
      </c>
      <c r="U5" s="233"/>
    </row>
    <row r="6" spans="1:21" ht="20.100000000000001" customHeight="1">
      <c r="B6" s="613"/>
      <c r="C6" s="613"/>
      <c r="D6" s="613"/>
      <c r="E6" s="613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17"/>
      <c r="O6" s="613"/>
      <c r="P6" s="613"/>
      <c r="Q6" s="613"/>
      <c r="R6" s="231"/>
      <c r="S6" s="232"/>
      <c r="T6" s="613"/>
      <c r="U6" s="235"/>
    </row>
    <row r="7" spans="1:21" ht="20.100000000000001" customHeight="1">
      <c r="A7" s="236">
        <v>0</v>
      </c>
      <c r="B7" s="237">
        <v>2023</v>
      </c>
      <c r="C7" s="385">
        <f>DATA!D8*DATA!D26*8</f>
        <v>50720</v>
      </c>
      <c r="D7" s="239">
        <f>C7*4/24</f>
        <v>8453.3333333333339</v>
      </c>
      <c r="E7" s="239">
        <f>C7-D7</f>
        <v>42266.666666666664</v>
      </c>
      <c r="F7" s="240">
        <f ca="1">DATA!D10/1000000</f>
        <v>182.89575772954501</v>
      </c>
      <c r="G7" s="241">
        <f ca="1">DATA!$D$11/1000000</f>
        <v>3.6579151545909001</v>
      </c>
      <c r="H7" s="241">
        <f>C7*DATA!$D$5/1000000</f>
        <v>54.986822327367541</v>
      </c>
      <c r="I7" s="241">
        <f>(C7*DATA!$D$5*DATA!$D$7)/1000000</f>
        <v>1.2372035023657695</v>
      </c>
      <c r="J7" s="239">
        <f ca="1">SUM(F7:I7)</f>
        <v>242.77769871386923</v>
      </c>
      <c r="K7" s="242">
        <f>DATA!D9/1000000</f>
        <v>148.5145</v>
      </c>
      <c r="L7" s="239">
        <f>((D7*DATA!$D$23)/1000000)+((E7*DATA!$D$24)/1000000)</f>
        <v>73.275183999999996</v>
      </c>
      <c r="M7" s="239">
        <f>K7+L7</f>
        <v>221.78968399999999</v>
      </c>
      <c r="N7" s="239">
        <f ca="1">M7-J7</f>
        <v>-20.988014713869234</v>
      </c>
      <c r="O7" s="237">
        <v>1</v>
      </c>
      <c r="P7" s="239">
        <f ca="1">O7*N7</f>
        <v>-20.988014713869234</v>
      </c>
      <c r="Q7" s="239">
        <f ca="1">P7</f>
        <v>-20.988014713869234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76080</v>
      </c>
      <c r="D8" s="239">
        <f>C8*4/24</f>
        <v>12680</v>
      </c>
      <c r="E8" s="239">
        <f t="shared" ref="E8:E32" si="0">C8-D8</f>
        <v>63400</v>
      </c>
      <c r="F8" s="237"/>
      <c r="G8" s="241">
        <f ca="1">DATA!$D$11/1000000</f>
        <v>3.6579151545909001</v>
      </c>
      <c r="H8" s="241">
        <f>C8*DATA!$D$5/1000000</f>
        <v>82.480233491051322</v>
      </c>
      <c r="I8" s="241">
        <f>(C8*DATA!$D$5*DATA!$D$7)/1000000</f>
        <v>1.8558052535486544</v>
      </c>
      <c r="J8" s="239">
        <f t="shared" ref="J8:J32" ca="1" si="1">SUM(F8:I8)</f>
        <v>87.993953899190871</v>
      </c>
      <c r="K8" s="244"/>
      <c r="L8" s="239">
        <f>((D8*DATA!$D$23)/1000000)+((E8*DATA!$D$24)/1000000)</f>
        <v>109.91277600000001</v>
      </c>
      <c r="M8" s="239">
        <f t="shared" ref="M8:M32" si="2">K8+L8</f>
        <v>109.91277600000001</v>
      </c>
      <c r="N8" s="239">
        <f ca="1">M8-J8</f>
        <v>21.918822100809138</v>
      </c>
      <c r="O8" s="238">
        <f>1/(1+'[91]Asumsi I'!$C$3)^(KKF!A8)</f>
        <v>0.89285714285714279</v>
      </c>
      <c r="P8" s="239">
        <f ca="1">O8*N8</f>
        <v>19.570376875722442</v>
      </c>
      <c r="Q8" s="239">
        <f ca="1">Q7+P8</f>
        <v>-1.417637838146792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76080</v>
      </c>
      <c r="D9" s="239">
        <f t="shared" ref="D9:D32" si="5">C9*4/24</f>
        <v>12680</v>
      </c>
      <c r="E9" s="239">
        <f t="shared" si="0"/>
        <v>63400</v>
      </c>
      <c r="F9" s="237"/>
      <c r="G9" s="241">
        <f ca="1">DATA!$D$11/1000000</f>
        <v>3.6579151545909001</v>
      </c>
      <c r="H9" s="241">
        <f>C9*DATA!$D$5/1000000</f>
        <v>82.480233491051322</v>
      </c>
      <c r="I9" s="241">
        <f>(C9*DATA!$D$5*DATA!$D$7)/1000000</f>
        <v>1.8558052535486544</v>
      </c>
      <c r="J9" s="239">
        <f t="shared" ca="1" si="1"/>
        <v>87.993953899190871</v>
      </c>
      <c r="K9" s="239"/>
      <c r="L9" s="239">
        <f>((D9*DATA!$D$23)/1000000)+((E9*DATA!$D$24)/1000000)</f>
        <v>109.91277600000001</v>
      </c>
      <c r="M9" s="239">
        <f t="shared" si="2"/>
        <v>109.91277600000001</v>
      </c>
      <c r="N9" s="239">
        <f t="shared" ref="N9:N32" ca="1" si="6">M9-J9</f>
        <v>21.918822100809138</v>
      </c>
      <c r="O9" s="245">
        <f>1/(1+'[91]Asumsi I'!$C$3)^(KKF!A9)</f>
        <v>0.79719387755102034</v>
      </c>
      <c r="P9" s="239">
        <f t="shared" ref="P9:P32" ca="1" si="7">O9*N9</f>
        <v>17.473550781895039</v>
      </c>
      <c r="Q9" s="239">
        <f ca="1">Q8+P9</f>
        <v>16.055912943748247</v>
      </c>
      <c r="S9" s="227" t="str">
        <f t="shared" ca="1" si="3"/>
        <v/>
      </c>
      <c r="T9" s="243">
        <f ca="1">IF(Q7&gt;=0,"",IF(Q9&lt;0,"",IF(Q9=0,A9,(A9-(Q9/N9)))))</f>
        <v>1.2674828569754422</v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76080</v>
      </c>
      <c r="D10" s="239">
        <f t="shared" si="5"/>
        <v>12680</v>
      </c>
      <c r="E10" s="239">
        <f t="shared" si="0"/>
        <v>63400</v>
      </c>
      <c r="F10" s="237"/>
      <c r="G10" s="241">
        <f ca="1">DATA!$D$11/1000000</f>
        <v>3.6579151545909001</v>
      </c>
      <c r="H10" s="241">
        <f>C10*DATA!$D$5/1000000</f>
        <v>82.480233491051322</v>
      </c>
      <c r="I10" s="241">
        <f>(C10*DATA!$D$5*DATA!$D$7)/1000000</f>
        <v>1.8558052535486544</v>
      </c>
      <c r="J10" s="239">
        <f t="shared" ca="1" si="1"/>
        <v>87.993953899190871</v>
      </c>
      <c r="K10" s="237"/>
      <c r="L10" s="239">
        <f>((D10*DATA!$D$23)/1000000)+((E10*DATA!$D$24)/1000000)</f>
        <v>109.91277600000001</v>
      </c>
      <c r="M10" s="239">
        <f t="shared" si="2"/>
        <v>109.91277600000001</v>
      </c>
      <c r="N10" s="239">
        <f t="shared" ca="1" si="6"/>
        <v>21.918822100809138</v>
      </c>
      <c r="O10" s="238">
        <f>1/(1+'[91]Asumsi I'!$C$3)^(KKF!A10)</f>
        <v>0.71178024781341087</v>
      </c>
      <c r="P10" s="239">
        <f t="shared" ca="1" si="7"/>
        <v>15.601384626691996</v>
      </c>
      <c r="Q10" s="239">
        <f t="shared" ref="Q10:Q30" ca="1" si="9">Q9+P10</f>
        <v>31.657297570440242</v>
      </c>
      <c r="S10" s="227" t="str">
        <f t="shared" ca="1" si="3"/>
        <v/>
      </c>
      <c r="T10" s="243">
        <f t="shared" ref="T10:T32" ca="1" si="10">IF(Q8&gt;=0,"",IF(Q10&lt;0,"",IF(Q10=0,A10,(A10-(Q10/N10)))))</f>
        <v>1.5557026091620312</v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76080</v>
      </c>
      <c r="D11" s="239">
        <f t="shared" si="5"/>
        <v>12680</v>
      </c>
      <c r="E11" s="239">
        <f t="shared" si="0"/>
        <v>63400</v>
      </c>
      <c r="F11" s="237"/>
      <c r="G11" s="241">
        <f ca="1">DATA!$D$11/1000000</f>
        <v>3.6579151545909001</v>
      </c>
      <c r="H11" s="241">
        <f>C11*DATA!$D$5/1000000</f>
        <v>82.480233491051322</v>
      </c>
      <c r="I11" s="241">
        <f>(C11*DATA!$D$5*DATA!$D$7)/1000000</f>
        <v>1.8558052535486544</v>
      </c>
      <c r="J11" s="239">
        <f t="shared" ca="1" si="1"/>
        <v>87.993953899190871</v>
      </c>
      <c r="K11" s="237"/>
      <c r="L11" s="239">
        <f>((D11*DATA!$D$23)/1000000)+((E11*DATA!$D$24)/1000000)</f>
        <v>109.91277600000001</v>
      </c>
      <c r="M11" s="239">
        <f t="shared" si="2"/>
        <v>109.91277600000001</v>
      </c>
      <c r="N11" s="239">
        <f t="shared" ca="1" si="6"/>
        <v>21.918822100809138</v>
      </c>
      <c r="O11" s="238">
        <f>1/(1+'[91]Asumsi I'!$C$3)^(KKF!A11)</f>
        <v>0.63551807840483121</v>
      </c>
      <c r="P11" s="239">
        <f t="shared" ca="1" si="7"/>
        <v>13.929807702403568</v>
      </c>
      <c r="Q11" s="239">
        <f t="shared" ca="1" si="9"/>
        <v>45.587105272843814</v>
      </c>
      <c r="S11" s="227" t="str">
        <f t="shared" ca="1" si="3"/>
        <v/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76080</v>
      </c>
      <c r="D12" s="239">
        <f t="shared" si="5"/>
        <v>12680</v>
      </c>
      <c r="E12" s="239">
        <f t="shared" si="0"/>
        <v>63400</v>
      </c>
      <c r="F12" s="237"/>
      <c r="G12" s="241">
        <f ca="1">DATA!$D$11/1000000</f>
        <v>3.6579151545909001</v>
      </c>
      <c r="H12" s="241">
        <f>C12*DATA!$D$5/1000000</f>
        <v>82.480233491051322</v>
      </c>
      <c r="I12" s="241">
        <f>(C12*DATA!$D$5*DATA!$D$7)/1000000</f>
        <v>1.8558052535486544</v>
      </c>
      <c r="J12" s="239">
        <f t="shared" ca="1" si="1"/>
        <v>87.993953899190871</v>
      </c>
      <c r="K12" s="237"/>
      <c r="L12" s="239">
        <f>((D12*DATA!$D$23)/1000000)+((E12*DATA!$D$24)/1000000)</f>
        <v>109.91277600000001</v>
      </c>
      <c r="M12" s="239">
        <f t="shared" si="2"/>
        <v>109.91277600000001</v>
      </c>
      <c r="N12" s="239">
        <f t="shared" ca="1" si="6"/>
        <v>21.918822100809138</v>
      </c>
      <c r="O12" s="238">
        <f>1/(1+'[91]Asumsi I'!$C$3)^(KKF!A12)</f>
        <v>0.56742685571859919</v>
      </c>
      <c r="P12" s="239">
        <f t="shared" ca="1" si="7"/>
        <v>12.43732830571747</v>
      </c>
      <c r="Q12" s="239">
        <f t="shared" ca="1" si="9"/>
        <v>58.024433578561286</v>
      </c>
      <c r="S12" s="227" t="str">
        <f t="shared" ca="1" si="3"/>
        <v/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76080</v>
      </c>
      <c r="D13" s="239">
        <f t="shared" si="5"/>
        <v>12680</v>
      </c>
      <c r="E13" s="239">
        <f t="shared" si="0"/>
        <v>63400</v>
      </c>
      <c r="F13" s="237"/>
      <c r="G13" s="241">
        <f ca="1">DATA!$D$11/1000000</f>
        <v>3.6579151545909001</v>
      </c>
      <c r="H13" s="241">
        <f>C13*DATA!$D$5/1000000</f>
        <v>82.480233491051322</v>
      </c>
      <c r="I13" s="241">
        <f>(C13*DATA!$D$5*DATA!$D$7)/1000000</f>
        <v>1.8558052535486544</v>
      </c>
      <c r="J13" s="239">
        <f t="shared" ca="1" si="1"/>
        <v>87.993953899190871</v>
      </c>
      <c r="K13" s="237"/>
      <c r="L13" s="239">
        <f>((D13*DATA!$D$23)/1000000)+((E13*DATA!$D$24)/1000000)</f>
        <v>109.91277600000001</v>
      </c>
      <c r="M13" s="239">
        <f t="shared" si="2"/>
        <v>109.91277600000001</v>
      </c>
      <c r="N13" s="239">
        <f t="shared" ca="1" si="6"/>
        <v>21.918822100809138</v>
      </c>
      <c r="O13" s="238">
        <f>1/(1+'[91]Asumsi I'!$C$3)^(KKF!A13)</f>
        <v>0.50663112117732068</v>
      </c>
      <c r="P13" s="239">
        <f t="shared" ca="1" si="7"/>
        <v>11.104757415819169</v>
      </c>
      <c r="Q13" s="239">
        <f t="shared" ca="1" si="9"/>
        <v>69.129190994380451</v>
      </c>
      <c r="S13" s="227" t="str">
        <f t="shared" ca="1" si="3"/>
        <v/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76080</v>
      </c>
      <c r="D14" s="239">
        <f t="shared" si="5"/>
        <v>12680</v>
      </c>
      <c r="E14" s="239">
        <f t="shared" si="0"/>
        <v>63400</v>
      </c>
      <c r="F14" s="237"/>
      <c r="G14" s="241">
        <f ca="1">DATA!$D$11/1000000</f>
        <v>3.6579151545909001</v>
      </c>
      <c r="H14" s="241">
        <f>C14*DATA!$D$5/1000000</f>
        <v>82.480233491051322</v>
      </c>
      <c r="I14" s="241">
        <f>(C14*DATA!$D$5*DATA!$D$7)/1000000</f>
        <v>1.8558052535486544</v>
      </c>
      <c r="J14" s="239">
        <f t="shared" ca="1" si="1"/>
        <v>87.993953899190871</v>
      </c>
      <c r="K14" s="237"/>
      <c r="L14" s="239">
        <f>((D14*DATA!$D$23)/1000000)+((E14*DATA!$D$24)/1000000)</f>
        <v>109.91277600000001</v>
      </c>
      <c r="M14" s="239">
        <f t="shared" si="2"/>
        <v>109.91277600000001</v>
      </c>
      <c r="N14" s="239">
        <f t="shared" ca="1" si="6"/>
        <v>21.918822100809138</v>
      </c>
      <c r="O14" s="238">
        <f>1/(1+'[91]Asumsi I'!$C$3)^(KKF!A14)</f>
        <v>0.45234921533689343</v>
      </c>
      <c r="P14" s="239">
        <f t="shared" ca="1" si="7"/>
        <v>9.9149619784099716</v>
      </c>
      <c r="Q14" s="239">
        <f t="shared" ca="1" si="9"/>
        <v>79.044152972790428</v>
      </c>
      <c r="S14" s="227" t="str">
        <f t="shared" ca="1" si="3"/>
        <v/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76080</v>
      </c>
      <c r="D15" s="239">
        <f t="shared" si="5"/>
        <v>12680</v>
      </c>
      <c r="E15" s="239">
        <f t="shared" si="0"/>
        <v>63400</v>
      </c>
      <c r="F15" s="237"/>
      <c r="G15" s="241">
        <f ca="1">DATA!$D$11/1000000</f>
        <v>3.6579151545909001</v>
      </c>
      <c r="H15" s="241">
        <f>C15*DATA!$D$5/1000000</f>
        <v>82.480233491051322</v>
      </c>
      <c r="I15" s="241">
        <f>(C15*DATA!$D$5*DATA!$D$7)/1000000</f>
        <v>1.8558052535486544</v>
      </c>
      <c r="J15" s="239">
        <f t="shared" ca="1" si="1"/>
        <v>87.993953899190871</v>
      </c>
      <c r="K15" s="237"/>
      <c r="L15" s="239">
        <f>((D15*DATA!$D$23)/1000000)+((E15*DATA!$D$24)/1000000)</f>
        <v>109.91277600000001</v>
      </c>
      <c r="M15" s="239">
        <f t="shared" si="2"/>
        <v>109.91277600000001</v>
      </c>
      <c r="N15" s="239">
        <f t="shared" ca="1" si="6"/>
        <v>21.918822100809138</v>
      </c>
      <c r="O15" s="238">
        <f>1/(1+'[91]Asumsi I'!$C$3)^(KKF!A15)</f>
        <v>0.4038832279793691</v>
      </c>
      <c r="P15" s="239">
        <f t="shared" ca="1" si="7"/>
        <v>8.8526446235803302</v>
      </c>
      <c r="Q15" s="239">
        <f t="shared" ca="1" si="9"/>
        <v>87.89679759637076</v>
      </c>
      <c r="S15" s="227" t="str">
        <f t="shared" ca="1" si="3"/>
        <v/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76080</v>
      </c>
      <c r="D16" s="239">
        <f t="shared" si="5"/>
        <v>12680</v>
      </c>
      <c r="E16" s="239">
        <f t="shared" si="0"/>
        <v>63400</v>
      </c>
      <c r="F16" s="237"/>
      <c r="G16" s="241">
        <f ca="1">DATA!$D$11/1000000</f>
        <v>3.6579151545909001</v>
      </c>
      <c r="H16" s="241">
        <f>C16*DATA!$D$5/1000000</f>
        <v>82.480233491051322</v>
      </c>
      <c r="I16" s="241">
        <f>(C16*DATA!$D$5*DATA!$D$7)/1000000</f>
        <v>1.8558052535486544</v>
      </c>
      <c r="J16" s="239">
        <f t="shared" ca="1" si="1"/>
        <v>87.993953899190871</v>
      </c>
      <c r="K16" s="237"/>
      <c r="L16" s="239">
        <f>((D16*DATA!$D$23)/1000000)+((E16*DATA!$D$24)/1000000)</f>
        <v>109.91277600000001</v>
      </c>
      <c r="M16" s="239">
        <f t="shared" si="2"/>
        <v>109.91277600000001</v>
      </c>
      <c r="N16" s="239">
        <f t="shared" ca="1" si="6"/>
        <v>21.918822100809138</v>
      </c>
      <c r="O16" s="238">
        <f>1/(1+'[91]Asumsi I'!$C$3)^(KKF!A16)</f>
        <v>0.36061002498157957</v>
      </c>
      <c r="P16" s="239">
        <f t="shared" ca="1" si="7"/>
        <v>7.9041469853395814</v>
      </c>
      <c r="Q16" s="239">
        <f t="shared" ca="1" si="9"/>
        <v>95.80094458171034</v>
      </c>
      <c r="S16" s="227" t="str">
        <f t="shared" ca="1" si="3"/>
        <v/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76080</v>
      </c>
      <c r="D17" s="239">
        <f t="shared" si="5"/>
        <v>12680</v>
      </c>
      <c r="E17" s="239">
        <f t="shared" si="0"/>
        <v>63400</v>
      </c>
      <c r="F17" s="237"/>
      <c r="G17" s="241">
        <f ca="1">DATA!$D$11/1000000</f>
        <v>3.6579151545909001</v>
      </c>
      <c r="H17" s="241">
        <f>C17*DATA!$D$5/1000000</f>
        <v>82.480233491051322</v>
      </c>
      <c r="I17" s="241">
        <f>(C17*DATA!$D$5*DATA!$D$7)/1000000</f>
        <v>1.8558052535486544</v>
      </c>
      <c r="J17" s="239">
        <f t="shared" ca="1" si="1"/>
        <v>87.993953899190871</v>
      </c>
      <c r="K17" s="237"/>
      <c r="L17" s="239">
        <f>((D17*DATA!$D$23)/1000000)+((E17*DATA!$D$24)/1000000)</f>
        <v>109.91277600000001</v>
      </c>
      <c r="M17" s="239">
        <f t="shared" si="2"/>
        <v>109.91277600000001</v>
      </c>
      <c r="N17" s="239">
        <f t="shared" ca="1" si="6"/>
        <v>21.918822100809138</v>
      </c>
      <c r="O17" s="238">
        <f>1/(1+'[91]Asumsi I'!$C$3)^(KKF!A17)</f>
        <v>0.32197323659069599</v>
      </c>
      <c r="P17" s="239">
        <f t="shared" ca="1" si="7"/>
        <v>7.0572740940531968</v>
      </c>
      <c r="Q17" s="239">
        <f t="shared" ca="1" si="9"/>
        <v>102.85821867576354</v>
      </c>
      <c r="S17" s="227" t="str">
        <f t="shared" ca="1" si="3"/>
        <v/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76080</v>
      </c>
      <c r="D18" s="239">
        <f t="shared" si="5"/>
        <v>12680</v>
      </c>
      <c r="E18" s="239">
        <f t="shared" si="0"/>
        <v>63400</v>
      </c>
      <c r="F18" s="237"/>
      <c r="G18" s="241">
        <f ca="1">DATA!$D$11/1000000</f>
        <v>3.6579151545909001</v>
      </c>
      <c r="H18" s="241">
        <f>C18*DATA!$D$5/1000000</f>
        <v>82.480233491051322</v>
      </c>
      <c r="I18" s="241">
        <f>(C18*DATA!$D$5*DATA!$D$7)/1000000</f>
        <v>1.8558052535486544</v>
      </c>
      <c r="J18" s="239">
        <f t="shared" ca="1" si="1"/>
        <v>87.993953899190871</v>
      </c>
      <c r="K18" s="237"/>
      <c r="L18" s="239">
        <f>((D18*DATA!$D$23)/1000000)+((E18*DATA!$D$24)/1000000)</f>
        <v>109.91277600000001</v>
      </c>
      <c r="M18" s="239">
        <f t="shared" si="2"/>
        <v>109.91277600000001</v>
      </c>
      <c r="N18" s="239">
        <f t="shared" ca="1" si="6"/>
        <v>21.918822100809138</v>
      </c>
      <c r="O18" s="238">
        <f>1/(1+'[91]Asumsi I'!$C$3)^(KKF!A18)</f>
        <v>0.28747610409883567</v>
      </c>
      <c r="P18" s="239">
        <f t="shared" ca="1" si="7"/>
        <v>6.3011375839760673</v>
      </c>
      <c r="Q18" s="239">
        <f t="shared" ca="1" si="9"/>
        <v>109.15935625973961</v>
      </c>
      <c r="S18" s="227" t="str">
        <f t="shared" ca="1" si="3"/>
        <v/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76080</v>
      </c>
      <c r="D19" s="239">
        <f t="shared" si="5"/>
        <v>12680</v>
      </c>
      <c r="E19" s="239">
        <f t="shared" si="0"/>
        <v>63400</v>
      </c>
      <c r="F19" s="237"/>
      <c r="G19" s="241">
        <f ca="1">DATA!$D$11/1000000</f>
        <v>3.6579151545909001</v>
      </c>
      <c r="H19" s="241">
        <f>C19*DATA!$D$5/1000000</f>
        <v>82.480233491051322</v>
      </c>
      <c r="I19" s="241">
        <f>(C19*DATA!$D$5*DATA!$D$7)/1000000</f>
        <v>1.8558052535486544</v>
      </c>
      <c r="J19" s="239">
        <f t="shared" ca="1" si="1"/>
        <v>87.993953899190871</v>
      </c>
      <c r="K19" s="237"/>
      <c r="L19" s="239">
        <f>((D19*DATA!$D$23)/1000000)+((E19*DATA!$D$24)/1000000)</f>
        <v>109.91277600000001</v>
      </c>
      <c r="M19" s="239">
        <f t="shared" si="2"/>
        <v>109.91277600000001</v>
      </c>
      <c r="N19" s="239">
        <f t="shared" ca="1" si="6"/>
        <v>21.918822100809138</v>
      </c>
      <c r="O19" s="238">
        <f>1/(1+'[91]Asumsi I'!$C$3)^(KKF!A19)</f>
        <v>0.25667509294538904</v>
      </c>
      <c r="P19" s="239">
        <f t="shared" ca="1" si="7"/>
        <v>5.626015699978633</v>
      </c>
      <c r="Q19" s="239">
        <f t="shared" ca="1" si="9"/>
        <v>114.78537195971825</v>
      </c>
      <c r="S19" s="227" t="str">
        <f t="shared" ca="1" si="3"/>
        <v/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76080</v>
      </c>
      <c r="D20" s="239">
        <f t="shared" si="5"/>
        <v>12680</v>
      </c>
      <c r="E20" s="239">
        <f t="shared" si="0"/>
        <v>63400</v>
      </c>
      <c r="F20" s="237"/>
      <c r="G20" s="241">
        <f ca="1">DATA!$D$11/1000000</f>
        <v>3.6579151545909001</v>
      </c>
      <c r="H20" s="241">
        <f>C20*DATA!$D$5/1000000</f>
        <v>82.480233491051322</v>
      </c>
      <c r="I20" s="241">
        <f>(C20*DATA!$D$5*DATA!$D$7)/1000000</f>
        <v>1.8558052535486544</v>
      </c>
      <c r="J20" s="239">
        <f t="shared" ca="1" si="1"/>
        <v>87.993953899190871</v>
      </c>
      <c r="K20" s="237"/>
      <c r="L20" s="239">
        <f>((D20*DATA!$D$23)/1000000)+((E20*DATA!$D$24)/1000000)</f>
        <v>109.91277600000001</v>
      </c>
      <c r="M20" s="239">
        <f t="shared" si="2"/>
        <v>109.91277600000001</v>
      </c>
      <c r="N20" s="239">
        <f t="shared" ca="1" si="6"/>
        <v>21.918822100809138</v>
      </c>
      <c r="O20" s="238">
        <f>1/(1+'[91]Asumsi I'!$C$3)^(KKF!A20)</f>
        <v>0.22917419012981158</v>
      </c>
      <c r="P20" s="239">
        <f t="shared" ca="1" si="7"/>
        <v>5.0232283035523491</v>
      </c>
      <c r="Q20" s="239">
        <f t="shared" ca="1" si="9"/>
        <v>119.80860026327059</v>
      </c>
      <c r="S20" s="227" t="str">
        <f t="shared" ca="1" si="3"/>
        <v/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76080</v>
      </c>
      <c r="D21" s="239">
        <f t="shared" si="5"/>
        <v>12680</v>
      </c>
      <c r="E21" s="239">
        <f t="shared" si="0"/>
        <v>63400</v>
      </c>
      <c r="F21" s="237"/>
      <c r="G21" s="241">
        <f ca="1">DATA!$D$11/1000000</f>
        <v>3.6579151545909001</v>
      </c>
      <c r="H21" s="241">
        <f>C21*DATA!$D$5/1000000</f>
        <v>82.480233491051322</v>
      </c>
      <c r="I21" s="241">
        <f>(C21*DATA!$D$5*DATA!$D$7)/1000000</f>
        <v>1.8558052535486544</v>
      </c>
      <c r="J21" s="239">
        <f t="shared" ca="1" si="1"/>
        <v>87.993953899190871</v>
      </c>
      <c r="K21" s="237"/>
      <c r="L21" s="239">
        <f>((D21*DATA!$D$23)/1000000)+((E21*DATA!$D$24)/1000000)</f>
        <v>109.91277600000001</v>
      </c>
      <c r="M21" s="239">
        <f t="shared" si="2"/>
        <v>109.91277600000001</v>
      </c>
      <c r="N21" s="239">
        <f t="shared" ca="1" si="6"/>
        <v>21.918822100809138</v>
      </c>
      <c r="O21" s="238">
        <f>1/(1+'[91]Asumsi I'!$C$3)^(KKF!A21)</f>
        <v>0.20461981261590317</v>
      </c>
      <c r="P21" s="239">
        <f t="shared" ca="1" si="7"/>
        <v>4.4850252710288832</v>
      </c>
      <c r="Q21" s="239">
        <f t="shared" ca="1" si="9"/>
        <v>124.29362553429948</v>
      </c>
      <c r="S21" s="227" t="str">
        <f t="shared" ca="1" si="3"/>
        <v/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76080</v>
      </c>
      <c r="D22" s="239">
        <f t="shared" si="5"/>
        <v>12680</v>
      </c>
      <c r="E22" s="239">
        <f t="shared" si="0"/>
        <v>63400</v>
      </c>
      <c r="F22" s="237"/>
      <c r="G22" s="241">
        <f ca="1">DATA!$D$11/1000000</f>
        <v>3.6579151545909001</v>
      </c>
      <c r="H22" s="241">
        <f>C22*DATA!$D$5/1000000</f>
        <v>82.480233491051322</v>
      </c>
      <c r="I22" s="241">
        <f>(C22*DATA!$D$5*DATA!$D$7)/1000000</f>
        <v>1.8558052535486544</v>
      </c>
      <c r="J22" s="239">
        <f t="shared" ca="1" si="1"/>
        <v>87.993953899190871</v>
      </c>
      <c r="K22" s="237"/>
      <c r="L22" s="239">
        <f>((D22*DATA!$D$23)/1000000)+((E22*DATA!$D$24)/1000000)</f>
        <v>109.91277600000001</v>
      </c>
      <c r="M22" s="239">
        <f t="shared" si="2"/>
        <v>109.91277600000001</v>
      </c>
      <c r="N22" s="239">
        <f t="shared" ca="1" si="6"/>
        <v>21.918822100809138</v>
      </c>
      <c r="O22" s="238">
        <f>1/(1+'[91]Asumsi I'!$C$3)^(KKF!A22)</f>
        <v>0.18269626126419927</v>
      </c>
      <c r="P22" s="239">
        <f t="shared" ca="1" si="7"/>
        <v>4.0044868491329311</v>
      </c>
      <c r="Q22" s="239">
        <f t="shared" ca="1" si="9"/>
        <v>128.2981123834324</v>
      </c>
      <c r="S22" s="227" t="str">
        <f t="shared" ca="1" si="3"/>
        <v/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76080</v>
      </c>
      <c r="D23" s="239">
        <f t="shared" si="5"/>
        <v>12680</v>
      </c>
      <c r="E23" s="239">
        <f t="shared" si="0"/>
        <v>63400</v>
      </c>
      <c r="F23" s="237"/>
      <c r="G23" s="241">
        <f ca="1">DATA!$D$11/1000000</f>
        <v>3.6579151545909001</v>
      </c>
      <c r="H23" s="241">
        <f>C23*DATA!$D$5/1000000</f>
        <v>82.480233491051322</v>
      </c>
      <c r="I23" s="241">
        <f>(C23*DATA!$D$5*DATA!$D$7)/1000000</f>
        <v>1.8558052535486544</v>
      </c>
      <c r="J23" s="239">
        <f t="shared" ca="1" si="1"/>
        <v>87.993953899190871</v>
      </c>
      <c r="K23" s="237"/>
      <c r="L23" s="239">
        <f>((D23*DATA!$D$23)/1000000)+((E23*DATA!$D$24)/1000000)</f>
        <v>109.91277600000001</v>
      </c>
      <c r="M23" s="239">
        <f t="shared" si="2"/>
        <v>109.91277600000001</v>
      </c>
      <c r="N23" s="239">
        <f t="shared" ca="1" si="6"/>
        <v>21.918822100809138</v>
      </c>
      <c r="O23" s="238">
        <f>1/(1+'[91]Asumsi I'!$C$3)^(KKF!A23)</f>
        <v>0.16312166184303503</v>
      </c>
      <c r="P23" s="239">
        <f t="shared" ca="1" si="7"/>
        <v>3.5754346867258309</v>
      </c>
      <c r="Q23" s="239">
        <f t="shared" ca="1" si="9"/>
        <v>131.87354707015822</v>
      </c>
      <c r="S23" s="227" t="str">
        <f t="shared" ca="1" si="3"/>
        <v/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76080</v>
      </c>
      <c r="D24" s="239">
        <f t="shared" si="5"/>
        <v>12680</v>
      </c>
      <c r="E24" s="239">
        <f t="shared" si="0"/>
        <v>63400</v>
      </c>
      <c r="F24" s="237"/>
      <c r="G24" s="241">
        <f ca="1">DATA!$D$11/1000000</f>
        <v>3.6579151545909001</v>
      </c>
      <c r="H24" s="241">
        <f>C24*DATA!$D$5/1000000</f>
        <v>82.480233491051322</v>
      </c>
      <c r="I24" s="241">
        <f>(C24*DATA!$D$5*DATA!$D$7)/1000000</f>
        <v>1.8558052535486544</v>
      </c>
      <c r="J24" s="239">
        <f t="shared" ca="1" si="1"/>
        <v>87.993953899190871</v>
      </c>
      <c r="K24" s="237"/>
      <c r="L24" s="239">
        <f>((D24*DATA!$D$23)/1000000)+((E24*DATA!$D$24)/1000000)</f>
        <v>109.91277600000001</v>
      </c>
      <c r="M24" s="239">
        <f t="shared" si="2"/>
        <v>109.91277600000001</v>
      </c>
      <c r="N24" s="239">
        <f t="shared" ca="1" si="6"/>
        <v>21.918822100809138</v>
      </c>
      <c r="O24" s="238">
        <f>1/(1+'[91]Asumsi I'!$C$3)^(KKF!A24)</f>
        <v>0.14564434093128129</v>
      </c>
      <c r="P24" s="239">
        <f t="shared" ca="1" si="7"/>
        <v>3.192352398862349</v>
      </c>
      <c r="Q24" s="239">
        <f t="shared" ca="1" si="9"/>
        <v>135.06589946902056</v>
      </c>
      <c r="S24" s="227" t="str">
        <f t="shared" ca="1" si="3"/>
        <v/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76080</v>
      </c>
      <c r="D25" s="239">
        <f t="shared" si="5"/>
        <v>12680</v>
      </c>
      <c r="E25" s="239">
        <f t="shared" si="0"/>
        <v>63400</v>
      </c>
      <c r="F25" s="237"/>
      <c r="G25" s="241">
        <f ca="1">DATA!$D$11/1000000</f>
        <v>3.6579151545909001</v>
      </c>
      <c r="H25" s="241">
        <f>C25*DATA!$D$5/1000000</f>
        <v>82.480233491051322</v>
      </c>
      <c r="I25" s="241">
        <f>(C25*DATA!$D$5*DATA!$D$7)/1000000</f>
        <v>1.8558052535486544</v>
      </c>
      <c r="J25" s="239">
        <f t="shared" ca="1" si="1"/>
        <v>87.993953899190871</v>
      </c>
      <c r="K25" s="237"/>
      <c r="L25" s="239">
        <f>((D25*DATA!$D$23)/1000000)+((E25*DATA!$D$24)/1000000)</f>
        <v>109.91277600000001</v>
      </c>
      <c r="M25" s="239">
        <f t="shared" si="2"/>
        <v>109.91277600000001</v>
      </c>
      <c r="N25" s="239">
        <f t="shared" ca="1" si="6"/>
        <v>21.918822100809138</v>
      </c>
      <c r="O25" s="238">
        <f>1/(1+'[91]Asumsi I'!$C$3)^(KKF!A25)</f>
        <v>0.13003959011721541</v>
      </c>
      <c r="P25" s="239">
        <f t="shared" ca="1" si="7"/>
        <v>2.8503146418413827</v>
      </c>
      <c r="Q25" s="239">
        <f t="shared" ca="1" si="9"/>
        <v>137.91621411086194</v>
      </c>
      <c r="S25" s="227" t="str">
        <f t="shared" ca="1" si="3"/>
        <v/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76080</v>
      </c>
      <c r="D26" s="239">
        <f t="shared" si="5"/>
        <v>12680</v>
      </c>
      <c r="E26" s="239">
        <f t="shared" si="0"/>
        <v>63400</v>
      </c>
      <c r="F26" s="237"/>
      <c r="G26" s="241">
        <f ca="1">DATA!$D$11/1000000</f>
        <v>3.6579151545909001</v>
      </c>
      <c r="H26" s="241">
        <f>C26*DATA!$D$5/1000000</f>
        <v>82.480233491051322</v>
      </c>
      <c r="I26" s="241">
        <f>(C26*DATA!$D$5*DATA!$D$7)/1000000</f>
        <v>1.8558052535486544</v>
      </c>
      <c r="J26" s="239">
        <f t="shared" ca="1" si="1"/>
        <v>87.993953899190871</v>
      </c>
      <c r="K26" s="237"/>
      <c r="L26" s="239">
        <f>((D26*DATA!$D$23)/1000000)+((E26*DATA!$D$24)/1000000)</f>
        <v>109.91277600000001</v>
      </c>
      <c r="M26" s="239">
        <f t="shared" si="2"/>
        <v>109.91277600000001</v>
      </c>
      <c r="N26" s="239">
        <f t="shared" ca="1" si="6"/>
        <v>21.918822100809138</v>
      </c>
      <c r="O26" s="238">
        <f>1/(1+'[91]Asumsi I'!$C$3)^(KKF!A26)</f>
        <v>0.1161067768903709</v>
      </c>
      <c r="P26" s="239">
        <f t="shared" ca="1" si="7"/>
        <v>2.5449237873583774</v>
      </c>
      <c r="Q26" s="239">
        <f t="shared" ca="1" si="9"/>
        <v>140.46113789822033</v>
      </c>
      <c r="S26" s="227" t="str">
        <f t="shared" ca="1" si="3"/>
        <v/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76080</v>
      </c>
      <c r="D27" s="239">
        <f t="shared" si="5"/>
        <v>12680</v>
      </c>
      <c r="E27" s="239">
        <f t="shared" si="0"/>
        <v>63400</v>
      </c>
      <c r="F27" s="237"/>
      <c r="G27" s="241">
        <f ca="1">DATA!$D$11/1000000</f>
        <v>3.6579151545909001</v>
      </c>
      <c r="H27" s="241">
        <f>C27*DATA!$D$5/1000000</f>
        <v>82.480233491051322</v>
      </c>
      <c r="I27" s="241">
        <f>(C27*DATA!$D$5*DATA!$D$7)/1000000</f>
        <v>1.8558052535486544</v>
      </c>
      <c r="J27" s="239">
        <f t="shared" ca="1" si="1"/>
        <v>87.993953899190871</v>
      </c>
      <c r="K27" s="237"/>
      <c r="L27" s="239">
        <f>((D27*DATA!$D$23)/1000000)+((E27*DATA!$D$24)/1000000)</f>
        <v>109.91277600000001</v>
      </c>
      <c r="M27" s="239">
        <f t="shared" si="2"/>
        <v>109.91277600000001</v>
      </c>
      <c r="N27" s="239">
        <f t="shared" ca="1" si="6"/>
        <v>21.918822100809138</v>
      </c>
      <c r="O27" s="238">
        <f>1/(1+'[91]Asumsi I'!$C$3)^(KKF!A27)</f>
        <v>0.1036667650806883</v>
      </c>
      <c r="P27" s="239">
        <f t="shared" ca="1" si="7"/>
        <v>2.2722533815699797</v>
      </c>
      <c r="Q27" s="239">
        <f t="shared" ca="1" si="9"/>
        <v>142.73339127979031</v>
      </c>
      <c r="S27" s="227" t="str">
        <f t="shared" ca="1" si="3"/>
        <v/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76080</v>
      </c>
      <c r="D28" s="239">
        <f t="shared" si="5"/>
        <v>12680</v>
      </c>
      <c r="E28" s="239">
        <f t="shared" si="0"/>
        <v>63400</v>
      </c>
      <c r="F28" s="237"/>
      <c r="G28" s="241">
        <f ca="1">DATA!$D$11/1000000</f>
        <v>3.6579151545909001</v>
      </c>
      <c r="H28" s="241">
        <f>C28*DATA!$D$5/1000000</f>
        <v>82.480233491051322</v>
      </c>
      <c r="I28" s="241">
        <f>(C28*DATA!$D$5*DATA!$D$7)/1000000</f>
        <v>1.8558052535486544</v>
      </c>
      <c r="J28" s="239">
        <f t="shared" ca="1" si="1"/>
        <v>87.993953899190871</v>
      </c>
      <c r="K28" s="237"/>
      <c r="L28" s="239">
        <f>((D28*DATA!$D$23)/1000000)+((E28*DATA!$D$24)/1000000)</f>
        <v>109.91277600000001</v>
      </c>
      <c r="M28" s="239">
        <f t="shared" si="2"/>
        <v>109.91277600000001</v>
      </c>
      <c r="N28" s="239">
        <f t="shared" ca="1" si="6"/>
        <v>21.918822100809138</v>
      </c>
      <c r="O28" s="238">
        <f>1/(1+'[91]Asumsi I'!$C$3)^(KKF!A28)</f>
        <v>9.2559611679185971E-2</v>
      </c>
      <c r="P28" s="239">
        <f t="shared" ca="1" si="7"/>
        <v>2.0287976621160531</v>
      </c>
      <c r="Q28" s="239">
        <f t="shared" ca="1" si="9"/>
        <v>144.76218894190637</v>
      </c>
      <c r="S28" s="227" t="str">
        <f t="shared" ca="1" si="3"/>
        <v/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76080</v>
      </c>
      <c r="D29" s="239">
        <f t="shared" si="5"/>
        <v>12680</v>
      </c>
      <c r="E29" s="239">
        <f t="shared" si="0"/>
        <v>63400</v>
      </c>
      <c r="F29" s="237"/>
      <c r="G29" s="241">
        <f ca="1">DATA!$D$11/1000000</f>
        <v>3.6579151545909001</v>
      </c>
      <c r="H29" s="241">
        <f>C29*DATA!$D$5/1000000</f>
        <v>82.480233491051322</v>
      </c>
      <c r="I29" s="241">
        <f>(C29*DATA!$D$5*DATA!$D$7)/1000000</f>
        <v>1.8558052535486544</v>
      </c>
      <c r="J29" s="239">
        <f t="shared" ca="1" si="1"/>
        <v>87.993953899190871</v>
      </c>
      <c r="K29" s="237"/>
      <c r="L29" s="239">
        <f>((D29*DATA!$D$23)/1000000)+((E29*DATA!$D$24)/1000000)</f>
        <v>109.91277600000001</v>
      </c>
      <c r="M29" s="239">
        <f t="shared" si="2"/>
        <v>109.91277600000001</v>
      </c>
      <c r="N29" s="239">
        <f t="shared" ca="1" si="6"/>
        <v>21.918822100809138</v>
      </c>
      <c r="O29" s="238">
        <f>1/(1+'[91]Asumsi I'!$C$3)^(KKF!A29)</f>
        <v>8.2642510427844609E-2</v>
      </c>
      <c r="P29" s="239">
        <f t="shared" ca="1" si="7"/>
        <v>1.8114264840321901</v>
      </c>
      <c r="Q29" s="239">
        <f t="shared" ca="1" si="9"/>
        <v>146.57361542593856</v>
      </c>
      <c r="S29" s="227" t="str">
        <f t="shared" ca="1" si="3"/>
        <v/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76080</v>
      </c>
      <c r="D30" s="239">
        <f t="shared" si="5"/>
        <v>12680</v>
      </c>
      <c r="E30" s="239">
        <f t="shared" si="0"/>
        <v>63400</v>
      </c>
      <c r="F30" s="237"/>
      <c r="G30" s="241">
        <f ca="1">DATA!$D$11/1000000</f>
        <v>3.6579151545909001</v>
      </c>
      <c r="H30" s="241">
        <f>C30*DATA!$D$5/1000000</f>
        <v>82.480233491051322</v>
      </c>
      <c r="I30" s="241">
        <f>(C30*DATA!$D$5*DATA!$D$7)/1000000</f>
        <v>1.8558052535486544</v>
      </c>
      <c r="J30" s="239">
        <f t="shared" ca="1" si="1"/>
        <v>87.993953899190871</v>
      </c>
      <c r="K30" s="237"/>
      <c r="L30" s="239">
        <f>((D30*DATA!$D$23)/1000000)+((E30*DATA!$D$24)/1000000)</f>
        <v>109.91277600000001</v>
      </c>
      <c r="M30" s="239">
        <f t="shared" si="2"/>
        <v>109.91277600000001</v>
      </c>
      <c r="N30" s="239">
        <f t="shared" ca="1" si="6"/>
        <v>21.918822100809138</v>
      </c>
      <c r="O30" s="238">
        <f>1/(1+'[91]Asumsi I'!$C$3)^(KKF!A30)</f>
        <v>7.3787955739146982E-2</v>
      </c>
      <c r="P30" s="239">
        <f t="shared" ca="1" si="7"/>
        <v>1.6173450750287413</v>
      </c>
      <c r="Q30" s="239">
        <f t="shared" ca="1" si="9"/>
        <v>148.19096050096729</v>
      </c>
      <c r="S30" s="227" t="str">
        <f t="shared" ca="1" si="3"/>
        <v/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76080</v>
      </c>
      <c r="D31" s="239">
        <f t="shared" si="5"/>
        <v>12680</v>
      </c>
      <c r="E31" s="239">
        <f t="shared" si="0"/>
        <v>63400</v>
      </c>
      <c r="F31" s="237"/>
      <c r="G31" s="241">
        <f ca="1">DATA!$D$11/1000000</f>
        <v>3.6579151545909001</v>
      </c>
      <c r="H31" s="241">
        <f>C31*DATA!$D$5/1000000</f>
        <v>82.480233491051322</v>
      </c>
      <c r="I31" s="241">
        <f>(C31*DATA!$D$5*DATA!$D$7)/1000000</f>
        <v>1.8558052535486544</v>
      </c>
      <c r="J31" s="239">
        <f t="shared" ca="1" si="1"/>
        <v>87.993953899190871</v>
      </c>
      <c r="K31" s="237"/>
      <c r="L31" s="239">
        <f>((D31*DATA!$D$23)/1000000)+((E31*DATA!$D$24)/1000000)</f>
        <v>109.91277600000001</v>
      </c>
      <c r="M31" s="239">
        <f t="shared" si="2"/>
        <v>109.91277600000001</v>
      </c>
      <c r="N31" s="239">
        <f t="shared" ca="1" si="6"/>
        <v>21.918822100809138</v>
      </c>
      <c r="O31" s="238">
        <f>1/(1+'[91]Asumsi I'!$C$3)^(KKF!A31)</f>
        <v>6.5882103338524081E-2</v>
      </c>
      <c r="P31" s="239">
        <f t="shared" ca="1" si="7"/>
        <v>1.4440581027042332</v>
      </c>
      <c r="Q31" s="239">
        <f ca="1">Q30+P31</f>
        <v>149.63501860367154</v>
      </c>
      <c r="S31" s="227" t="str">
        <f t="shared" ca="1" si="3"/>
        <v/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76080</v>
      </c>
      <c r="D32" s="239">
        <f t="shared" si="5"/>
        <v>12680</v>
      </c>
      <c r="E32" s="239">
        <f t="shared" si="0"/>
        <v>63400</v>
      </c>
      <c r="F32" s="237"/>
      <c r="G32" s="241">
        <f ca="1">DATA!$D$11/1000000</f>
        <v>3.6579151545909001</v>
      </c>
      <c r="H32" s="241">
        <f>C32*DATA!$D$5/1000000</f>
        <v>82.480233491051322</v>
      </c>
      <c r="I32" s="241">
        <f>(C32*DATA!$D$5*DATA!$D$7)/1000000</f>
        <v>1.8558052535486544</v>
      </c>
      <c r="J32" s="239">
        <f t="shared" ca="1" si="1"/>
        <v>87.993953899190871</v>
      </c>
      <c r="K32" s="237"/>
      <c r="L32" s="239">
        <f>((D32*DATA!$D$23)/1000000)+((E32*DATA!$D$24)/1000000)</f>
        <v>109.91277600000001</v>
      </c>
      <c r="M32" s="239">
        <f t="shared" si="2"/>
        <v>109.91277600000001</v>
      </c>
      <c r="N32" s="239">
        <f t="shared" ca="1" si="6"/>
        <v>21.918822100809138</v>
      </c>
      <c r="O32" s="238">
        <f>1/(1+'[91]Asumsi I'!$C$3)^(KKF!A32)</f>
        <v>5.8823306552253637E-2</v>
      </c>
      <c r="P32" s="239">
        <f t="shared" ca="1" si="7"/>
        <v>1.2893375917002079</v>
      </c>
      <c r="Q32" s="239">
        <f ca="1">Q31+P32</f>
        <v>150.92435619537176</v>
      </c>
      <c r="S32" s="227" t="str">
        <f t="shared" ca="1" si="3"/>
        <v/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15" t="s">
        <v>1344</v>
      </c>
      <c r="G33" s="615"/>
      <c r="H33" s="615"/>
      <c r="I33" s="247"/>
      <c r="J33" s="248">
        <f ca="1">SUM(J7:J32)</f>
        <v>2442.6265461936414</v>
      </c>
      <c r="K33" s="615" t="s">
        <v>1345</v>
      </c>
      <c r="L33" s="615"/>
      <c r="M33" s="248">
        <f>SUM(M7:M32)</f>
        <v>2969.609084000002</v>
      </c>
      <c r="N33" s="246"/>
      <c r="O33" s="246"/>
      <c r="P33" s="249"/>
      <c r="Q33" s="249"/>
      <c r="S33" s="227">
        <f ca="1">COUNTIF(S7:S32,"a")</f>
        <v>2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11.076220136159007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>
        <f ca="1">AVERAGE(T7:T32)</f>
        <v>1.4115927330687366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1.2157442113398631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134.75388946015329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1.0443494547774348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3" priority="1" stopIfTrue="1" operator="greaterThanOrEqual">
      <formula>$F$7</formula>
    </cfRule>
    <cfRule type="cellIs" dxfId="22" priority="2" stopIfTrue="1" operator="lessThan">
      <formula>$F$7</formula>
    </cfRule>
  </conditionalFormatting>
  <conditionalFormatting sqref="Q7:Q32">
    <cfRule type="cellIs" dxfId="21" priority="3" operator="lessThan">
      <formula>0</formula>
    </cfRule>
    <cfRule type="cellIs" dxfId="20" priority="4" operator="lessThan">
      <formula>0</formula>
    </cfRule>
    <cfRule type="cellIs" dxfId="19" priority="5" operator="lessThan">
      <formula>-6395.81</formula>
    </cfRule>
    <cfRule type="cellIs" dxfId="1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73"/>
  <sheetViews>
    <sheetView showGridLines="0" zoomScale="70" zoomScaleNormal="70" zoomScaleSheetLayoutView="70" workbookViewId="0">
      <pane ySplit="13" topLeftCell="A128" activePane="bottomLeft" state="frozen"/>
      <selection activeCell="H1093" sqref="H1093"/>
      <selection pane="bottomLeft" activeCell="D151" sqref="D151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9" customWidth="1"/>
    <col min="4" max="4" width="13.7109375" style="329" customWidth="1"/>
    <col min="5" max="5" width="12.42578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31" t="s">
        <v>1006</v>
      </c>
      <c r="P3" s="631"/>
      <c r="Q3" s="269"/>
      <c r="T3" s="267"/>
      <c r="U3" s="268" t="s">
        <v>1011</v>
      </c>
      <c r="V3" s="267"/>
    </row>
    <row r="4" spans="1:22" ht="15.75" customHeight="1">
      <c r="B4" s="632" t="s">
        <v>993</v>
      </c>
      <c r="C4" s="632"/>
      <c r="D4" s="632"/>
      <c r="E4" s="632"/>
      <c r="F4" s="632"/>
      <c r="G4" s="632"/>
      <c r="H4" s="632"/>
      <c r="I4" s="632"/>
      <c r="J4" s="632"/>
      <c r="K4" s="632"/>
      <c r="O4" s="631"/>
      <c r="P4" s="631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53" t="s">
        <v>1656</v>
      </c>
      <c r="H6" s="553"/>
      <c r="I6" s="553"/>
      <c r="J6" s="553"/>
      <c r="K6" s="553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1657</v>
      </c>
      <c r="H7" s="27"/>
      <c r="I7" s="27"/>
      <c r="J7" s="107"/>
      <c r="K7" s="439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34" t="s">
        <v>0</v>
      </c>
      <c r="C11" s="636" t="s">
        <v>1</v>
      </c>
      <c r="D11" s="639" t="s">
        <v>32</v>
      </c>
      <c r="E11" s="639" t="s">
        <v>33</v>
      </c>
      <c r="F11" s="639" t="s">
        <v>2</v>
      </c>
      <c r="G11" s="641" t="s">
        <v>31</v>
      </c>
      <c r="H11" s="639" t="s">
        <v>3</v>
      </c>
      <c r="I11" s="639"/>
      <c r="J11" s="639"/>
      <c r="K11" s="646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35"/>
      <c r="C12" s="637"/>
      <c r="D12" s="640"/>
      <c r="E12" s="640"/>
      <c r="F12" s="640"/>
      <c r="G12" s="642"/>
      <c r="H12" s="644" t="s">
        <v>36</v>
      </c>
      <c r="I12" s="644" t="s">
        <v>5</v>
      </c>
      <c r="J12" s="640" t="s">
        <v>37</v>
      </c>
      <c r="K12" s="647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35"/>
      <c r="C13" s="638"/>
      <c r="D13" s="640"/>
      <c r="E13" s="640"/>
      <c r="F13" s="640"/>
      <c r="G13" s="643"/>
      <c r="H13" s="645"/>
      <c r="I13" s="645"/>
      <c r="J13" s="640"/>
      <c r="K13" s="647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77" t="s">
        <v>470</v>
      </c>
      <c r="C15" s="478" t="s">
        <v>1576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20" ca="1" si="0">IF(OR(D15="MDU",D15="MDU-KD"),(IF($O$3="RAB NON MDU","PLN KD",G15*F15)),0)</f>
        <v>0</v>
      </c>
      <c r="I15" s="284">
        <f t="shared" ref="I15:I20" ca="1" si="1">IF(D15="HDW",G15*F15,0)</f>
        <v>0</v>
      </c>
      <c r="J15" s="284">
        <f t="shared" ref="J15:J20" ca="1" si="2">IF(D15="JASA",G15*F15,0)</f>
        <v>0</v>
      </c>
      <c r="K15" s="285">
        <f t="shared" ref="K15:K22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480" t="s">
        <v>1005</v>
      </c>
      <c r="C16" s="109" t="s">
        <v>94</v>
      </c>
      <c r="D16" s="281" t="str">
        <f ca="1">IF(ISERROR(OFFSET('HARGA SATUAN'!$D$6,MATCH(RAB!C16,'HARGA SATUAN'!$C$7:$C$1492,0),0)),"",OFFSET('HARGA SATUAN'!$D$6,MATCH(RAB!C16,'HARGA SATUAN'!$C$7:$C$1492,0),0))</f>
        <v>HDW</v>
      </c>
      <c r="E16" s="282" t="str">
        <f ca="1">IF(B16="+","Unit",IF(ISERROR(OFFSET('HARGA SATUAN'!$E$6,MATCH(RAB!C16,'HARGA SATUAN'!$C$7:$C$1492,0),0)),"",OFFSET('HARGA SATUAN'!$E$6,MATCH(RAB!C16,'HARGA SATUAN'!$C$7:$C$1492,0),0)))</f>
        <v>Unit</v>
      </c>
      <c r="F16" s="289">
        <v>2</v>
      </c>
      <c r="G16" s="283">
        <f ca="1">IF(ISERROR(OFFSET('HARGA SATUAN'!$I$6,MATCH(RAB!C16,'HARGA SATUAN'!$C$7:$C$1492,0),0)),0,OFFSET('HARGA SATUAN'!$I$6,MATCH(RAB!C16,'HARGA SATUAN'!$C$7:$C$1492,0),0))</f>
        <v>6074400</v>
      </c>
      <c r="H16" s="284">
        <f t="shared" ca="1" si="0"/>
        <v>0</v>
      </c>
      <c r="I16" s="284">
        <f t="shared" ca="1" si="1"/>
        <v>12148800</v>
      </c>
      <c r="J16" s="284">
        <f t="shared" ca="1" si="2"/>
        <v>0</v>
      </c>
      <c r="K16" s="285">
        <f t="shared" ca="1" si="3"/>
        <v>12148800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480" t="s">
        <v>1005</v>
      </c>
      <c r="C17" s="497" t="s">
        <v>6</v>
      </c>
      <c r="D17" s="281" t="str">
        <f ca="1">IF(ISERROR(OFFSET('HARGA SATUAN'!$D$6,MATCH(RAB!C17,'HARGA SATUAN'!$C$7:$C$1492,0),0)),"",OFFSET('HARGA SATUAN'!$D$6,MATCH(RAB!C17,'HARGA SATUAN'!$C$7:$C$1492,0),0))</f>
        <v>JASA</v>
      </c>
      <c r="E17" s="282" t="str">
        <f ca="1">IF(B17="+","Unit",IF(ISERROR(OFFSET('HARGA SATUAN'!$E$6,MATCH(RAB!C17,'HARGA SATUAN'!$C$7:$C$1492,0),0)),"",OFFSET('HARGA SATUAN'!$E$6,MATCH(RAB!C17,'HARGA SATUAN'!$C$7:$C$1492,0),0)))</f>
        <v>Unit</v>
      </c>
      <c r="F17" s="289">
        <v>2</v>
      </c>
      <c r="G17" s="283">
        <f ca="1">IF(ISERROR(OFFSET('HARGA SATUAN'!$I$6,MATCH(RAB!C17,'HARGA SATUAN'!$C$7:$C$1492,0),0)),0,OFFSET('HARGA SATUAN'!$I$6,MATCH(RAB!C17,'HARGA SATUAN'!$C$7:$C$1492,0),0))</f>
        <v>10066.666666666668</v>
      </c>
      <c r="H17" s="284">
        <f t="shared" ca="1" si="0"/>
        <v>0</v>
      </c>
      <c r="I17" s="284">
        <f t="shared" ca="1" si="1"/>
        <v>0</v>
      </c>
      <c r="J17" s="284">
        <f t="shared" ca="1" si="2"/>
        <v>20133.333333333336</v>
      </c>
      <c r="K17" s="285">
        <f t="shared" ca="1" si="3"/>
        <v>20133.333333333336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>
      <c r="A18" s="259" t="e">
        <f>IF(AND(C18=0,#REF!=0,#REF!=0),"BLANKS",1)</f>
        <v>#REF!</v>
      </c>
      <c r="B18" s="480" t="s">
        <v>1005</v>
      </c>
      <c r="C18" s="109" t="s">
        <v>451</v>
      </c>
      <c r="D18" s="281" t="str">
        <f ca="1">IF(ISERROR(OFFSET('HARGA SATUAN'!$D$6,MATCH(RAB!C18,'HARGA SATUAN'!$C$7:$C$1492,0),0)),"",OFFSET('HARGA SATUAN'!$D$6,MATCH(RAB!C18,'HARGA SATUAN'!$C$7:$C$1492,0),0))</f>
        <v>HDW</v>
      </c>
      <c r="E18" s="282" t="str">
        <f ca="1">IF(B18="+","Unit",IF(ISERROR(OFFSET('HARGA SATUAN'!$E$6,MATCH(RAB!C18,'HARGA SATUAN'!$C$7:$C$1492,0),0)),"",OFFSET('HARGA SATUAN'!$E$6,MATCH(RAB!C18,'HARGA SATUAN'!$C$7:$C$1492,0),0)))</f>
        <v>Unit</v>
      </c>
      <c r="F18" s="289">
        <v>2</v>
      </c>
      <c r="G18" s="283">
        <f ca="1">IF(ISERROR(OFFSET('HARGA SATUAN'!$I$6,MATCH(RAB!C18,'HARGA SATUAN'!$C$7:$C$1492,0),0)),0,OFFSET('HARGA SATUAN'!$I$6,MATCH(RAB!C18,'HARGA SATUAN'!$C$7:$C$1492,0),0))</f>
        <v>200000</v>
      </c>
      <c r="H18" s="284">
        <f t="shared" ref="H18:H19" ca="1" si="4">IF(OR(D18="MDU",D18="MDU-KD"),(IF($O$3="RAB NON MDU","PLN KD",G18*F18)),0)</f>
        <v>0</v>
      </c>
      <c r="I18" s="284">
        <f t="shared" ref="I18:I19" ca="1" si="5">IF(D18="HDW",G18*F18,0)</f>
        <v>400000</v>
      </c>
      <c r="J18" s="284">
        <f t="shared" ref="J18:J19" ca="1" si="6">IF(D18="JASA",G18*F18,0)</f>
        <v>0</v>
      </c>
      <c r="K18" s="285">
        <f t="shared" ref="K18:K19" ca="1" si="7">SUM(H18:J18)</f>
        <v>400000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 t="e">
        <f>IF(AND(C19=0,#REF!=0,#REF!=0),"BLANKS",1)</f>
        <v>#REF!</v>
      </c>
      <c r="B19" s="480" t="s">
        <v>1005</v>
      </c>
      <c r="C19" s="497" t="s">
        <v>351</v>
      </c>
      <c r="D19" s="281" t="str">
        <f ca="1">IF(ISERROR(OFFSET('HARGA SATUAN'!$D$6,MATCH(RAB!C19,'HARGA SATUAN'!$C$7:$C$1492,0),0)),"",OFFSET('HARGA SATUAN'!$D$6,MATCH(RAB!C19,'HARGA SATUAN'!$C$7:$C$1492,0),0))</f>
        <v>JASA</v>
      </c>
      <c r="E19" s="282" t="str">
        <f ca="1">IF(B19="+","Unit",IF(ISERROR(OFFSET('HARGA SATUAN'!$E$6,MATCH(RAB!C19,'HARGA SATUAN'!$C$7:$C$1492,0),0)),"",OFFSET('HARGA SATUAN'!$E$6,MATCH(RAB!C19,'HARGA SATUAN'!$C$7:$C$1492,0),0)))</f>
        <v>Unit</v>
      </c>
      <c r="F19" s="289">
        <v>2</v>
      </c>
      <c r="G19" s="283">
        <f ca="1">IF(ISERROR(OFFSET('HARGA SATUAN'!$I$6,MATCH(RAB!C19,'HARGA SATUAN'!$C$7:$C$1492,0),0)),0,OFFSET('HARGA SATUAN'!$I$6,MATCH(RAB!C19,'HARGA SATUAN'!$C$7:$C$1492,0),0))</f>
        <v>852274</v>
      </c>
      <c r="H19" s="284">
        <f t="shared" ca="1" si="4"/>
        <v>0</v>
      </c>
      <c r="I19" s="284">
        <f t="shared" ca="1" si="5"/>
        <v>0</v>
      </c>
      <c r="J19" s="284">
        <f t="shared" ca="1" si="6"/>
        <v>1704548</v>
      </c>
      <c r="K19" s="285">
        <f t="shared" ca="1" si="7"/>
        <v>1704548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 t="e">
        <f>IF(AND(C20=0,#REF!=0,#REF!=0),"BLANKS",1)</f>
        <v>#REF!</v>
      </c>
      <c r="B20" s="480"/>
      <c r="C20" s="109"/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/>
      </c>
      <c r="F20" s="289"/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0"/>
        <v>0</v>
      </c>
      <c r="I20" s="284">
        <f t="shared" ca="1" si="1"/>
        <v>0</v>
      </c>
      <c r="J20" s="284">
        <f t="shared" ca="1" si="2"/>
        <v>0</v>
      </c>
      <c r="K20" s="285">
        <f t="shared" ca="1" si="3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>
      <c r="A21" s="259" t="e">
        <f>IF(AND(C21=0,#REF!=0,#REF!=0),"BLANKS",1)</f>
        <v>#REF!</v>
      </c>
      <c r="B21" s="480"/>
      <c r="C21" s="497"/>
      <c r="D21" s="281" t="str">
        <f ca="1">IF(ISERROR(OFFSET('HARGA SATUAN'!$D$6,MATCH(RAB!C21,'HARGA SATUAN'!$C$7:$C$1492,0),0)),"",OFFSET('HARGA SATUAN'!$D$6,MATCH(RAB!C21,'HARGA SATUAN'!$C$7:$C$1492,0),0))</f>
        <v/>
      </c>
      <c r="E21" s="282" t="str">
        <f ca="1">IF(B21="+","Unit",IF(ISERROR(OFFSET('HARGA SATUAN'!$E$6,MATCH(RAB!C21,'HARGA SATUAN'!$C$7:$C$1492,0),0)),"",OFFSET('HARGA SATUAN'!$E$6,MATCH(RAB!C21,'HARGA SATUAN'!$C$7:$C$1492,0),0)))</f>
        <v/>
      </c>
      <c r="F21" s="289"/>
      <c r="G21" s="283">
        <f ca="1">IF(ISERROR(OFFSET('HARGA SATUAN'!$I$6,MATCH(RAB!C21,'HARGA SATUAN'!$C$7:$C$1492,0),0)),0,OFFSET('HARGA SATUAN'!$I$6,MATCH(RAB!C21,'HARGA SATUAN'!$C$7:$C$1492,0),0))</f>
        <v>0</v>
      </c>
      <c r="H21" s="284">
        <f t="shared" ref="H21:H22" ca="1" si="8">IF(OR(D21="MDU",D21="MDU-KD"),(IF($O$3="RAB NON MDU","PLN KD",G21*F21)),0)</f>
        <v>0</v>
      </c>
      <c r="I21" s="284">
        <f t="shared" ref="I21:I22" ca="1" si="9">IF(D21="HDW",G21*F21,0)</f>
        <v>0</v>
      </c>
      <c r="J21" s="284">
        <f t="shared" ref="J21:J22" ca="1" si="10">IF(D21="JASA",G21*F21,0)</f>
        <v>0</v>
      </c>
      <c r="K21" s="285">
        <f t="shared" ca="1" si="3"/>
        <v>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28.5">
      <c r="A22" s="259" t="e">
        <f>IF(AND(C22=0,#REF!=0,#REF!=0),"BLANKS",1)</f>
        <v>#REF!</v>
      </c>
      <c r="B22" s="479" t="s">
        <v>495</v>
      </c>
      <c r="C22" s="280" t="s">
        <v>1577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393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8"/>
        <v>0</v>
      </c>
      <c r="I22" s="284">
        <f t="shared" ca="1" si="9"/>
        <v>0</v>
      </c>
      <c r="J22" s="284">
        <f t="shared" ca="1" si="10"/>
        <v>0</v>
      </c>
      <c r="K22" s="285">
        <f t="shared" ca="1" si="3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/>
      <c r="B23" s="480"/>
      <c r="C23" s="497"/>
      <c r="D23" s="281" t="str">
        <f ca="1">IF(ISERROR(OFFSET('HARGA SATUAN'!$D$6,MATCH(RAB!C23,'HARGA SATUAN'!$C$7:$C$1492,0),0)),"",OFFSET('HARGA SATUAN'!$D$6,MATCH(RAB!C23,'HARGA SATUAN'!$C$7:$C$1492,0),0))</f>
        <v/>
      </c>
      <c r="E23" s="282" t="str">
        <f ca="1">IF(B23="+","Unit",IF(ISERROR(OFFSET('HARGA SATUAN'!$E$6,MATCH(RAB!C23,'HARGA SATUAN'!$C$7:$C$1492,0),0)),"",OFFSET('HARGA SATUAN'!$E$6,MATCH(RAB!C23,'HARGA SATUAN'!$C$7:$C$1492,0),0)))</f>
        <v/>
      </c>
      <c r="F23" s="393"/>
      <c r="G23" s="283">
        <f ca="1">IF(ISERROR(OFFSET('HARGA SATUAN'!$I$6,MATCH(RAB!C23,'HARGA SATUAN'!$C$7:$C$1492,0),0)),0,OFFSET('HARGA SATUAN'!$I$6,MATCH(RAB!C23,'HARGA SATUAN'!$C$7:$C$1492,0),0))</f>
        <v>0</v>
      </c>
      <c r="H23" s="284">
        <f t="shared" ref="H23:H138" ca="1" si="11">IF(OR(D23="MDU",D23="MDU-KD"),(IF($O$3="RAB NON MDU","PLN KD",G23*F23)),0)</f>
        <v>0</v>
      </c>
      <c r="I23" s="284">
        <f t="shared" ref="I23:I138" ca="1" si="12">IF(D23="HDW",G23*F23,0)</f>
        <v>0</v>
      </c>
      <c r="J23" s="284">
        <f t="shared" ref="J23:J138" ca="1" si="13">IF(D23="JASA",G23*F23,0)</f>
        <v>0</v>
      </c>
      <c r="K23" s="285">
        <f t="shared" ref="K23:K138" ca="1" si="14">SUM(H23:J23)</f>
        <v>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>
      <c r="A24" s="259" t="e">
        <f>IF(AND(C24=0,#REF!=0,#REF!=0),"BLANKS",1)</f>
        <v>#REF!</v>
      </c>
      <c r="B24" s="513" t="s">
        <v>1005</v>
      </c>
      <c r="C24" s="512" t="s">
        <v>1635</v>
      </c>
      <c r="D24" s="281" t="str">
        <f ca="1">IF(ISERROR(OFFSET('HARGA SATUAN'!$D$6,MATCH(RAB!C24,'HARGA SATUAN'!$C$7:$C$1492,0),0)),"",OFFSET('HARGA SATUAN'!$D$6,MATCH(RAB!C24,'HARGA SATUAN'!$C$7:$C$1492,0),0))</f>
        <v/>
      </c>
      <c r="E24" s="282" t="str">
        <f ca="1">IF(B24="+","Unit",IF(ISERROR(OFFSET('HARGA SATUAN'!$E$6,MATCH(RAB!C24,'HARGA SATUAN'!$C$7:$C$1492,0),0)),"",OFFSET('HARGA SATUAN'!$E$6,MATCH(RAB!C24,'HARGA SATUAN'!$C$7:$C$1492,0),0)))</f>
        <v>Unit</v>
      </c>
      <c r="F24" s="514">
        <v>2</v>
      </c>
      <c r="G24" s="283">
        <f ca="1">IF(ISERROR(OFFSET('HARGA SATUAN'!$I$6,MATCH(RAB!C24,'HARGA SATUAN'!$C$7:$C$1492,0),0)),0,OFFSET('HARGA SATUAN'!$I$6,MATCH(RAB!C24,'HARGA SATUAN'!$C$7:$C$1492,0),0))</f>
        <v>0</v>
      </c>
      <c r="H24" s="284">
        <f t="shared" ca="1" si="11"/>
        <v>0</v>
      </c>
      <c r="I24" s="284">
        <f t="shared" ca="1" si="12"/>
        <v>0</v>
      </c>
      <c r="J24" s="284">
        <f t="shared" ca="1" si="13"/>
        <v>0</v>
      </c>
      <c r="K24" s="285">
        <f t="shared" ca="1" si="14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 t="e">
        <f>IF(AND(C25=0,C26=0,#REF!=0),"BLANKS",1)</f>
        <v>#REF!</v>
      </c>
      <c r="B25" s="513">
        <v>1</v>
      </c>
      <c r="C25" s="512" t="s">
        <v>1530</v>
      </c>
      <c r="D25" s="281" t="str">
        <f ca="1">IF(ISERROR(OFFSET('HARGA SATUAN'!$D$6,MATCH(RAB!C25,'HARGA SATUAN'!$C$7:$C$1492,0),0)),"",OFFSET('HARGA SATUAN'!$D$6,MATCH(RAB!C25,'HARGA SATUAN'!$C$7:$C$1492,0),0))</f>
        <v>MDU-KD</v>
      </c>
      <c r="E25" s="282" t="str">
        <f ca="1">IF(B25="+","Unit",IF(ISERROR(OFFSET('HARGA SATUAN'!$E$6,MATCH(RAB!C25,'HARGA SATUAN'!$C$7:$C$1492,0),0)),"",OFFSET('HARGA SATUAN'!$E$6,MATCH(RAB!C25,'HARGA SATUAN'!$C$7:$C$1492,0),0)))</f>
        <v>Set</v>
      </c>
      <c r="F25" s="514">
        <f>F24*3</f>
        <v>6</v>
      </c>
      <c r="G25" s="283">
        <f ca="1">IF(ISERROR(OFFSET('HARGA SATUAN'!$I$6,MATCH(RAB!C25,'HARGA SATUAN'!$C$7:$C$1492,0),0)),0,OFFSET('HARGA SATUAN'!$I$6,MATCH(RAB!C25,'HARGA SATUAN'!$C$7:$C$1492,0),0))</f>
        <v>430000</v>
      </c>
      <c r="H25" s="284">
        <f t="shared" ca="1" si="11"/>
        <v>2580000</v>
      </c>
      <c r="I25" s="284">
        <f t="shared" ca="1" si="12"/>
        <v>0</v>
      </c>
      <c r="J25" s="284">
        <f t="shared" ca="1" si="13"/>
        <v>0</v>
      </c>
      <c r="K25" s="285">
        <f t="shared" ca="1" si="14"/>
        <v>2580000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 t="e">
        <f>IF(AND(C26=0,#REF!=0,#REF!=0),"BLANKS",1)</f>
        <v>#REF!</v>
      </c>
      <c r="B26" s="513">
        <v>2</v>
      </c>
      <c r="C26" s="512" t="s">
        <v>142</v>
      </c>
      <c r="D26" s="281" t="str">
        <f ca="1">IF(ISERROR(OFFSET('HARGA SATUAN'!$D$6,MATCH(RAB!C26,'HARGA SATUAN'!$C$7:$C$1492,0),0)),"",OFFSET('HARGA SATUAN'!$D$6,MATCH(RAB!C26,'HARGA SATUAN'!$C$7:$C$1492,0),0))</f>
        <v>HDW</v>
      </c>
      <c r="E26" s="282" t="str">
        <f ca="1">IF(B26="+","Unit",IF(ISERROR(OFFSET('HARGA SATUAN'!$E$6,MATCH(RAB!C26,'HARGA SATUAN'!$C$7:$C$1492,0),0)),"",OFFSET('HARGA SATUAN'!$E$6,MATCH(RAB!C26,'HARGA SATUAN'!$C$7:$C$1492,0),0)))</f>
        <v>Mtr</v>
      </c>
      <c r="F26" s="514">
        <f>F24*1</f>
        <v>2</v>
      </c>
      <c r="G26" s="283">
        <f ca="1">IF(ISERROR(OFFSET('HARGA SATUAN'!$I$6,MATCH(RAB!C26,'HARGA SATUAN'!$C$7:$C$1492,0),0)),0,OFFSET('HARGA SATUAN'!$I$6,MATCH(RAB!C26,'HARGA SATUAN'!$C$7:$C$1492,0),0))</f>
        <v>7789</v>
      </c>
      <c r="H26" s="284">
        <f t="shared" ca="1" si="11"/>
        <v>0</v>
      </c>
      <c r="I26" s="284">
        <f t="shared" ca="1" si="12"/>
        <v>15578</v>
      </c>
      <c r="J26" s="284">
        <f t="shared" ca="1" si="13"/>
        <v>0</v>
      </c>
      <c r="K26" s="285">
        <f t="shared" ca="1" si="14"/>
        <v>15578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>
        <f t="shared" ref="A27:A29" si="15">IF(AND(C27=0,C28=0,C29=0),"BLANKS",1)</f>
        <v>1</v>
      </c>
      <c r="B27" s="513">
        <v>3</v>
      </c>
      <c r="C27" s="512" t="s">
        <v>147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514">
        <f>F24*2</f>
        <v>4</v>
      </c>
      <c r="G27" s="283">
        <f ca="1">IF(ISERROR(OFFSET('HARGA SATUAN'!$I$6,MATCH(RAB!C27,'HARGA SATUAN'!$C$7:$C$1492,0),0)),0,OFFSET('HARGA SATUAN'!$I$6,MATCH(RAB!C27,'HARGA SATUAN'!$C$7:$C$1492,0),0))</f>
        <v>40000</v>
      </c>
      <c r="H27" s="284">
        <f t="shared" ref="H27:H35" ca="1" si="16">IF(OR(D27="MDU",D27="MDU-KD"),(IF($O$3="RAB NON MDU","PLN KD",G27*F27)),0)</f>
        <v>0</v>
      </c>
      <c r="I27" s="284">
        <f t="shared" ref="I27:I35" ca="1" si="17">IF(D27="HDW",G27*F27,0)</f>
        <v>160000</v>
      </c>
      <c r="J27" s="284">
        <f t="shared" ref="J27:J35" ca="1" si="18">IF(D27="JASA",G27*F27,0)</f>
        <v>0</v>
      </c>
      <c r="K27" s="285">
        <f t="shared" ref="K27:K35" ca="1" si="19">SUM(H27:J27)</f>
        <v>160000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>
        <f t="shared" si="15"/>
        <v>1</v>
      </c>
      <c r="B28" s="513">
        <v>4</v>
      </c>
      <c r="C28" s="512" t="s">
        <v>18</v>
      </c>
      <c r="D28" s="281" t="str">
        <f ca="1">IF(ISERROR(OFFSET('HARGA SATUAN'!$D$6,MATCH(RAB!C28,'HARGA SATUAN'!$C$7:$C$1492,0),0)),"",OFFSET('HARGA SATUAN'!$D$6,MATCH(RAB!C28,'HARGA SATUAN'!$C$7:$C$1492,0),0))</f>
        <v>HDW</v>
      </c>
      <c r="E28" s="282" t="str">
        <f ca="1">IF(B28="+","Unit",IF(ISERROR(OFFSET('HARGA SATUAN'!$E$6,MATCH(RAB!C28,'HARGA SATUAN'!$C$7:$C$1492,0),0)),"",OFFSET('HARGA SATUAN'!$E$6,MATCH(RAB!C28,'HARGA SATUAN'!$C$7:$C$1492,0),0)))</f>
        <v>Bh</v>
      </c>
      <c r="F28" s="514">
        <f>F24*1</f>
        <v>2</v>
      </c>
      <c r="G28" s="283">
        <f ca="1">IF(ISERROR(OFFSET('HARGA SATUAN'!$I$6,MATCH(RAB!C28,'HARGA SATUAN'!$C$7:$C$1492,0),0)),0,OFFSET('HARGA SATUAN'!$I$6,MATCH(RAB!C28,'HARGA SATUAN'!$C$7:$C$1492,0),0))</f>
        <v>26500</v>
      </c>
      <c r="H28" s="284">
        <f t="shared" ca="1" si="16"/>
        <v>0</v>
      </c>
      <c r="I28" s="284">
        <f t="shared" ca="1" si="17"/>
        <v>53000</v>
      </c>
      <c r="J28" s="284">
        <f t="shared" ca="1" si="18"/>
        <v>0</v>
      </c>
      <c r="K28" s="285">
        <f t="shared" ca="1" si="19"/>
        <v>53000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>
        <f t="shared" si="15"/>
        <v>1</v>
      </c>
      <c r="B29" s="513">
        <v>5</v>
      </c>
      <c r="C29" s="512" t="s">
        <v>153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514">
        <f>F24*4</f>
        <v>8</v>
      </c>
      <c r="G29" s="283">
        <f ca="1">IF(ISERROR(OFFSET('HARGA SATUAN'!$I$6,MATCH(RAB!C29,'HARGA SATUAN'!$C$7:$C$1492,0),0)),0,OFFSET('HARGA SATUAN'!$I$6,MATCH(RAB!C29,'HARGA SATUAN'!$C$7:$C$1492,0),0))</f>
        <v>7938</v>
      </c>
      <c r="H29" s="284">
        <f t="shared" ca="1" si="16"/>
        <v>0</v>
      </c>
      <c r="I29" s="284">
        <f t="shared" ca="1" si="17"/>
        <v>63504</v>
      </c>
      <c r="J29" s="284">
        <f t="shared" ca="1" si="18"/>
        <v>0</v>
      </c>
      <c r="K29" s="285">
        <f t="shared" ca="1" si="19"/>
        <v>63504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>
      <c r="A30" s="259" t="e">
        <f>IF(AND(C30=0,C31=0,#REF!=0),"BLANKS",1)</f>
        <v>#REF!</v>
      </c>
      <c r="B30" s="513">
        <v>6</v>
      </c>
      <c r="C30" s="512" t="s">
        <v>163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514">
        <f>F24*4</f>
        <v>8</v>
      </c>
      <c r="G30" s="283">
        <f ca="1">IF(ISERROR(OFFSET('HARGA SATUAN'!$I$6,MATCH(RAB!C30,'HARGA SATUAN'!$C$7:$C$1492,0),0)),0,OFFSET('HARGA SATUAN'!$I$6,MATCH(RAB!C30,'HARGA SATUAN'!$C$7:$C$1492,0),0))</f>
        <v>45000</v>
      </c>
      <c r="H30" s="284">
        <f t="shared" ca="1" si="16"/>
        <v>0</v>
      </c>
      <c r="I30" s="284">
        <f t="shared" ca="1" si="17"/>
        <v>360000</v>
      </c>
      <c r="J30" s="284">
        <f t="shared" ca="1" si="18"/>
        <v>0</v>
      </c>
      <c r="K30" s="285">
        <f t="shared" ca="1" si="19"/>
        <v>360000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 t="e">
        <f>IF(AND(C31=0,#REF!=0,#REF!=0),"BLANKS",1)</f>
        <v>#REF!</v>
      </c>
      <c r="B31" s="513">
        <v>7</v>
      </c>
      <c r="C31" s="512" t="s">
        <v>169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514">
        <f>F24*1</f>
        <v>2</v>
      </c>
      <c r="G31" s="283">
        <f ca="1">IF(ISERROR(OFFSET('HARGA SATUAN'!$I$6,MATCH(RAB!C31,'HARGA SATUAN'!$C$7:$C$1492,0),0)),0,OFFSET('HARGA SATUAN'!$I$6,MATCH(RAB!C31,'HARGA SATUAN'!$C$7:$C$1492,0),0))</f>
        <v>15500</v>
      </c>
      <c r="H31" s="284">
        <f t="shared" ca="1" si="16"/>
        <v>0</v>
      </c>
      <c r="I31" s="284">
        <f t="shared" ca="1" si="17"/>
        <v>31000</v>
      </c>
      <c r="J31" s="284">
        <f t="shared" ca="1" si="18"/>
        <v>0</v>
      </c>
      <c r="K31" s="285">
        <f t="shared" ca="1" si="19"/>
        <v>31000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>
        <f t="shared" ref="A32:A34" si="20">IF(AND(C32=0,C33=0,C34=0),"BLANKS",1)</f>
        <v>1</v>
      </c>
      <c r="B32" s="513">
        <v>8</v>
      </c>
      <c r="C32" s="512" t="s">
        <v>583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514">
        <f>F24*2</f>
        <v>4</v>
      </c>
      <c r="G32" s="283">
        <f ca="1">IF(ISERROR(OFFSET('HARGA SATUAN'!$I$6,MATCH(RAB!C32,'HARGA SATUAN'!$C$7:$C$1492,0),0)),0,OFFSET('HARGA SATUAN'!$I$6,MATCH(RAB!C32,'HARGA SATUAN'!$C$7:$C$1492,0),0))</f>
        <v>380500</v>
      </c>
      <c r="H32" s="284">
        <f t="shared" ca="1" si="16"/>
        <v>0</v>
      </c>
      <c r="I32" s="284">
        <f t="shared" ca="1" si="17"/>
        <v>1522000</v>
      </c>
      <c r="J32" s="284">
        <f t="shared" ca="1" si="18"/>
        <v>0</v>
      </c>
      <c r="K32" s="285">
        <f t="shared" ca="1" si="19"/>
        <v>1522000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>
        <f t="shared" si="20"/>
        <v>1</v>
      </c>
      <c r="B33" s="513">
        <v>9</v>
      </c>
      <c r="C33" s="512" t="s">
        <v>207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514">
        <f>F24*4</f>
        <v>8</v>
      </c>
      <c r="G33" s="283">
        <f ca="1">IF(ISERROR(OFFSET('HARGA SATUAN'!$I$6,MATCH(RAB!C33,'HARGA SATUAN'!$C$7:$C$1492,0),0)),0,OFFSET('HARGA SATUAN'!$I$6,MATCH(RAB!C33,'HARGA SATUAN'!$C$7:$C$1492,0),0))</f>
        <v>11400</v>
      </c>
      <c r="H33" s="284">
        <f t="shared" ca="1" si="16"/>
        <v>0</v>
      </c>
      <c r="I33" s="284">
        <f t="shared" ca="1" si="17"/>
        <v>91200</v>
      </c>
      <c r="J33" s="284">
        <f t="shared" ca="1" si="18"/>
        <v>0</v>
      </c>
      <c r="K33" s="285">
        <f t="shared" ca="1" si="19"/>
        <v>91200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>
      <c r="A34" s="259">
        <f t="shared" si="20"/>
        <v>1</v>
      </c>
      <c r="B34" s="513">
        <v>10</v>
      </c>
      <c r="C34" s="512" t="s">
        <v>208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514">
        <f>F24*2</f>
        <v>4</v>
      </c>
      <c r="G34" s="283">
        <f ca="1">IF(ISERROR(OFFSET('HARGA SATUAN'!$I$6,MATCH(RAB!C34,'HARGA SATUAN'!$C$7:$C$1492,0),0)),0,OFFSET('HARGA SATUAN'!$I$6,MATCH(RAB!C34,'HARGA SATUAN'!$C$7:$C$1492,0),0))</f>
        <v>29600</v>
      </c>
      <c r="H34" s="284">
        <f t="shared" ca="1" si="16"/>
        <v>0</v>
      </c>
      <c r="I34" s="284">
        <f t="shared" ca="1" si="17"/>
        <v>118400</v>
      </c>
      <c r="J34" s="284">
        <f t="shared" ca="1" si="18"/>
        <v>0</v>
      </c>
      <c r="K34" s="285">
        <f t="shared" ca="1" si="19"/>
        <v>118400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 t="e">
        <f>IF(AND(C35=0,C36=0,#REF!=0),"BLANKS",1)</f>
        <v>#REF!</v>
      </c>
      <c r="B35" s="513">
        <v>11</v>
      </c>
      <c r="C35" s="512" t="s">
        <v>213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514">
        <f>F24*1</f>
        <v>2</v>
      </c>
      <c r="G35" s="283">
        <f ca="1">IF(ISERROR(OFFSET('HARGA SATUAN'!$I$6,MATCH(RAB!C35,'HARGA SATUAN'!$C$7:$C$1492,0),0)),0,OFFSET('HARGA SATUAN'!$I$6,MATCH(RAB!C35,'HARGA SATUAN'!$C$7:$C$1492,0),0))</f>
        <v>27815</v>
      </c>
      <c r="H35" s="284">
        <f t="shared" ca="1" si="16"/>
        <v>0</v>
      </c>
      <c r="I35" s="284">
        <f t="shared" ca="1" si="17"/>
        <v>55630</v>
      </c>
      <c r="J35" s="284">
        <f t="shared" ca="1" si="18"/>
        <v>0</v>
      </c>
      <c r="K35" s="285">
        <f t="shared" ca="1" si="19"/>
        <v>55630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/>
      <c r="B36" s="513">
        <v>12</v>
      </c>
      <c r="C36" s="512" t="s">
        <v>15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514">
        <f>F24*3</f>
        <v>6</v>
      </c>
      <c r="G36" s="283">
        <f ca="1">IF(ISERROR(OFFSET('HARGA SATUAN'!$I$6,MATCH(RAB!C36,'HARGA SATUAN'!$C$7:$C$1492,0),0)),0,OFFSET('HARGA SATUAN'!$I$6,MATCH(RAB!C36,'HARGA SATUAN'!$C$7:$C$1492,0),0))</f>
        <v>23936</v>
      </c>
      <c r="H36" s="284">
        <f t="shared" ca="1" si="11"/>
        <v>0</v>
      </c>
      <c r="I36" s="284">
        <f t="shared" ca="1" si="12"/>
        <v>143616</v>
      </c>
      <c r="J36" s="284">
        <f t="shared" ca="1" si="13"/>
        <v>0</v>
      </c>
      <c r="K36" s="285">
        <f t="shared" ca="1" si="14"/>
        <v>143616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>
        <f t="shared" ref="A37:A39" si="21">IF(AND(C37=0,C38=0,C39=0),"BLANKS",1)</f>
        <v>1</v>
      </c>
      <c r="B37" s="513">
        <v>13</v>
      </c>
      <c r="C37" s="512" t="s">
        <v>27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514">
        <f>F24*1</f>
        <v>2</v>
      </c>
      <c r="G37" s="283">
        <f ca="1">IF(ISERROR(OFFSET('HARGA SATUAN'!$I$6,MATCH(RAB!C37,'HARGA SATUAN'!$C$7:$C$1492,0),0)),0,OFFSET('HARGA SATUAN'!$I$6,MATCH(RAB!C37,'HARGA SATUAN'!$C$7:$C$1492,0),0))</f>
        <v>63500</v>
      </c>
      <c r="H37" s="284">
        <f t="shared" ca="1" si="11"/>
        <v>0</v>
      </c>
      <c r="I37" s="284">
        <f t="shared" ca="1" si="12"/>
        <v>127000</v>
      </c>
      <c r="J37" s="284">
        <f t="shared" ca="1" si="13"/>
        <v>0</v>
      </c>
      <c r="K37" s="285">
        <f t="shared" ca="1" si="14"/>
        <v>127000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>
        <f t="shared" si="21"/>
        <v>1</v>
      </c>
      <c r="B38" s="513">
        <v>14</v>
      </c>
      <c r="C38" s="512" t="s">
        <v>237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514">
        <f>F24*1</f>
        <v>2</v>
      </c>
      <c r="G38" s="283">
        <f ca="1">IF(ISERROR(OFFSET('HARGA SATUAN'!$I$6,MATCH(RAB!C38,'HARGA SATUAN'!$C$7:$C$1492,0),0)),0,OFFSET('HARGA SATUAN'!$I$6,MATCH(RAB!C38,'HARGA SATUAN'!$C$7:$C$1492,0),0))</f>
        <v>57690</v>
      </c>
      <c r="H38" s="284">
        <f t="shared" ca="1" si="11"/>
        <v>0</v>
      </c>
      <c r="I38" s="284">
        <f t="shared" ca="1" si="12"/>
        <v>115380</v>
      </c>
      <c r="J38" s="284">
        <f t="shared" ca="1" si="13"/>
        <v>0</v>
      </c>
      <c r="K38" s="285">
        <f t="shared" ca="1" si="14"/>
        <v>115380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>
        <f t="shared" si="21"/>
        <v>1</v>
      </c>
      <c r="B39" s="513">
        <v>15</v>
      </c>
      <c r="C39" s="512" t="s">
        <v>17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514">
        <f>F24*3</f>
        <v>6</v>
      </c>
      <c r="G39" s="283">
        <f ca="1">IF(ISERROR(OFFSET('HARGA SATUAN'!$I$6,MATCH(RAB!C39,'HARGA SATUAN'!$C$7:$C$1492,0),0)),0,OFFSET('HARGA SATUAN'!$I$6,MATCH(RAB!C39,'HARGA SATUAN'!$C$7:$C$1492,0),0))</f>
        <v>16000</v>
      </c>
      <c r="H39" s="284">
        <f t="shared" ca="1" si="11"/>
        <v>0</v>
      </c>
      <c r="I39" s="284">
        <f t="shared" ca="1" si="12"/>
        <v>96000</v>
      </c>
      <c r="J39" s="284">
        <f t="shared" ca="1" si="13"/>
        <v>0</v>
      </c>
      <c r="K39" s="285">
        <f t="shared" ca="1" si="14"/>
        <v>96000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>
      <c r="A40" s="259" t="e">
        <f>IF(AND(C40=0,C41=0,#REF!=0),"BLANKS",1)</f>
        <v>#REF!</v>
      </c>
      <c r="B40" s="513">
        <v>16</v>
      </c>
      <c r="C40" s="512" t="s">
        <v>255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Bh</v>
      </c>
      <c r="F40" s="514">
        <f>F24*1</f>
        <v>2</v>
      </c>
      <c r="G40" s="283">
        <f ca="1">IF(ISERROR(OFFSET('HARGA SATUAN'!$I$6,MATCH(RAB!C40,'HARGA SATUAN'!$C$7:$C$1492,0),0)),0,OFFSET('HARGA SATUAN'!$I$6,MATCH(RAB!C40,'HARGA SATUAN'!$C$7:$C$1492,0),0))</f>
        <v>33501.866666666669</v>
      </c>
      <c r="H40" s="284">
        <f t="shared" ca="1" si="11"/>
        <v>0</v>
      </c>
      <c r="I40" s="284">
        <f t="shared" ca="1" si="12"/>
        <v>67003.733333333337</v>
      </c>
      <c r="J40" s="284">
        <f t="shared" ca="1" si="13"/>
        <v>0</v>
      </c>
      <c r="K40" s="285">
        <f t="shared" ca="1" si="14"/>
        <v>67003.733333333337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 t="e">
        <f>IF(AND(C41=0,#REF!=0,#REF!=0),"BLANKS",1)</f>
        <v>#REF!</v>
      </c>
      <c r="B41" s="513">
        <v>17</v>
      </c>
      <c r="C41" s="512" t="s">
        <v>16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514">
        <f>F24*11</f>
        <v>22</v>
      </c>
      <c r="G41" s="283">
        <f ca="1">IF(ISERROR(OFFSET('HARGA SATUAN'!$I$6,MATCH(RAB!C41,'HARGA SATUAN'!$C$7:$C$1492,0),0)),0,OFFSET('HARGA SATUAN'!$I$6,MATCH(RAB!C41,'HARGA SATUAN'!$C$7:$C$1492,0),0))</f>
        <v>2500</v>
      </c>
      <c r="H41" s="284">
        <f t="shared" ca="1" si="11"/>
        <v>0</v>
      </c>
      <c r="I41" s="284">
        <f t="shared" ca="1" si="12"/>
        <v>55000</v>
      </c>
      <c r="J41" s="284">
        <f t="shared" ca="1" si="13"/>
        <v>0</v>
      </c>
      <c r="K41" s="285">
        <f t="shared" ca="1" si="14"/>
        <v>55000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>
        <f>IF(AND(C42=0,C102=0,C103=0),"BLANKS",1)</f>
        <v>1</v>
      </c>
      <c r="B42" s="513">
        <v>18</v>
      </c>
      <c r="C42" s="512" t="s">
        <v>693</v>
      </c>
      <c r="D42" s="281" t="str">
        <f ca="1">IF(ISERROR(OFFSET('HARGA SATUAN'!$D$6,MATCH(RAB!C42,'HARGA SATUAN'!$C$7:$C$1492,0),0)),"",OFFSET('HARGA SATUAN'!$D$6,MATCH(RAB!C42,'HARGA SATUAN'!$C$7:$C$1492,0),0))</f>
        <v>JASA</v>
      </c>
      <c r="E42" s="282" t="str">
        <f ca="1">IF(B42="+","Unit",IF(ISERROR(OFFSET('HARGA SATUAN'!$E$6,MATCH(RAB!C42,'HARGA SATUAN'!$C$7:$C$1492,0),0)),"",OFFSET('HARGA SATUAN'!$E$6,MATCH(RAB!C42,'HARGA SATUAN'!$C$7:$C$1492,0),0)))</f>
        <v>Unit</v>
      </c>
      <c r="F42" s="514">
        <f>F24*1</f>
        <v>2</v>
      </c>
      <c r="G42" s="283">
        <f ca="1">IF(ISERROR(OFFSET('HARGA SATUAN'!$I$6,MATCH(RAB!C42,'HARGA SATUAN'!$C$7:$C$1492,0),0)),0,OFFSET('HARGA SATUAN'!$I$6,MATCH(RAB!C42,'HARGA SATUAN'!$C$7:$C$1492,0),0))</f>
        <v>134700</v>
      </c>
      <c r="H42" s="284">
        <f t="shared" ca="1" si="11"/>
        <v>0</v>
      </c>
      <c r="I42" s="284">
        <f t="shared" ca="1" si="12"/>
        <v>0</v>
      </c>
      <c r="J42" s="284">
        <f t="shared" ca="1" si="13"/>
        <v>269400</v>
      </c>
      <c r="K42" s="285">
        <f t="shared" ca="1" si="14"/>
        <v>269400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>
        <f>IF(AND(C43=0,C94=0,C95=0),"BLANKS",1)</f>
        <v>1</v>
      </c>
      <c r="B43" s="499"/>
      <c r="C43" s="500"/>
      <c r="D43" s="281" t="str">
        <f ca="1">IF(ISERROR(OFFSET('HARGA SATUAN'!$D$6,MATCH(RAB!C43,'HARGA SATUAN'!$C$7:$C$1492,0),0)),"",OFFSET('HARGA SATUAN'!$D$6,MATCH(RAB!C43,'HARGA SATUAN'!$C$7:$C$1492,0),0))</f>
        <v/>
      </c>
      <c r="E43" s="282" t="str">
        <f ca="1">IF(B43="+","Unit",IF(ISERROR(OFFSET('HARGA SATUAN'!$E$6,MATCH(RAB!C43,'HARGA SATUAN'!$C$7:$C$1492,0),0)),"",OFFSET('HARGA SATUAN'!$E$6,MATCH(RAB!C43,'HARGA SATUAN'!$C$7:$C$1492,0),0)))</f>
        <v/>
      </c>
      <c r="F43" s="393"/>
      <c r="G43" s="283">
        <f ca="1">IF(ISERROR(OFFSET('HARGA SATUAN'!$I$6,MATCH(RAB!C43,'HARGA SATUAN'!$C$7:$C$1492,0),0)),0,OFFSET('HARGA SATUAN'!$I$6,MATCH(RAB!C43,'HARGA SATUAN'!$C$7:$C$1492,0),0))</f>
        <v>0</v>
      </c>
      <c r="H43" s="284">
        <f t="shared" ref="H43:H111" ca="1" si="22">IF(OR(D43="MDU",D43="MDU-KD"),(IF($O$3="RAB NON MDU","PLN KD",G43*F43)),0)</f>
        <v>0</v>
      </c>
      <c r="I43" s="284">
        <f t="shared" ref="I43:I111" ca="1" si="23">IF(D43="HDW",G43*F43,0)</f>
        <v>0</v>
      </c>
      <c r="J43" s="284">
        <f t="shared" ref="J43:J111" ca="1" si="24">IF(D43="JASA",G43*F43,0)</f>
        <v>0</v>
      </c>
      <c r="K43" s="285">
        <f t="shared" ref="K43:K111" ca="1" si="25">SUM(H43:J43)</f>
        <v>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 t="e">
        <f>IF(AND(C44=0,#REF!=0,#REF!=0),"BLANKS",1)</f>
        <v>#REF!</v>
      </c>
      <c r="B44" s="499" t="s">
        <v>1005</v>
      </c>
      <c r="C44" s="718" t="s">
        <v>1653</v>
      </c>
      <c r="D44" s="281" t="str">
        <f ca="1">IF(ISERROR(OFFSET('HARGA SATUAN'!$D$6,MATCH(RAB!C44,'HARGA SATUAN'!$C$7:$C$1492,0),0)),"",OFFSET('HARGA SATUAN'!$D$6,MATCH(RAB!C44,'HARGA SATUAN'!$C$7:$C$1492,0),0))</f>
        <v/>
      </c>
      <c r="E44" s="282" t="str">
        <f ca="1">IF(B44="+","Unit",IF(ISERROR(OFFSET('HARGA SATUAN'!$E$6,MATCH(RAB!C44,'HARGA SATUAN'!$C$7:$C$1492,0),0)),"",OFFSET('HARGA SATUAN'!$E$6,MATCH(RAB!C44,'HARGA SATUAN'!$C$7:$C$1492,0),0)))</f>
        <v>Unit</v>
      </c>
      <c r="F44" s="510">
        <v>1</v>
      </c>
      <c r="G44" s="283">
        <f ca="1">IF(ISERROR(OFFSET('HARGA SATUAN'!$I$6,MATCH(RAB!C44,'HARGA SATUAN'!$C$7:$C$1492,0),0)),0,OFFSET('HARGA SATUAN'!$I$6,MATCH(RAB!C44,'HARGA SATUAN'!$C$7:$C$1492,0),0))</f>
        <v>0</v>
      </c>
      <c r="H44" s="284">
        <f t="shared" ref="H44" ca="1" si="26">IF(OR(D44="MDU",D44="MDU-KD"),(IF($O$3="RAB NON MDU","PLN KD",G44*F44)),0)</f>
        <v>0</v>
      </c>
      <c r="I44" s="284">
        <f t="shared" ref="I44" ca="1" si="27">IF(D44="HDW",G44*F44,0)</f>
        <v>0</v>
      </c>
      <c r="J44" s="284">
        <f t="shared" ref="J44" ca="1" si="28">IF(D44="JASA",G44*F44,0)</f>
        <v>0</v>
      </c>
      <c r="K44" s="285">
        <f t="shared" ref="K44" ca="1" si="29">SUM(H44:J44)</f>
        <v>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/>
      <c r="B45" s="499">
        <v>1</v>
      </c>
      <c r="C45" s="500" t="s">
        <v>1529</v>
      </c>
      <c r="D45" s="281" t="str">
        <f ca="1">IF(ISERROR(OFFSET('HARGA SATUAN'!$D$6,MATCH(RAB!C45,'HARGA SATUAN'!$C$7:$C$1492,0),0)),"",OFFSET('HARGA SATUAN'!$D$6,MATCH(RAB!C45,'HARGA SATUAN'!$C$7:$C$1492,0),0))</f>
        <v>MDU-KD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510">
        <f>F44*1</f>
        <v>1</v>
      </c>
      <c r="G45" s="283">
        <f ca="1">IF(ISERROR(OFFSET('HARGA SATUAN'!$I$6,MATCH(RAB!C45,'HARGA SATUAN'!$C$7:$C$1492,0),0)),0,OFFSET('HARGA SATUAN'!$I$6,MATCH(RAB!C45,'HARGA SATUAN'!$C$7:$C$1492,0),0))</f>
        <v>235900</v>
      </c>
      <c r="H45" s="284"/>
      <c r="I45" s="284"/>
      <c r="J45" s="284"/>
      <c r="K45" s="285"/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 t="e">
        <f>IF(AND(C46=0,#REF!=0,#REF!=0),"BLANKS",1)</f>
        <v>#REF!</v>
      </c>
      <c r="B46" s="499">
        <v>2</v>
      </c>
      <c r="C46" s="500" t="s">
        <v>1529</v>
      </c>
      <c r="D46" s="281" t="str">
        <f ca="1">IF(ISERROR(OFFSET('HARGA SATUAN'!$D$6,MATCH(RAB!C46,'HARGA SATUAN'!$C$7:$C$1492,0),0)),"",OFFSET('HARGA SATUAN'!$D$6,MATCH(RAB!C46,'HARGA SATUAN'!$C$7:$C$1492,0),0))</f>
        <v>MDU-KD</v>
      </c>
      <c r="E46" s="282" t="str">
        <f ca="1">IF(B46="+","Unit",IF(ISERROR(OFFSET('HARGA SATUAN'!$E$6,MATCH(RAB!C46,'HARGA SATUAN'!$C$7:$C$1492,0),0)),"",OFFSET('HARGA SATUAN'!$E$6,MATCH(RAB!C46,'HARGA SATUAN'!$C$7:$C$1492,0),0)))</f>
        <v>Bh</v>
      </c>
      <c r="F46" s="510">
        <f>F44*2</f>
        <v>2</v>
      </c>
      <c r="G46" s="283">
        <f ca="1">IF(ISERROR(OFFSET('HARGA SATUAN'!$I$6,MATCH(RAB!C46,'HARGA SATUAN'!$C$7:$C$1492,0),0)),0,OFFSET('HARGA SATUAN'!$I$6,MATCH(RAB!C46,'HARGA SATUAN'!$C$7:$C$1492,0),0))</f>
        <v>235900</v>
      </c>
      <c r="H46" s="284">
        <f t="shared" ref="H46:H104" ca="1" si="30">IF(OR(D46="MDU",D46="MDU-KD"),(IF($O$3="RAB NON MDU","PLN KD",G46*F46)),0)</f>
        <v>471800</v>
      </c>
      <c r="I46" s="284">
        <f t="shared" ref="I46:I104" ca="1" si="31">IF(D46="HDW",G46*F46,0)</f>
        <v>0</v>
      </c>
      <c r="J46" s="284">
        <f t="shared" ref="J46:J104" ca="1" si="32">IF(D46="JASA",G46*F46,0)</f>
        <v>0</v>
      </c>
      <c r="K46" s="285">
        <f t="shared" ref="K46:K104" ca="1" si="33">SUM(H46:J46)</f>
        <v>471800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>
        <f t="shared" ref="A47:A50" si="34">IF(AND(C47=0,C48=0,C49=0),"BLANKS",1)</f>
        <v>1</v>
      </c>
      <c r="B47" s="499">
        <v>3</v>
      </c>
      <c r="C47" s="512" t="s">
        <v>1530</v>
      </c>
      <c r="D47" s="281" t="str">
        <f ca="1">IF(ISERROR(OFFSET('HARGA SATUAN'!$D$6,MATCH(RAB!C47,'HARGA SATUAN'!$C$7:$C$1492,0),0)),"",OFFSET('HARGA SATUAN'!$D$6,MATCH(RAB!C47,'HARGA SATUAN'!$C$7:$C$1492,0),0))</f>
        <v>MDU-KD</v>
      </c>
      <c r="E47" s="282" t="str">
        <f ca="1">IF(B47="+","Unit",IF(ISERROR(OFFSET('HARGA SATUAN'!$E$6,MATCH(RAB!C47,'HARGA SATUAN'!$C$7:$C$1492,0),0)),"",OFFSET('HARGA SATUAN'!$E$6,MATCH(RAB!C47,'HARGA SATUAN'!$C$7:$C$1492,0),0)))</f>
        <v>Set</v>
      </c>
      <c r="F47" s="719">
        <f>F44*6</f>
        <v>6</v>
      </c>
      <c r="G47" s="283">
        <f ca="1">IF(ISERROR(OFFSET('HARGA SATUAN'!$I$6,MATCH(RAB!C47,'HARGA SATUAN'!$C$7:$C$1492,0),0)),0,OFFSET('HARGA SATUAN'!$I$6,MATCH(RAB!C47,'HARGA SATUAN'!$C$7:$C$1492,0),0))</f>
        <v>430000</v>
      </c>
      <c r="H47" s="284">
        <f t="shared" ref="H47:H52" ca="1" si="35">IF(OR(D47="MDU",D47="MDU-KD"),(IF($O$3="RAB NON MDU","PLN KD",G47*F47)),0)</f>
        <v>2580000</v>
      </c>
      <c r="I47" s="284">
        <f t="shared" ref="I47:I52" ca="1" si="36">IF(D47="HDW",G47*F47,0)</f>
        <v>0</v>
      </c>
      <c r="J47" s="284">
        <f t="shared" ref="J47:J52" ca="1" si="37">IF(D47="JASA",G47*F47,0)</f>
        <v>0</v>
      </c>
      <c r="K47" s="285">
        <f t="shared" ref="K47:K52" ca="1" si="38">SUM(H47:J47)</f>
        <v>2580000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>
        <f t="shared" si="34"/>
        <v>1</v>
      </c>
      <c r="B48" s="499">
        <v>4</v>
      </c>
      <c r="C48" s="500" t="s">
        <v>142</v>
      </c>
      <c r="D48" s="281" t="str">
        <f ca="1">IF(ISERROR(OFFSET('HARGA SATUAN'!$D$6,MATCH(RAB!C48,'HARGA SATUAN'!$C$7:$C$1492,0),0)),"",OFFSET('HARGA SATUAN'!$D$6,MATCH(RAB!C48,'HARGA SATUAN'!$C$7:$C$1492,0),0))</f>
        <v>HDW</v>
      </c>
      <c r="E48" s="282" t="str">
        <f ca="1">IF(B48="+","Unit",IF(ISERROR(OFFSET('HARGA SATUAN'!$E$6,MATCH(RAB!C48,'HARGA SATUAN'!$C$7:$C$1492,0),0)),"",OFFSET('HARGA SATUAN'!$E$6,MATCH(RAB!C48,'HARGA SATUAN'!$C$7:$C$1492,0),0)))</f>
        <v>Mtr</v>
      </c>
      <c r="F48" s="510">
        <f>F44*2</f>
        <v>2</v>
      </c>
      <c r="G48" s="283">
        <f ca="1">IF(ISERROR(OFFSET('HARGA SATUAN'!$I$6,MATCH(RAB!C48,'HARGA SATUAN'!$C$7:$C$1492,0),0)),0,OFFSET('HARGA SATUAN'!$I$6,MATCH(RAB!C48,'HARGA SATUAN'!$C$7:$C$1492,0),0))</f>
        <v>7789</v>
      </c>
      <c r="H48" s="284">
        <f t="shared" ca="1" si="35"/>
        <v>0</v>
      </c>
      <c r="I48" s="284">
        <f t="shared" ca="1" si="36"/>
        <v>15578</v>
      </c>
      <c r="J48" s="284">
        <f t="shared" ca="1" si="37"/>
        <v>0</v>
      </c>
      <c r="K48" s="285">
        <f t="shared" ca="1" si="38"/>
        <v>15578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>
        <f t="shared" si="34"/>
        <v>1</v>
      </c>
      <c r="B49" s="499">
        <v>5</v>
      </c>
      <c r="C49" s="500" t="s">
        <v>147</v>
      </c>
      <c r="D49" s="281" t="str">
        <f ca="1">IF(ISERROR(OFFSET('HARGA SATUAN'!$D$6,MATCH(RAB!C49,'HARGA SATUAN'!$C$7:$C$1492,0),0)),"",OFFSET('HARGA SATUAN'!$D$6,MATCH(RAB!C49,'HARGA SATUAN'!$C$7:$C$1492,0),0))</f>
        <v>HDW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720">
        <f>F44*2</f>
        <v>2</v>
      </c>
      <c r="G49" s="283">
        <f ca="1">IF(ISERROR(OFFSET('HARGA SATUAN'!$I$6,MATCH(RAB!C49,'HARGA SATUAN'!$C$7:$C$1492,0),0)),0,OFFSET('HARGA SATUAN'!$I$6,MATCH(RAB!C49,'HARGA SATUAN'!$C$7:$C$1492,0),0))</f>
        <v>40000</v>
      </c>
      <c r="H49" s="284">
        <f t="shared" ca="1" si="35"/>
        <v>0</v>
      </c>
      <c r="I49" s="284">
        <f t="shared" ca="1" si="36"/>
        <v>80000</v>
      </c>
      <c r="J49" s="284">
        <f t="shared" ca="1" si="37"/>
        <v>0</v>
      </c>
      <c r="K49" s="285">
        <f t="shared" ca="1" si="38"/>
        <v>80000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>
      <c r="A50" s="259">
        <f t="shared" si="34"/>
        <v>1</v>
      </c>
      <c r="B50" s="499">
        <v>6</v>
      </c>
      <c r="C50" s="500" t="s">
        <v>18</v>
      </c>
      <c r="D50" s="281" t="str">
        <f ca="1">IF(ISERROR(OFFSET('HARGA SATUAN'!$D$6,MATCH(RAB!C50,'HARGA SATUAN'!$C$7:$C$1492,0),0)),"",OFFSET('HARGA SATUAN'!$D$6,MATCH(RAB!C50,'HARGA SATUAN'!$C$7:$C$1492,0),0))</f>
        <v>HDW</v>
      </c>
      <c r="E50" s="282" t="str">
        <f ca="1">IF(B50="+","Unit",IF(ISERROR(OFFSET('HARGA SATUAN'!$E$6,MATCH(RAB!C50,'HARGA SATUAN'!$C$7:$C$1492,0),0)),"",OFFSET('HARGA SATUAN'!$E$6,MATCH(RAB!C50,'HARGA SATUAN'!$C$7:$C$1492,0),0)))</f>
        <v>Bh</v>
      </c>
      <c r="F50" s="720">
        <f>F44*3</f>
        <v>3</v>
      </c>
      <c r="G50" s="283">
        <f ca="1">IF(ISERROR(OFFSET('HARGA SATUAN'!$I$6,MATCH(RAB!C50,'HARGA SATUAN'!$C$7:$C$1492,0),0)),0,OFFSET('HARGA SATUAN'!$I$6,MATCH(RAB!C50,'HARGA SATUAN'!$C$7:$C$1492,0),0))</f>
        <v>26500</v>
      </c>
      <c r="H50" s="284">
        <f t="shared" ca="1" si="35"/>
        <v>0</v>
      </c>
      <c r="I50" s="284">
        <f t="shared" ca="1" si="36"/>
        <v>79500</v>
      </c>
      <c r="J50" s="284">
        <f t="shared" ca="1" si="37"/>
        <v>0</v>
      </c>
      <c r="K50" s="285">
        <f t="shared" ca="1" si="38"/>
        <v>79500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 t="e">
        <f>IF(AND(C51=0,C52=0,#REF!=0),"BLANKS",1)</f>
        <v>#REF!</v>
      </c>
      <c r="B51" s="499">
        <v>7</v>
      </c>
      <c r="C51" s="500" t="s">
        <v>153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Bh</v>
      </c>
      <c r="F51" s="720">
        <f>F44*4</f>
        <v>4</v>
      </c>
      <c r="G51" s="283">
        <f ca="1">IF(ISERROR(OFFSET('HARGA SATUAN'!$I$6,MATCH(RAB!C51,'HARGA SATUAN'!$C$7:$C$1492,0),0)),0,OFFSET('HARGA SATUAN'!$I$6,MATCH(RAB!C51,'HARGA SATUAN'!$C$7:$C$1492,0),0))</f>
        <v>7938</v>
      </c>
      <c r="H51" s="284">
        <f t="shared" ca="1" si="35"/>
        <v>0</v>
      </c>
      <c r="I51" s="284">
        <f t="shared" ca="1" si="36"/>
        <v>31752</v>
      </c>
      <c r="J51" s="284">
        <f t="shared" ca="1" si="37"/>
        <v>0</v>
      </c>
      <c r="K51" s="285">
        <f t="shared" ca="1" si="38"/>
        <v>31752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 t="e">
        <f>IF(AND(C52=0,#REF!=0,#REF!=0),"BLANKS",1)</f>
        <v>#REF!</v>
      </c>
      <c r="B52" s="499">
        <v>8</v>
      </c>
      <c r="C52" s="500" t="s">
        <v>163</v>
      </c>
      <c r="D52" s="281" t="str">
        <f ca="1">IF(ISERROR(OFFSET('HARGA SATUAN'!$D$6,MATCH(RAB!C52,'HARGA SATUAN'!$C$7:$C$1492,0),0)),"",OFFSET('HARGA SATUAN'!$D$6,MATCH(RAB!C52,'HARGA SATUAN'!$C$7:$C$1492,0),0))</f>
        <v>HDW</v>
      </c>
      <c r="E52" s="282" t="str">
        <f ca="1">IF(B52="+","Unit",IF(ISERROR(OFFSET('HARGA SATUAN'!$E$6,MATCH(RAB!C52,'HARGA SATUAN'!$C$7:$C$1492,0),0)),"",OFFSET('HARGA SATUAN'!$E$6,MATCH(RAB!C52,'HARGA SATUAN'!$C$7:$C$1492,0),0)))</f>
        <v>Bh</v>
      </c>
      <c r="F52" s="720">
        <f>F44*4</f>
        <v>4</v>
      </c>
      <c r="G52" s="283">
        <f ca="1">IF(ISERROR(OFFSET('HARGA SATUAN'!$I$6,MATCH(RAB!C52,'HARGA SATUAN'!$C$7:$C$1492,0),0)),0,OFFSET('HARGA SATUAN'!$I$6,MATCH(RAB!C52,'HARGA SATUAN'!$C$7:$C$1492,0),0))</f>
        <v>45000</v>
      </c>
      <c r="H52" s="284">
        <f t="shared" ca="1" si="35"/>
        <v>0</v>
      </c>
      <c r="I52" s="284">
        <f t="shared" ca="1" si="36"/>
        <v>180000</v>
      </c>
      <c r="J52" s="284">
        <f t="shared" ca="1" si="37"/>
        <v>0</v>
      </c>
      <c r="K52" s="285">
        <f t="shared" ca="1" si="38"/>
        <v>180000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>
      <c r="A53" s="259"/>
      <c r="B53" s="499">
        <v>9</v>
      </c>
      <c r="C53" s="500" t="s">
        <v>168</v>
      </c>
      <c r="D53" s="281" t="str">
        <f ca="1">IF(ISERROR(OFFSET('HARGA SATUAN'!$D$6,MATCH(RAB!C53,'HARGA SATUAN'!$C$7:$C$1492,0),0)),"",OFFSET('HARGA SATUAN'!$D$6,MATCH(RAB!C53,'HARGA SATUAN'!$C$7:$C$1492,0),0))</f>
        <v>HDW</v>
      </c>
      <c r="E53" s="282" t="str">
        <f ca="1">IF(B53="+","Unit",IF(ISERROR(OFFSET('HARGA SATUAN'!$E$6,MATCH(RAB!C53,'HARGA SATUAN'!$C$7:$C$1492,0),0)),"",OFFSET('HARGA SATUAN'!$E$6,MATCH(RAB!C53,'HARGA SATUAN'!$C$7:$C$1492,0),0)))</f>
        <v>Bh</v>
      </c>
      <c r="F53" s="720">
        <f>F44*1</f>
        <v>1</v>
      </c>
      <c r="G53" s="283">
        <f ca="1">IF(ISERROR(OFFSET('HARGA SATUAN'!$I$6,MATCH(RAB!C53,'HARGA SATUAN'!$C$7:$C$1492,0),0)),0,OFFSET('HARGA SATUAN'!$I$6,MATCH(RAB!C53,'HARGA SATUAN'!$C$7:$C$1492,0),0))</f>
        <v>95000</v>
      </c>
      <c r="H53" s="284"/>
      <c r="I53" s="284"/>
      <c r="J53" s="284"/>
      <c r="K53" s="285"/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>
        <f>IF(AND(C54=0,C59=0,C60=0),"BLANKS",1)</f>
        <v>1</v>
      </c>
      <c r="B54" s="499">
        <v>10</v>
      </c>
      <c r="C54" s="500" t="s">
        <v>169</v>
      </c>
      <c r="D54" s="281" t="str">
        <f ca="1">IF(ISERROR(OFFSET('HARGA SATUAN'!$D$6,MATCH(RAB!C54,'HARGA SATUAN'!$C$7:$C$1492,0),0)),"",OFFSET('HARGA SATUAN'!$D$6,MATCH(RAB!C54,'HARGA SATUAN'!$C$7:$C$1492,0),0))</f>
        <v>HDW</v>
      </c>
      <c r="E54" s="282" t="str">
        <f ca="1">IF(B54="+","Unit",IF(ISERROR(OFFSET('HARGA SATUAN'!$E$6,MATCH(RAB!C54,'HARGA SATUAN'!$C$7:$C$1492,0),0)),"",OFFSET('HARGA SATUAN'!$E$6,MATCH(RAB!C54,'HARGA SATUAN'!$C$7:$C$1492,0),0)))</f>
        <v>Bh</v>
      </c>
      <c r="F54" s="720">
        <f>F44*2</f>
        <v>2</v>
      </c>
      <c r="G54" s="283">
        <f ca="1">IF(ISERROR(OFFSET('HARGA SATUAN'!$I$6,MATCH(RAB!C54,'HARGA SATUAN'!$C$7:$C$1492,0),0)),0,OFFSET('HARGA SATUAN'!$I$6,MATCH(RAB!C54,'HARGA SATUAN'!$C$7:$C$1492,0),0))</f>
        <v>15500</v>
      </c>
      <c r="H54" s="284">
        <f t="shared" ref="H54:H59" ca="1" si="39">IF(OR(D54="MDU",D54="MDU-KD"),(IF($O$3="RAB NON MDU","PLN KD",G54*F54)),0)</f>
        <v>0</v>
      </c>
      <c r="I54" s="284">
        <f t="shared" ref="I54:I59" ca="1" si="40">IF(D54="HDW",G54*F54,0)</f>
        <v>31000</v>
      </c>
      <c r="J54" s="284">
        <f t="shared" ref="J54:J59" ca="1" si="41">IF(D54="JASA",G54*F54,0)</f>
        <v>0</v>
      </c>
      <c r="K54" s="285">
        <f t="shared" ref="K54:K59" ca="1" si="42">SUM(H54:J54)</f>
        <v>31000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 t="e">
        <f>IF(AND(C55=0,#REF!=0,#REF!=0),"BLANKS",1)</f>
        <v>#REF!</v>
      </c>
      <c r="B55" s="499">
        <v>11</v>
      </c>
      <c r="C55" s="500" t="s">
        <v>171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720">
        <f>F44*4</f>
        <v>4</v>
      </c>
      <c r="G55" s="283">
        <f ca="1">IF(ISERROR(OFFSET('HARGA SATUAN'!$I$6,MATCH(RAB!C55,'HARGA SATUAN'!$C$7:$C$1492,0),0)),0,OFFSET('HARGA SATUAN'!$I$6,MATCH(RAB!C55,'HARGA SATUAN'!$C$7:$C$1492,0),0))</f>
        <v>28100</v>
      </c>
      <c r="H55" s="284">
        <f t="shared" ca="1" si="39"/>
        <v>0</v>
      </c>
      <c r="I55" s="284">
        <f t="shared" ca="1" si="40"/>
        <v>112400</v>
      </c>
      <c r="J55" s="284">
        <f t="shared" ca="1" si="41"/>
        <v>0</v>
      </c>
      <c r="K55" s="285">
        <f t="shared" ca="1" si="42"/>
        <v>112400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>
        <f t="shared" ref="A56:A57" si="43">IF(AND(C56=0,C57=0,C58=0),"BLANKS",1)</f>
        <v>1</v>
      </c>
      <c r="B56" s="499">
        <v>12</v>
      </c>
      <c r="C56" s="500" t="s">
        <v>583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Bh</v>
      </c>
      <c r="F56" s="720">
        <f>F44*2</f>
        <v>2</v>
      </c>
      <c r="G56" s="283">
        <f ca="1">IF(ISERROR(OFFSET('HARGA SATUAN'!$I$6,MATCH(RAB!C56,'HARGA SATUAN'!$C$7:$C$1492,0),0)),0,OFFSET('HARGA SATUAN'!$I$6,MATCH(RAB!C56,'HARGA SATUAN'!$C$7:$C$1492,0),0))</f>
        <v>380500</v>
      </c>
      <c r="H56" s="284">
        <f t="shared" ca="1" si="39"/>
        <v>0</v>
      </c>
      <c r="I56" s="284">
        <f t="shared" ca="1" si="40"/>
        <v>761000</v>
      </c>
      <c r="J56" s="284">
        <f t="shared" ca="1" si="41"/>
        <v>0</v>
      </c>
      <c r="K56" s="285">
        <f t="shared" ca="1" si="42"/>
        <v>761000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>
      <c r="A57" s="259">
        <f t="shared" si="43"/>
        <v>1</v>
      </c>
      <c r="B57" s="499">
        <v>13</v>
      </c>
      <c r="C57" s="500" t="s">
        <v>207</v>
      </c>
      <c r="D57" s="281" t="str">
        <f ca="1">IF(ISERROR(OFFSET('HARGA SATUAN'!$D$6,MATCH(RAB!C57,'HARGA SATUAN'!$C$7:$C$1492,0),0)),"",OFFSET('HARGA SATUAN'!$D$6,MATCH(RAB!C57,'HARGA SATUAN'!$C$7:$C$1492,0),0))</f>
        <v>HDW</v>
      </c>
      <c r="E57" s="282" t="str">
        <f ca="1">IF(B57="+","Unit",IF(ISERROR(OFFSET('HARGA SATUAN'!$E$6,MATCH(RAB!C57,'HARGA SATUAN'!$C$7:$C$1492,0),0)),"",OFFSET('HARGA SATUAN'!$E$6,MATCH(RAB!C57,'HARGA SATUAN'!$C$7:$C$1492,0),0)))</f>
        <v>Bh</v>
      </c>
      <c r="F57" s="720">
        <f>F44*3</f>
        <v>3</v>
      </c>
      <c r="G57" s="283">
        <f ca="1">IF(ISERROR(OFFSET('HARGA SATUAN'!$I$6,MATCH(RAB!C57,'HARGA SATUAN'!$C$7:$C$1492,0),0)),0,OFFSET('HARGA SATUAN'!$I$6,MATCH(RAB!C57,'HARGA SATUAN'!$C$7:$C$1492,0),0))</f>
        <v>11400</v>
      </c>
      <c r="H57" s="284">
        <f t="shared" ca="1" si="39"/>
        <v>0</v>
      </c>
      <c r="I57" s="284">
        <f t="shared" ca="1" si="40"/>
        <v>34200</v>
      </c>
      <c r="J57" s="284">
        <f t="shared" ca="1" si="41"/>
        <v>0</v>
      </c>
      <c r="K57" s="285">
        <f t="shared" ca="1" si="42"/>
        <v>34200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 t="e">
        <f>IF(AND(C58=0,C59=0,#REF!=0),"BLANKS",1)</f>
        <v>#REF!</v>
      </c>
      <c r="B58" s="499">
        <v>14</v>
      </c>
      <c r="C58" s="500" t="s">
        <v>208</v>
      </c>
      <c r="D58" s="281" t="str">
        <f ca="1">IF(ISERROR(OFFSET('HARGA SATUAN'!$D$6,MATCH(RAB!C58,'HARGA SATUAN'!$C$7:$C$1492,0),0)),"",OFFSET('HARGA SATUAN'!$D$6,MATCH(RAB!C58,'HARGA SATUAN'!$C$7:$C$1492,0),0))</f>
        <v>HDW</v>
      </c>
      <c r="E58" s="282" t="str">
        <f ca="1">IF(B58="+","Unit",IF(ISERROR(OFFSET('HARGA SATUAN'!$E$6,MATCH(RAB!C58,'HARGA SATUAN'!$C$7:$C$1492,0),0)),"",OFFSET('HARGA SATUAN'!$E$6,MATCH(RAB!C58,'HARGA SATUAN'!$C$7:$C$1492,0),0)))</f>
        <v>Bh</v>
      </c>
      <c r="F58" s="720">
        <f>F44*4</f>
        <v>4</v>
      </c>
      <c r="G58" s="283">
        <f ca="1">IF(ISERROR(OFFSET('HARGA SATUAN'!$I$6,MATCH(RAB!C58,'HARGA SATUAN'!$C$7:$C$1492,0),0)),0,OFFSET('HARGA SATUAN'!$I$6,MATCH(RAB!C58,'HARGA SATUAN'!$C$7:$C$1492,0),0))</f>
        <v>29600</v>
      </c>
      <c r="H58" s="284">
        <f t="shared" ca="1" si="39"/>
        <v>0</v>
      </c>
      <c r="I58" s="284">
        <f t="shared" ca="1" si="40"/>
        <v>118400</v>
      </c>
      <c r="J58" s="284">
        <f t="shared" ca="1" si="41"/>
        <v>0</v>
      </c>
      <c r="K58" s="285">
        <f t="shared" ca="1" si="42"/>
        <v>118400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 t="e">
        <f>IF(AND(C59=0,#REF!=0,#REF!=0),"BLANKS",1)</f>
        <v>#REF!</v>
      </c>
      <c r="B59" s="499">
        <v>15</v>
      </c>
      <c r="C59" s="500" t="s">
        <v>213</v>
      </c>
      <c r="D59" s="281" t="str">
        <f ca="1">IF(ISERROR(OFFSET('HARGA SATUAN'!$D$6,MATCH(RAB!C59,'HARGA SATUAN'!$C$7:$C$1492,0),0)),"",OFFSET('HARGA SATUAN'!$D$6,MATCH(RAB!C59,'HARGA SATUAN'!$C$7:$C$1492,0),0))</f>
        <v>HDW</v>
      </c>
      <c r="E59" s="282" t="str">
        <f ca="1">IF(B59="+","Unit",IF(ISERROR(OFFSET('HARGA SATUAN'!$E$6,MATCH(RAB!C59,'HARGA SATUAN'!$C$7:$C$1492,0),0)),"",OFFSET('HARGA SATUAN'!$E$6,MATCH(RAB!C59,'HARGA SATUAN'!$C$7:$C$1492,0),0)))</f>
        <v>Bh</v>
      </c>
      <c r="F59" s="720">
        <f>F44*3</f>
        <v>3</v>
      </c>
      <c r="G59" s="283">
        <f ca="1">IF(ISERROR(OFFSET('HARGA SATUAN'!$I$6,MATCH(RAB!C59,'HARGA SATUAN'!$C$7:$C$1492,0),0)),0,OFFSET('HARGA SATUAN'!$I$6,MATCH(RAB!C59,'HARGA SATUAN'!$C$7:$C$1492,0),0))</f>
        <v>27815</v>
      </c>
      <c r="H59" s="284">
        <f t="shared" ca="1" si="39"/>
        <v>0</v>
      </c>
      <c r="I59" s="284">
        <f t="shared" ca="1" si="40"/>
        <v>83445</v>
      </c>
      <c r="J59" s="284">
        <f t="shared" ca="1" si="41"/>
        <v>0</v>
      </c>
      <c r="K59" s="285">
        <f t="shared" ca="1" si="42"/>
        <v>83445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/>
      <c r="B60" s="499">
        <v>16</v>
      </c>
      <c r="C60" s="500" t="s">
        <v>15</v>
      </c>
      <c r="D60" s="281" t="str">
        <f ca="1">IF(ISERROR(OFFSET('HARGA SATUAN'!$D$6,MATCH(RAB!C60,'HARGA SATUAN'!$C$7:$C$1492,0),0)),"",OFFSET('HARGA SATUAN'!$D$6,MATCH(RAB!C60,'HARGA SATUAN'!$C$7:$C$1492,0),0))</f>
        <v>HDW</v>
      </c>
      <c r="E60" s="282" t="str">
        <f ca="1">IF(B60="+","Unit",IF(ISERROR(OFFSET('HARGA SATUAN'!$E$6,MATCH(RAB!C60,'HARGA SATUAN'!$C$7:$C$1492,0),0)),"",OFFSET('HARGA SATUAN'!$E$6,MATCH(RAB!C60,'HARGA SATUAN'!$C$7:$C$1492,0),0)))</f>
        <v>Bh</v>
      </c>
      <c r="F60" s="720">
        <f>F44*9</f>
        <v>9</v>
      </c>
      <c r="G60" s="283">
        <f ca="1">IF(ISERROR(OFFSET('HARGA SATUAN'!$I$6,MATCH(RAB!C60,'HARGA SATUAN'!$C$7:$C$1492,0),0)),0,OFFSET('HARGA SATUAN'!$I$6,MATCH(RAB!C60,'HARGA SATUAN'!$C$7:$C$1492,0),0))</f>
        <v>23936</v>
      </c>
      <c r="H60" s="284"/>
      <c r="I60" s="284"/>
      <c r="J60" s="284"/>
      <c r="K60" s="285"/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>
        <f>IF(AND(C61=0,C66=0,C67=0),"BLANKS",1)</f>
        <v>1</v>
      </c>
      <c r="B61" s="499">
        <v>17</v>
      </c>
      <c r="C61" s="500" t="s">
        <v>27</v>
      </c>
      <c r="D61" s="281" t="str">
        <f ca="1">IF(ISERROR(OFFSET('HARGA SATUAN'!$D$6,MATCH(RAB!C61,'HARGA SATUAN'!$C$7:$C$1492,0),0)),"",OFFSET('HARGA SATUAN'!$D$6,MATCH(RAB!C61,'HARGA SATUAN'!$C$7:$C$1492,0),0))</f>
        <v>HDW</v>
      </c>
      <c r="E61" s="282" t="str">
        <f ca="1">IF(B61="+","Unit",IF(ISERROR(OFFSET('HARGA SATUAN'!$E$6,MATCH(RAB!C61,'HARGA SATUAN'!$C$7:$C$1492,0),0)),"",OFFSET('HARGA SATUAN'!$E$6,MATCH(RAB!C61,'HARGA SATUAN'!$C$7:$C$1492,0),0)))</f>
        <v>Bh</v>
      </c>
      <c r="F61" s="720">
        <f>F44*1</f>
        <v>1</v>
      </c>
      <c r="G61" s="283">
        <f ca="1">IF(ISERROR(OFFSET('HARGA SATUAN'!$I$6,MATCH(RAB!C61,'HARGA SATUAN'!$C$7:$C$1492,0),0)),0,OFFSET('HARGA SATUAN'!$I$6,MATCH(RAB!C61,'HARGA SATUAN'!$C$7:$C$1492,0),0))</f>
        <v>63500</v>
      </c>
      <c r="H61" s="284">
        <f t="shared" ref="H61:H69" ca="1" si="44">IF(OR(D61="MDU",D61="MDU-KD"),(IF($O$3="RAB NON MDU","PLN KD",G61*F61)),0)</f>
        <v>0</v>
      </c>
      <c r="I61" s="284">
        <f t="shared" ref="I61:I69" ca="1" si="45">IF(D61="HDW",G61*F61,0)</f>
        <v>63500</v>
      </c>
      <c r="J61" s="284">
        <f t="shared" ref="J61:J69" ca="1" si="46">IF(D61="JASA",G61*F61,0)</f>
        <v>0</v>
      </c>
      <c r="K61" s="285">
        <f t="shared" ref="K61:K69" ca="1" si="47">SUM(H61:J61)</f>
        <v>63500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 t="e">
        <f>IF(AND(C62=0,#REF!=0,#REF!=0),"BLANKS",1)</f>
        <v>#REF!</v>
      </c>
      <c r="B62" s="499">
        <v>18</v>
      </c>
      <c r="C62" s="500" t="s">
        <v>17</v>
      </c>
      <c r="D62" s="281" t="str">
        <f ca="1">IF(ISERROR(OFFSET('HARGA SATUAN'!$D$6,MATCH(RAB!C62,'HARGA SATUAN'!$C$7:$C$1492,0),0)),"",OFFSET('HARGA SATUAN'!$D$6,MATCH(RAB!C62,'HARGA SATUAN'!$C$7:$C$1492,0),0))</f>
        <v>HDW</v>
      </c>
      <c r="E62" s="282" t="str">
        <f ca="1">IF(B62="+","Unit",IF(ISERROR(OFFSET('HARGA SATUAN'!$E$6,MATCH(RAB!C62,'HARGA SATUAN'!$C$7:$C$1492,0),0)),"",OFFSET('HARGA SATUAN'!$E$6,MATCH(RAB!C62,'HARGA SATUAN'!$C$7:$C$1492,0),0)))</f>
        <v>Bh</v>
      </c>
      <c r="F62" s="720">
        <f>F44*8</f>
        <v>8</v>
      </c>
      <c r="G62" s="283">
        <f ca="1">IF(ISERROR(OFFSET('HARGA SATUAN'!$I$6,MATCH(RAB!C62,'HARGA SATUAN'!$C$7:$C$1492,0),0)),0,OFFSET('HARGA SATUAN'!$I$6,MATCH(RAB!C62,'HARGA SATUAN'!$C$7:$C$1492,0),0))</f>
        <v>16000</v>
      </c>
      <c r="H62" s="284">
        <f t="shared" ca="1" si="44"/>
        <v>0</v>
      </c>
      <c r="I62" s="284">
        <f t="shared" ca="1" si="45"/>
        <v>128000</v>
      </c>
      <c r="J62" s="284">
        <f t="shared" ca="1" si="46"/>
        <v>0</v>
      </c>
      <c r="K62" s="285">
        <f t="shared" ca="1" si="47"/>
        <v>128000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>
        <f t="shared" ref="A63:A67" si="48">IF(AND(C63=0,C64=0,C65=0),"BLANKS",1)</f>
        <v>1</v>
      </c>
      <c r="B63" s="499">
        <v>19</v>
      </c>
      <c r="C63" s="500" t="s">
        <v>255</v>
      </c>
      <c r="D63" s="281" t="str">
        <f ca="1">IF(ISERROR(OFFSET('HARGA SATUAN'!$D$6,MATCH(RAB!C63,'HARGA SATUAN'!$C$7:$C$1492,0),0)),"",OFFSET('HARGA SATUAN'!$D$6,MATCH(RAB!C63,'HARGA SATUAN'!$C$7:$C$1492,0),0))</f>
        <v>HDW</v>
      </c>
      <c r="E63" s="282" t="str">
        <f ca="1">IF(B63="+","Unit",IF(ISERROR(OFFSET('HARGA SATUAN'!$E$6,MATCH(RAB!C63,'HARGA SATUAN'!$C$7:$C$1492,0),0)),"",OFFSET('HARGA SATUAN'!$E$6,MATCH(RAB!C63,'HARGA SATUAN'!$C$7:$C$1492,0),0)))</f>
        <v>Bh</v>
      </c>
      <c r="F63" s="720">
        <f>F44*2</f>
        <v>2</v>
      </c>
      <c r="G63" s="283">
        <f ca="1">IF(ISERROR(OFFSET('HARGA SATUAN'!$I$6,MATCH(RAB!C63,'HARGA SATUAN'!$C$7:$C$1492,0),0)),0,OFFSET('HARGA SATUAN'!$I$6,MATCH(RAB!C63,'HARGA SATUAN'!$C$7:$C$1492,0),0))</f>
        <v>33501.866666666669</v>
      </c>
      <c r="H63" s="284">
        <f t="shared" ca="1" si="44"/>
        <v>0</v>
      </c>
      <c r="I63" s="284">
        <f t="shared" ca="1" si="45"/>
        <v>67003.733333333337</v>
      </c>
      <c r="J63" s="284">
        <f t="shared" ca="1" si="46"/>
        <v>0</v>
      </c>
      <c r="K63" s="285">
        <f t="shared" ca="1" si="47"/>
        <v>67003.733333333337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>
      <c r="A64" s="259">
        <f t="shared" si="48"/>
        <v>1</v>
      </c>
      <c r="B64" s="499">
        <v>20</v>
      </c>
      <c r="C64" s="500" t="s">
        <v>28</v>
      </c>
      <c r="D64" s="281" t="str">
        <f ca="1">IF(ISERROR(OFFSET('HARGA SATUAN'!$D$6,MATCH(RAB!C64,'HARGA SATUAN'!$C$7:$C$1492,0),0)),"",OFFSET('HARGA SATUAN'!$D$6,MATCH(RAB!C64,'HARGA SATUAN'!$C$7:$C$1492,0),0))</f>
        <v>HDW</v>
      </c>
      <c r="E64" s="282" t="str">
        <f ca="1">IF(B64="+","Unit",IF(ISERROR(OFFSET('HARGA SATUAN'!$E$6,MATCH(RAB!C64,'HARGA SATUAN'!$C$7:$C$1492,0),0)),"",OFFSET('HARGA SATUAN'!$E$6,MATCH(RAB!C64,'HARGA SATUAN'!$C$7:$C$1492,0),0)))</f>
        <v>Mtr</v>
      </c>
      <c r="F64" s="720">
        <f>5.4*F44</f>
        <v>5.4</v>
      </c>
      <c r="G64" s="283">
        <f ca="1">IF(ISERROR(OFFSET('HARGA SATUAN'!$I$6,MATCH(RAB!C64,'HARGA SATUAN'!$C$7:$C$1492,0),0)),0,OFFSET('HARGA SATUAN'!$I$6,MATCH(RAB!C64,'HARGA SATUAN'!$C$7:$C$1492,0),0))</f>
        <v>8550</v>
      </c>
      <c r="H64" s="284">
        <f t="shared" ca="1" si="44"/>
        <v>0</v>
      </c>
      <c r="I64" s="284">
        <f t="shared" ca="1" si="45"/>
        <v>46170</v>
      </c>
      <c r="J64" s="284">
        <f t="shared" ca="1" si="46"/>
        <v>0</v>
      </c>
      <c r="K64" s="285">
        <f t="shared" ca="1" si="47"/>
        <v>46170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>
      <c r="A65" s="259">
        <f t="shared" si="48"/>
        <v>1</v>
      </c>
      <c r="B65" s="499">
        <v>21</v>
      </c>
      <c r="C65" s="500" t="s">
        <v>16</v>
      </c>
      <c r="D65" s="281" t="str">
        <f ca="1">IF(ISERROR(OFFSET('HARGA SATUAN'!$D$6,MATCH(RAB!C65,'HARGA SATUAN'!$C$7:$C$1492,0),0)),"",OFFSET('HARGA SATUAN'!$D$6,MATCH(RAB!C65,'HARGA SATUAN'!$C$7:$C$1492,0),0))</f>
        <v>HDW</v>
      </c>
      <c r="E65" s="282" t="str">
        <f ca="1">IF(B65="+","Unit",IF(ISERROR(OFFSET('HARGA SATUAN'!$E$6,MATCH(RAB!C65,'HARGA SATUAN'!$C$7:$C$1492,0),0)),"",OFFSET('HARGA SATUAN'!$E$6,MATCH(RAB!C65,'HARGA SATUAN'!$C$7:$C$1492,0),0)))</f>
        <v>Bh</v>
      </c>
      <c r="F65" s="720">
        <f>F44*13</f>
        <v>13</v>
      </c>
      <c r="G65" s="283">
        <f ca="1">IF(ISERROR(OFFSET('HARGA SATUAN'!$I$6,MATCH(RAB!C65,'HARGA SATUAN'!$C$7:$C$1492,0),0)),0,OFFSET('HARGA SATUAN'!$I$6,MATCH(RAB!C65,'HARGA SATUAN'!$C$7:$C$1492,0),0))</f>
        <v>2500</v>
      </c>
      <c r="H65" s="284">
        <f t="shared" ca="1" si="44"/>
        <v>0</v>
      </c>
      <c r="I65" s="284">
        <f t="shared" ca="1" si="45"/>
        <v>32500</v>
      </c>
      <c r="J65" s="284">
        <f t="shared" ca="1" si="46"/>
        <v>0</v>
      </c>
      <c r="K65" s="285">
        <f t="shared" ca="1" si="47"/>
        <v>32500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>
      <c r="A66" s="259">
        <f t="shared" si="48"/>
        <v>1</v>
      </c>
      <c r="B66" s="499">
        <v>22</v>
      </c>
      <c r="C66" s="500" t="s">
        <v>698</v>
      </c>
      <c r="D66" s="281" t="str">
        <f ca="1">IF(ISERROR(OFFSET('HARGA SATUAN'!$D$6,MATCH(RAB!C66,'HARGA SATUAN'!$C$7:$C$1492,0),0)),"",OFFSET('HARGA SATUAN'!$D$6,MATCH(RAB!C66,'HARGA SATUAN'!$C$7:$C$1492,0),0))</f>
        <v>JASA</v>
      </c>
      <c r="E66" s="282" t="str">
        <f ca="1">IF(B66="+","Unit",IF(ISERROR(OFFSET('HARGA SATUAN'!$E$6,MATCH(RAB!C66,'HARGA SATUAN'!$C$7:$C$1492,0),0)),"",OFFSET('HARGA SATUAN'!$E$6,MATCH(RAB!C66,'HARGA SATUAN'!$C$7:$C$1492,0),0)))</f>
        <v>Unit</v>
      </c>
      <c r="F66" s="720">
        <f>F44*1</f>
        <v>1</v>
      </c>
      <c r="G66" s="283">
        <f ca="1">IF(ISERROR(OFFSET('HARGA SATUAN'!$I$6,MATCH(RAB!C66,'HARGA SATUAN'!$C$7:$C$1492,0),0)),0,OFFSET('HARGA SATUAN'!$I$6,MATCH(RAB!C66,'HARGA SATUAN'!$C$7:$C$1492,0),0))</f>
        <v>254900</v>
      </c>
      <c r="H66" s="284">
        <f t="shared" ca="1" si="44"/>
        <v>0</v>
      </c>
      <c r="I66" s="284">
        <f t="shared" ca="1" si="45"/>
        <v>0</v>
      </c>
      <c r="J66" s="284">
        <f t="shared" ca="1" si="46"/>
        <v>254900</v>
      </c>
      <c r="K66" s="285">
        <f t="shared" ca="1" si="47"/>
        <v>254900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>
      <c r="A67" s="259">
        <f t="shared" si="48"/>
        <v>1</v>
      </c>
      <c r="B67" s="499"/>
      <c r="C67" s="500"/>
      <c r="D67" s="281" t="str">
        <f ca="1">IF(ISERROR(OFFSET('HARGA SATUAN'!$D$6,MATCH(RAB!C67,'HARGA SATUAN'!$C$7:$C$1492,0),0)),"",OFFSET('HARGA SATUAN'!$D$6,MATCH(RAB!C67,'HARGA SATUAN'!$C$7:$C$1492,0),0))</f>
        <v/>
      </c>
      <c r="E67" s="282" t="str">
        <f ca="1">IF(B67="+","Unit",IF(ISERROR(OFFSET('HARGA SATUAN'!$E$6,MATCH(RAB!C67,'HARGA SATUAN'!$C$7:$C$1492,0),0)),"",OFFSET('HARGA SATUAN'!$E$6,MATCH(RAB!C67,'HARGA SATUAN'!$C$7:$C$1492,0),0)))</f>
        <v/>
      </c>
      <c r="F67" s="393"/>
      <c r="G67" s="283">
        <f ca="1">IF(ISERROR(OFFSET('HARGA SATUAN'!$I$6,MATCH(RAB!C67,'HARGA SATUAN'!$C$7:$C$1492,0),0)),0,OFFSET('HARGA SATUAN'!$I$6,MATCH(RAB!C67,'HARGA SATUAN'!$C$7:$C$1492,0),0))</f>
        <v>0</v>
      </c>
      <c r="H67" s="284">
        <f t="shared" ca="1" si="44"/>
        <v>0</v>
      </c>
      <c r="I67" s="284">
        <f t="shared" ca="1" si="45"/>
        <v>0</v>
      </c>
      <c r="J67" s="284">
        <f t="shared" ca="1" si="46"/>
        <v>0</v>
      </c>
      <c r="K67" s="285">
        <f t="shared" ca="1" si="47"/>
        <v>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>
      <c r="A68" s="259" t="e">
        <f>IF(AND(C68=0,C69=0,#REF!=0),"BLANKS",1)</f>
        <v>#REF!</v>
      </c>
      <c r="B68" s="499" t="s">
        <v>1005</v>
      </c>
      <c r="C68" s="500" t="s">
        <v>1636</v>
      </c>
      <c r="D68" s="281" t="str">
        <f ca="1">IF(ISERROR(OFFSET('HARGA SATUAN'!$D$6,MATCH(RAB!C68,'HARGA SATUAN'!$C$7:$C$1492,0),0)),"",OFFSET('HARGA SATUAN'!$D$6,MATCH(RAB!C68,'HARGA SATUAN'!$C$7:$C$1492,0),0))</f>
        <v/>
      </c>
      <c r="E68" s="282" t="str">
        <f ca="1">IF(B68="+","Unit",IF(ISERROR(OFFSET('HARGA SATUAN'!$E$6,MATCH(RAB!C68,'HARGA SATUAN'!$C$7:$C$1492,0),0)),"",OFFSET('HARGA SATUAN'!$E$6,MATCH(RAB!C68,'HARGA SATUAN'!$C$7:$C$1492,0),0)))</f>
        <v>Unit</v>
      </c>
      <c r="F68" s="515">
        <v>2</v>
      </c>
      <c r="G68" s="283">
        <f ca="1">IF(ISERROR(OFFSET('HARGA SATUAN'!$I$6,MATCH(RAB!C68,'HARGA SATUAN'!$C$7:$C$1492,0),0)),0,OFFSET('HARGA SATUAN'!$I$6,MATCH(RAB!C68,'HARGA SATUAN'!$C$7:$C$1492,0),0))</f>
        <v>0</v>
      </c>
      <c r="H68" s="284">
        <f t="shared" ca="1" si="44"/>
        <v>0</v>
      </c>
      <c r="I68" s="284">
        <f t="shared" ca="1" si="45"/>
        <v>0</v>
      </c>
      <c r="J68" s="284">
        <f t="shared" ca="1" si="46"/>
        <v>0</v>
      </c>
      <c r="K68" s="285">
        <f t="shared" ca="1" si="47"/>
        <v>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>
      <c r="A69" s="259" t="e">
        <f>IF(AND(C69=0,#REF!=0,#REF!=0),"BLANKS",1)</f>
        <v>#REF!</v>
      </c>
      <c r="B69" s="499">
        <v>1</v>
      </c>
      <c r="C69" s="500" t="s">
        <v>1529</v>
      </c>
      <c r="D69" s="281" t="str">
        <f ca="1">IF(ISERROR(OFFSET('HARGA SATUAN'!$D$6,MATCH(RAB!C69,'HARGA SATUAN'!$C$7:$C$1492,0),0)),"",OFFSET('HARGA SATUAN'!$D$6,MATCH(RAB!C69,'HARGA SATUAN'!$C$7:$C$1492,0),0))</f>
        <v>MDU-KD</v>
      </c>
      <c r="E69" s="282" t="str">
        <f ca="1">IF(B69="+","Unit",IF(ISERROR(OFFSET('HARGA SATUAN'!$E$6,MATCH(RAB!C69,'HARGA SATUAN'!$C$7:$C$1492,0),0)),"",OFFSET('HARGA SATUAN'!$E$6,MATCH(RAB!C69,'HARGA SATUAN'!$C$7:$C$1492,0),0)))</f>
        <v>Bh</v>
      </c>
      <c r="F69" s="515">
        <f>F68*1</f>
        <v>2</v>
      </c>
      <c r="G69" s="283">
        <f ca="1">IF(ISERROR(OFFSET('HARGA SATUAN'!$I$6,MATCH(RAB!C69,'HARGA SATUAN'!$C$7:$C$1492,0),0)),0,OFFSET('HARGA SATUAN'!$I$6,MATCH(RAB!C69,'HARGA SATUAN'!$C$7:$C$1492,0),0))</f>
        <v>235900</v>
      </c>
      <c r="H69" s="284">
        <f t="shared" ca="1" si="44"/>
        <v>471800</v>
      </c>
      <c r="I69" s="284">
        <f t="shared" ca="1" si="45"/>
        <v>0</v>
      </c>
      <c r="J69" s="284">
        <f t="shared" ca="1" si="46"/>
        <v>0</v>
      </c>
      <c r="K69" s="285">
        <f t="shared" ca="1" si="47"/>
        <v>471800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/>
      <c r="B70" s="499">
        <v>2</v>
      </c>
      <c r="C70" s="500" t="s">
        <v>16</v>
      </c>
      <c r="D70" s="281" t="str">
        <f ca="1">IF(ISERROR(OFFSET('HARGA SATUAN'!$D$6,MATCH(RAB!C70,'HARGA SATUAN'!$C$7:$C$1492,0),0)),"",OFFSET('HARGA SATUAN'!$D$6,MATCH(RAB!C70,'HARGA SATUAN'!$C$7:$C$1492,0),0))</f>
        <v>HDW</v>
      </c>
      <c r="E70" s="282" t="str">
        <f ca="1">IF(B70="+","Unit",IF(ISERROR(OFFSET('HARGA SATUAN'!$E$6,MATCH(RAB!C70,'HARGA SATUAN'!$C$7:$C$1492,0),0)),"",OFFSET('HARGA SATUAN'!$E$6,MATCH(RAB!C70,'HARGA SATUAN'!$C$7:$C$1492,0),0)))</f>
        <v>Bh</v>
      </c>
      <c r="F70" s="515">
        <f>F68*2</f>
        <v>4</v>
      </c>
      <c r="G70" s="283">
        <f ca="1">IF(ISERROR(OFFSET('HARGA SATUAN'!$I$6,MATCH(RAB!C70,'HARGA SATUAN'!$C$7:$C$1492,0),0)),0,OFFSET('HARGA SATUAN'!$I$6,MATCH(RAB!C70,'HARGA SATUAN'!$C$7:$C$1492,0),0))</f>
        <v>2500</v>
      </c>
      <c r="H70" s="284"/>
      <c r="I70" s="284"/>
      <c r="J70" s="284"/>
      <c r="K70" s="285"/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 t="e">
        <f>IF(AND(C71=0,#REF!=0,#REF!=0),"BLANKS",1)</f>
        <v>#REF!</v>
      </c>
      <c r="B71" s="499">
        <v>3</v>
      </c>
      <c r="C71" s="500" t="s">
        <v>28</v>
      </c>
      <c r="D71" s="281" t="str">
        <f ca="1">IF(ISERROR(OFFSET('HARGA SATUAN'!$D$6,MATCH(RAB!C71,'HARGA SATUAN'!$C$7:$C$1492,0),0)),"",OFFSET('HARGA SATUAN'!$D$6,MATCH(RAB!C71,'HARGA SATUAN'!$C$7:$C$1492,0),0))</f>
        <v>HDW</v>
      </c>
      <c r="E71" s="282" t="str">
        <f ca="1">IF(B71="+","Unit",IF(ISERROR(OFFSET('HARGA SATUAN'!$E$6,MATCH(RAB!C71,'HARGA SATUAN'!$C$7:$C$1492,0),0)),"",OFFSET('HARGA SATUAN'!$E$6,MATCH(RAB!C71,'HARGA SATUAN'!$C$7:$C$1492,0),0)))</f>
        <v>Mtr</v>
      </c>
      <c r="F71" s="515">
        <f>F69*1.8</f>
        <v>3.6</v>
      </c>
      <c r="G71" s="283">
        <f ca="1">IF(ISERROR(OFFSET('HARGA SATUAN'!$I$6,MATCH(RAB!C71,'HARGA SATUAN'!$C$7:$C$1492,0),0)),0,OFFSET('HARGA SATUAN'!$I$6,MATCH(RAB!C71,'HARGA SATUAN'!$C$7:$C$1492,0),0))</f>
        <v>8550</v>
      </c>
      <c r="H71" s="284">
        <f t="shared" ref="H71:H72" ca="1" si="49">IF(OR(D71="MDU",D71="MDU-KD"),(IF($O$3="RAB NON MDU","PLN KD",G71*F71)),0)</f>
        <v>0</v>
      </c>
      <c r="I71" s="284">
        <f t="shared" ref="I71:I72" ca="1" si="50">IF(D71="HDW",G71*F71,0)</f>
        <v>30780</v>
      </c>
      <c r="J71" s="284">
        <f t="shared" ref="J71:J72" ca="1" si="51">IF(D71="JASA",G71*F71,0)</f>
        <v>0</v>
      </c>
      <c r="K71" s="285">
        <f t="shared" ref="K71:K72" ca="1" si="52">SUM(H71:J71)</f>
        <v>30780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>
      <c r="A72" s="259" t="e">
        <f>IF(AND(C72=0,#REF!=0,#REF!=0),"BLANKS",1)</f>
        <v>#REF!</v>
      </c>
      <c r="B72" s="499">
        <v>4</v>
      </c>
      <c r="C72" s="500" t="s">
        <v>734</v>
      </c>
      <c r="D72" s="281" t="str">
        <f ca="1">IF(ISERROR(OFFSET('HARGA SATUAN'!$D$6,MATCH(RAB!C72,'HARGA SATUAN'!$C$7:$C$1492,0),0)),"",OFFSET('HARGA SATUAN'!$D$6,MATCH(RAB!C72,'HARGA SATUAN'!$C$7:$C$1492,0),0))</f>
        <v>JASA</v>
      </c>
      <c r="E72" s="282" t="str">
        <f ca="1">IF(B72="+","Unit",IF(ISERROR(OFFSET('HARGA SATUAN'!$E$6,MATCH(RAB!C72,'HARGA SATUAN'!$C$7:$C$1492,0),0)),"",OFFSET('HARGA SATUAN'!$E$6,MATCH(RAB!C72,'HARGA SATUAN'!$C$7:$C$1492,0),0)))</f>
        <v>Unit</v>
      </c>
      <c r="F72" s="515">
        <f>F68*1</f>
        <v>2</v>
      </c>
      <c r="G72" s="283">
        <f ca="1">IF(ISERROR(OFFSET('HARGA SATUAN'!$I$6,MATCH(RAB!C72,'HARGA SATUAN'!$C$7:$C$1492,0),0)),0,OFFSET('HARGA SATUAN'!$I$6,MATCH(RAB!C72,'HARGA SATUAN'!$C$7:$C$1492,0),0))</f>
        <v>31200</v>
      </c>
      <c r="H72" s="284">
        <f t="shared" ca="1" si="49"/>
        <v>0</v>
      </c>
      <c r="I72" s="284">
        <f t="shared" ca="1" si="50"/>
        <v>0</v>
      </c>
      <c r="J72" s="284">
        <f t="shared" ca="1" si="51"/>
        <v>62400</v>
      </c>
      <c r="K72" s="285">
        <f t="shared" ca="1" si="52"/>
        <v>62400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 t="e">
        <f>IF(AND(C73=0,#REF!=0,#REF!=0),"BLANKS",1)</f>
        <v>#REF!</v>
      </c>
      <c r="B73" s="499"/>
      <c r="C73" s="500"/>
      <c r="D73" s="281" t="str">
        <f ca="1">IF(ISERROR(OFFSET('HARGA SATUAN'!$D$6,MATCH(RAB!C73,'HARGA SATUAN'!$C$7:$C$1492,0),0)),"",OFFSET('HARGA SATUAN'!$D$6,MATCH(RAB!C73,'HARGA SATUAN'!$C$7:$C$1492,0),0))</f>
        <v/>
      </c>
      <c r="E73" s="282" t="str">
        <f ca="1">IF(B73="+","Unit",IF(ISERROR(OFFSET('HARGA SATUAN'!$E$6,MATCH(RAB!C73,'HARGA SATUAN'!$C$7:$C$1492,0),0)),"",OFFSET('HARGA SATUAN'!$E$6,MATCH(RAB!C73,'HARGA SATUAN'!$C$7:$C$1492,0),0)))</f>
        <v/>
      </c>
      <c r="F73" s="510"/>
      <c r="G73" s="283">
        <f ca="1">IF(ISERROR(OFFSET('HARGA SATUAN'!$I$6,MATCH(RAB!C73,'HARGA SATUAN'!$C$7:$C$1492,0),0)),0,OFFSET('HARGA SATUAN'!$I$6,MATCH(RAB!C73,'HARGA SATUAN'!$C$7:$C$1492,0),0))</f>
        <v>0</v>
      </c>
      <c r="H73" s="284">
        <f t="shared" ca="1" si="30"/>
        <v>0</v>
      </c>
      <c r="I73" s="284">
        <f t="shared" ca="1" si="31"/>
        <v>0</v>
      </c>
      <c r="J73" s="284">
        <f t="shared" ca="1" si="32"/>
        <v>0</v>
      </c>
      <c r="K73" s="285">
        <f t="shared" ca="1" si="33"/>
        <v>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 t="e">
        <f>IF(AND(#REF!=0,#REF!=0,#REF!=0),"BLANKS",1)</f>
        <v>#REF!</v>
      </c>
      <c r="B74" s="499" t="s">
        <v>1005</v>
      </c>
      <c r="C74" s="500" t="s">
        <v>1637</v>
      </c>
      <c r="D74" s="281" t="str">
        <f ca="1">IF(ISERROR(OFFSET('HARGA SATUAN'!$D$6,MATCH(RAB!C74,'HARGA SATUAN'!$C$7:$C$1492,0),0)),"",OFFSET('HARGA SATUAN'!$D$6,MATCH(RAB!C74,'HARGA SATUAN'!$C$7:$C$1492,0),0))</f>
        <v/>
      </c>
      <c r="E74" s="282" t="str">
        <f ca="1">IF(B74="+","Unit",IF(ISERROR(OFFSET('HARGA SATUAN'!$E$6,MATCH(RAB!C74,'HARGA SATUAN'!$C$7:$C$1492,0),0)),"",OFFSET('HARGA SATUAN'!$E$6,MATCH(RAB!C74,'HARGA SATUAN'!$C$7:$C$1492,0),0)))</f>
        <v>Unit</v>
      </c>
      <c r="F74" s="510">
        <v>2</v>
      </c>
      <c r="G74" s="283">
        <f ca="1">IF(ISERROR(OFFSET('HARGA SATUAN'!$I$6,MATCH(RAB!C74,'HARGA SATUAN'!$C$7:$C$1492,0),0)),0,OFFSET('HARGA SATUAN'!$I$6,MATCH(RAB!C74,'HARGA SATUAN'!$C$7:$C$1492,0),0))</f>
        <v>0</v>
      </c>
      <c r="H74" s="284">
        <f t="shared" ca="1" si="30"/>
        <v>0</v>
      </c>
      <c r="I74" s="284">
        <f t="shared" ca="1" si="31"/>
        <v>0</v>
      </c>
      <c r="J74" s="284">
        <f t="shared" ca="1" si="32"/>
        <v>0</v>
      </c>
      <c r="K74" s="285">
        <f t="shared" ca="1" si="33"/>
        <v>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>
      <c r="A75" s="259" t="e">
        <f>IF(AND(#REF!=0,#REF!=0,#REF!=0),"BLANKS",1)</f>
        <v>#REF!</v>
      </c>
      <c r="B75" s="499">
        <v>1</v>
      </c>
      <c r="C75" s="500" t="s">
        <v>20</v>
      </c>
      <c r="D75" s="281" t="str">
        <f ca="1">IF(ISERROR(OFFSET('HARGA SATUAN'!$D$6,MATCH(RAB!C75,'HARGA SATUAN'!$C$7:$C$1492,0),0)),"",OFFSET('HARGA SATUAN'!$D$6,MATCH(RAB!C75,'HARGA SATUAN'!$C$7:$C$1492,0),0))</f>
        <v>HDW</v>
      </c>
      <c r="E75" s="282" t="str">
        <f ca="1">IF(B75="+","Unit",IF(ISERROR(OFFSET('HARGA SATUAN'!$E$6,MATCH(RAB!C75,'HARGA SATUAN'!$C$7:$C$1492,0),0)),"",OFFSET('HARGA SATUAN'!$E$6,MATCH(RAB!C75,'HARGA SATUAN'!$C$7:$C$1492,0),0)))</f>
        <v>Bh</v>
      </c>
      <c r="F75" s="510">
        <f>F74*1</f>
        <v>2</v>
      </c>
      <c r="G75" s="283">
        <f ca="1">IF(ISERROR(OFFSET('HARGA SATUAN'!$I$6,MATCH(RAB!C75,'HARGA SATUAN'!$C$7:$C$1492,0),0)),0,OFFSET('HARGA SATUAN'!$I$6,MATCH(RAB!C75,'HARGA SATUAN'!$C$7:$C$1492,0),0))</f>
        <v>47459</v>
      </c>
      <c r="H75" s="284">
        <f t="shared" ca="1" si="30"/>
        <v>0</v>
      </c>
      <c r="I75" s="284">
        <f t="shared" ca="1" si="31"/>
        <v>94918</v>
      </c>
      <c r="J75" s="284">
        <f t="shared" ca="1" si="32"/>
        <v>0</v>
      </c>
      <c r="K75" s="285">
        <f t="shared" ca="1" si="33"/>
        <v>94918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>
      <c r="A76" s="259" t="e">
        <f>IF(AND(#REF!=0,#REF!=0,#REF!=0),"BLANKS",1)</f>
        <v>#REF!</v>
      </c>
      <c r="B76" s="499">
        <v>2</v>
      </c>
      <c r="C76" s="500" t="s">
        <v>22</v>
      </c>
      <c r="D76" s="281" t="str">
        <f ca="1">IF(ISERROR(OFFSET('HARGA SATUAN'!$D$6,MATCH(RAB!C76,'HARGA SATUAN'!$C$7:$C$1492,0),0)),"",OFFSET('HARGA SATUAN'!$D$6,MATCH(RAB!C76,'HARGA SATUAN'!$C$7:$C$1492,0),0))</f>
        <v>HDW</v>
      </c>
      <c r="E76" s="282" t="str">
        <f ca="1">IF(B76="+","Unit",IF(ISERROR(OFFSET('HARGA SATUAN'!$E$6,MATCH(RAB!C76,'HARGA SATUAN'!$C$7:$C$1492,0),0)),"",OFFSET('HARGA SATUAN'!$E$6,MATCH(RAB!C76,'HARGA SATUAN'!$C$7:$C$1492,0),0)))</f>
        <v>Mtr</v>
      </c>
      <c r="F76" s="510">
        <f>F74*0.8</f>
        <v>1.6</v>
      </c>
      <c r="G76" s="283">
        <f ca="1">IF(ISERROR(OFFSET('HARGA SATUAN'!$I$6,MATCH(RAB!C76,'HARGA SATUAN'!$C$7:$C$1492,0),0)),0,OFFSET('HARGA SATUAN'!$I$6,MATCH(RAB!C76,'HARGA SATUAN'!$C$7:$C$1492,0),0))</f>
        <v>30000</v>
      </c>
      <c r="H76" s="284">
        <f t="shared" ca="1" si="30"/>
        <v>0</v>
      </c>
      <c r="I76" s="284">
        <f t="shared" ca="1" si="31"/>
        <v>48000</v>
      </c>
      <c r="J76" s="284">
        <f t="shared" ca="1" si="32"/>
        <v>0</v>
      </c>
      <c r="K76" s="285">
        <f t="shared" ca="1" si="33"/>
        <v>48000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>
      <c r="A77" s="259" t="e">
        <f>IF(AND(#REF!=0,#REF!=0,#REF!=0),"BLANKS",1)</f>
        <v>#REF!</v>
      </c>
      <c r="B77" s="499">
        <v>3</v>
      </c>
      <c r="C77" s="500" t="s">
        <v>23</v>
      </c>
      <c r="D77" s="281" t="str">
        <f ca="1">IF(ISERROR(OFFSET('HARGA SATUAN'!$D$6,MATCH(RAB!C77,'HARGA SATUAN'!$C$7:$C$1492,0),0)),"",OFFSET('HARGA SATUAN'!$D$6,MATCH(RAB!C77,'HARGA SATUAN'!$C$7:$C$1492,0),0))</f>
        <v>HDW</v>
      </c>
      <c r="E77" s="282" t="str">
        <f ca="1">IF(B77="+","Unit",IF(ISERROR(OFFSET('HARGA SATUAN'!$E$6,MATCH(RAB!C77,'HARGA SATUAN'!$C$7:$C$1492,0),0)),"",OFFSET('HARGA SATUAN'!$E$6,MATCH(RAB!C77,'HARGA SATUAN'!$C$7:$C$1492,0),0)))</f>
        <v>Bh</v>
      </c>
      <c r="F77" s="510">
        <f>F74*1</f>
        <v>2</v>
      </c>
      <c r="G77" s="283">
        <f ca="1">IF(ISERROR(OFFSET('HARGA SATUAN'!$I$6,MATCH(RAB!C77,'HARGA SATUAN'!$C$7:$C$1492,0),0)),0,OFFSET('HARGA SATUAN'!$I$6,MATCH(RAB!C77,'HARGA SATUAN'!$C$7:$C$1492,0),0))</f>
        <v>9500</v>
      </c>
      <c r="H77" s="284">
        <f t="shared" ca="1" si="30"/>
        <v>0</v>
      </c>
      <c r="I77" s="284">
        <f t="shared" ca="1" si="31"/>
        <v>19000</v>
      </c>
      <c r="J77" s="284">
        <f t="shared" ca="1" si="32"/>
        <v>0</v>
      </c>
      <c r="K77" s="285">
        <f t="shared" ca="1" si="33"/>
        <v>19000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>
      <c r="A78" s="259" t="e">
        <f>IF(AND(#REF!=0,#REF!=0,#REF!=0),"BLANKS",1)</f>
        <v>#REF!</v>
      </c>
      <c r="B78" s="499">
        <v>4</v>
      </c>
      <c r="C78" s="500" t="s">
        <v>727</v>
      </c>
      <c r="D78" s="281" t="str">
        <f ca="1">IF(ISERROR(OFFSET('HARGA SATUAN'!$D$6,MATCH(RAB!C78,'HARGA SATUAN'!$C$7:$C$1492,0),0)),"",OFFSET('HARGA SATUAN'!$D$6,MATCH(RAB!C78,'HARGA SATUAN'!$C$7:$C$1492,0),0))</f>
        <v>JASA</v>
      </c>
      <c r="E78" s="282" t="str">
        <f ca="1">IF(B78="+","Unit",IF(ISERROR(OFFSET('HARGA SATUAN'!$E$6,MATCH(RAB!C78,'HARGA SATUAN'!$C$7:$C$1492,0),0)),"",OFFSET('HARGA SATUAN'!$E$6,MATCH(RAB!C78,'HARGA SATUAN'!$C$7:$C$1492,0),0)))</f>
        <v>Unit</v>
      </c>
      <c r="F78" s="510">
        <f>F74*1</f>
        <v>2</v>
      </c>
      <c r="G78" s="283">
        <f ca="1">IF(ISERROR(OFFSET('HARGA SATUAN'!$I$6,MATCH(RAB!C78,'HARGA SATUAN'!$C$7:$C$1492,0),0)),0,OFFSET('HARGA SATUAN'!$I$6,MATCH(RAB!C78,'HARGA SATUAN'!$C$7:$C$1492,0),0))</f>
        <v>16200</v>
      </c>
      <c r="H78" s="284">
        <f t="shared" ca="1" si="30"/>
        <v>0</v>
      </c>
      <c r="I78" s="284">
        <f t="shared" ca="1" si="31"/>
        <v>0</v>
      </c>
      <c r="J78" s="284">
        <f t="shared" ca="1" si="32"/>
        <v>32400</v>
      </c>
      <c r="K78" s="285">
        <f t="shared" ca="1" si="33"/>
        <v>32400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>
      <c r="A79" s="259" t="e">
        <f>IF(AND(#REF!=0,#REF!=0,#REF!=0),"BLANKS",1)</f>
        <v>#REF!</v>
      </c>
      <c r="B79" s="499"/>
      <c r="C79" s="500"/>
      <c r="D79" s="281" t="str">
        <f ca="1">IF(ISERROR(OFFSET('HARGA SATUAN'!$D$6,MATCH(RAB!C79,'HARGA SATUAN'!$C$7:$C$1492,0),0)),"",OFFSET('HARGA SATUAN'!$D$6,MATCH(RAB!C79,'HARGA SATUAN'!$C$7:$C$1492,0),0))</f>
        <v/>
      </c>
      <c r="E79" s="282" t="str">
        <f ca="1">IF(B79="+","Unit",IF(ISERROR(OFFSET('HARGA SATUAN'!$E$6,MATCH(RAB!C79,'HARGA SATUAN'!$C$7:$C$1492,0),0)),"",OFFSET('HARGA SATUAN'!$E$6,MATCH(RAB!C79,'HARGA SATUAN'!$C$7:$C$1492,0),0)))</f>
        <v/>
      </c>
      <c r="F79" s="510"/>
      <c r="G79" s="283">
        <f ca="1">IF(ISERROR(OFFSET('HARGA SATUAN'!$I$6,MATCH(RAB!C79,'HARGA SATUAN'!$C$7:$C$1492,0),0)),0,OFFSET('HARGA SATUAN'!$I$6,MATCH(RAB!C79,'HARGA SATUAN'!$C$7:$C$1492,0),0))</f>
        <v>0</v>
      </c>
      <c r="H79" s="284">
        <f t="shared" ca="1" si="30"/>
        <v>0</v>
      </c>
      <c r="I79" s="284">
        <f t="shared" ca="1" si="31"/>
        <v>0</v>
      </c>
      <c r="J79" s="284">
        <f t="shared" ca="1" si="32"/>
        <v>0</v>
      </c>
      <c r="K79" s="285">
        <f t="shared" ca="1" si="33"/>
        <v>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>
      <c r="A80" s="259" t="e">
        <f>IF(AND(#REF!=0,C149=0,C150=0),"BLANKS",1)</f>
        <v>#REF!</v>
      </c>
      <c r="B80" s="499" t="s">
        <v>1005</v>
      </c>
      <c r="C80" s="500" t="s">
        <v>1514</v>
      </c>
      <c r="D80" s="281" t="str">
        <f ca="1">IF(ISERROR(OFFSET('HARGA SATUAN'!$D$6,MATCH(RAB!C80,'HARGA SATUAN'!$C$7:$C$1492,0),0)),"",OFFSET('HARGA SATUAN'!$D$6,MATCH(RAB!C80,'HARGA SATUAN'!$C$7:$C$1492,0),0))</f>
        <v/>
      </c>
      <c r="E80" s="282" t="str">
        <f ca="1">IF(B80="+","Unit",IF(ISERROR(OFFSET('HARGA SATUAN'!$E$6,MATCH(RAB!C80,'HARGA SATUAN'!$C$7:$C$1492,0),0)),"",OFFSET('HARGA SATUAN'!$E$6,MATCH(RAB!C80,'HARGA SATUAN'!$C$7:$C$1492,0),0)))</f>
        <v>Unit</v>
      </c>
      <c r="F80" s="510">
        <v>3</v>
      </c>
      <c r="G80" s="283">
        <f ca="1">IF(ISERROR(OFFSET('HARGA SATUAN'!$I$6,MATCH(RAB!C80,'HARGA SATUAN'!$C$7:$C$1492,0),0)),0,OFFSET('HARGA SATUAN'!$I$6,MATCH(RAB!C80,'HARGA SATUAN'!$C$7:$C$1492,0),0))</f>
        <v>0</v>
      </c>
      <c r="H80" s="284">
        <f t="shared" ca="1" si="30"/>
        <v>0</v>
      </c>
      <c r="I80" s="284">
        <f t="shared" ca="1" si="31"/>
        <v>0</v>
      </c>
      <c r="J80" s="284">
        <f t="shared" ca="1" si="32"/>
        <v>0</v>
      </c>
      <c r="K80" s="285">
        <f t="shared" ca="1" si="33"/>
        <v>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>
      <c r="A81" s="259" t="e">
        <f>IF(AND(#REF!=0,C141=0,C142=0),"BLANKS",1)</f>
        <v>#REF!</v>
      </c>
      <c r="B81" s="499">
        <v>1</v>
      </c>
      <c r="C81" s="500" t="s">
        <v>19</v>
      </c>
      <c r="D81" s="281" t="str">
        <f ca="1">IF(ISERROR(OFFSET('HARGA SATUAN'!$D$6,MATCH(RAB!C81,'HARGA SATUAN'!$C$7:$C$1492,0),0)),"",OFFSET('HARGA SATUAN'!$D$6,MATCH(RAB!C81,'HARGA SATUAN'!$C$7:$C$1492,0),0))</f>
        <v>HDW</v>
      </c>
      <c r="E81" s="282" t="str">
        <f ca="1">IF(B81="+","Unit",IF(ISERROR(OFFSET('HARGA SATUAN'!$E$6,MATCH(RAB!C81,'HARGA SATUAN'!$C$7:$C$1492,0),0)),"",OFFSET('HARGA SATUAN'!$E$6,MATCH(RAB!C81,'HARGA SATUAN'!$C$7:$C$1492,0),0)))</f>
        <v>Bh</v>
      </c>
      <c r="F81" s="510">
        <f>F80*1</f>
        <v>3</v>
      </c>
      <c r="G81" s="283">
        <f ca="1">IF(ISERROR(OFFSET('HARGA SATUAN'!$I$6,MATCH(RAB!C81,'HARGA SATUAN'!$C$7:$C$1492,0),0)),0,OFFSET('HARGA SATUAN'!$I$6,MATCH(RAB!C81,'HARGA SATUAN'!$C$7:$C$1492,0),0))</f>
        <v>185200</v>
      </c>
      <c r="H81" s="284">
        <f t="shared" ca="1" si="30"/>
        <v>0</v>
      </c>
      <c r="I81" s="284">
        <f t="shared" ca="1" si="31"/>
        <v>555600</v>
      </c>
      <c r="J81" s="284">
        <f t="shared" ca="1" si="32"/>
        <v>0</v>
      </c>
      <c r="K81" s="285">
        <f t="shared" ca="1" si="33"/>
        <v>555600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>
      <c r="A82" s="259" t="e">
        <f>IF(AND(#REF!=0,#REF!=0,#REF!=0),"BLANKS",1)</f>
        <v>#REF!</v>
      </c>
      <c r="B82" s="499">
        <v>2</v>
      </c>
      <c r="C82" s="500" t="s">
        <v>20</v>
      </c>
      <c r="D82" s="281" t="str">
        <f ca="1">IF(ISERROR(OFFSET('HARGA SATUAN'!$D$6,MATCH(RAB!C82,'HARGA SATUAN'!$C$7:$C$1492,0),0)),"",OFFSET('HARGA SATUAN'!$D$6,MATCH(RAB!C82,'HARGA SATUAN'!$C$7:$C$1492,0),0))</f>
        <v>HDW</v>
      </c>
      <c r="E82" s="282" t="str">
        <f ca="1">IF(B82="+","Unit",IF(ISERROR(OFFSET('HARGA SATUAN'!$E$6,MATCH(RAB!C82,'HARGA SATUAN'!$C$7:$C$1492,0),0)),"",OFFSET('HARGA SATUAN'!$E$6,MATCH(RAB!C82,'HARGA SATUAN'!$C$7:$C$1492,0),0)))</f>
        <v>Bh</v>
      </c>
      <c r="F82" s="510">
        <f>F80*1</f>
        <v>3</v>
      </c>
      <c r="G82" s="283">
        <f ca="1">IF(ISERROR(OFFSET('HARGA SATUAN'!$I$6,MATCH(RAB!C82,'HARGA SATUAN'!$C$7:$C$1492,0),0)),0,OFFSET('HARGA SATUAN'!$I$6,MATCH(RAB!C82,'HARGA SATUAN'!$C$7:$C$1492,0),0))</f>
        <v>47459</v>
      </c>
      <c r="H82" s="284">
        <f t="shared" ca="1" si="30"/>
        <v>0</v>
      </c>
      <c r="I82" s="284">
        <f t="shared" ca="1" si="31"/>
        <v>142377</v>
      </c>
      <c r="J82" s="284">
        <f t="shared" ca="1" si="32"/>
        <v>0</v>
      </c>
      <c r="K82" s="285">
        <f t="shared" ca="1" si="33"/>
        <v>142377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>
      <c r="A83" s="259"/>
      <c r="B83" s="499">
        <v>3</v>
      </c>
      <c r="C83" s="500" t="s">
        <v>21</v>
      </c>
      <c r="D83" s="281" t="str">
        <f ca="1">IF(ISERROR(OFFSET('HARGA SATUAN'!$D$6,MATCH(RAB!C83,'HARGA SATUAN'!$C$7:$C$1492,0),0)),"",OFFSET('HARGA SATUAN'!$D$6,MATCH(RAB!C83,'HARGA SATUAN'!$C$7:$C$1492,0),0))</f>
        <v>HDW</v>
      </c>
      <c r="E83" s="282" t="str">
        <f ca="1">IF(B83="+","Unit",IF(ISERROR(OFFSET('HARGA SATUAN'!$E$6,MATCH(RAB!C83,'HARGA SATUAN'!$C$7:$C$1492,0),0)),"",OFFSET('HARGA SATUAN'!$E$6,MATCH(RAB!C83,'HARGA SATUAN'!$C$7:$C$1492,0),0)))</f>
        <v>Bh</v>
      </c>
      <c r="F83" s="510">
        <f>F80*1</f>
        <v>3</v>
      </c>
      <c r="G83" s="283">
        <f ca="1">IF(ISERROR(OFFSET('HARGA SATUAN'!$I$6,MATCH(RAB!C83,'HARGA SATUAN'!$C$7:$C$1492,0),0)),0,OFFSET('HARGA SATUAN'!$I$6,MATCH(RAB!C83,'HARGA SATUAN'!$C$7:$C$1492,0),0))</f>
        <v>4880</v>
      </c>
      <c r="H83" s="284"/>
      <c r="I83" s="284"/>
      <c r="J83" s="284"/>
      <c r="K83" s="285"/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>
      <c r="A84" s="259" t="e">
        <f>IF(AND(C74=0,#REF!=0,#REF!=0),"BLANKS",1)</f>
        <v>#REF!</v>
      </c>
      <c r="B84" s="499">
        <v>4</v>
      </c>
      <c r="C84" s="500" t="s">
        <v>22</v>
      </c>
      <c r="D84" s="281" t="str">
        <f ca="1">IF(ISERROR(OFFSET('HARGA SATUAN'!$D$6,MATCH(RAB!C84,'HARGA SATUAN'!$C$7:$C$1492,0),0)),"",OFFSET('HARGA SATUAN'!$D$6,MATCH(RAB!C84,'HARGA SATUAN'!$C$7:$C$1492,0),0))</f>
        <v>HDW</v>
      </c>
      <c r="E84" s="282" t="str">
        <f ca="1">IF(B84="+","Unit",IF(ISERROR(OFFSET('HARGA SATUAN'!$E$6,MATCH(RAB!C84,'HARGA SATUAN'!$C$7:$C$1492,0),0)),"",OFFSET('HARGA SATUAN'!$E$6,MATCH(RAB!C84,'HARGA SATUAN'!$C$7:$C$1492,0),0)))</f>
        <v>Mtr</v>
      </c>
      <c r="F84" s="510">
        <f>F80*10</f>
        <v>30</v>
      </c>
      <c r="G84" s="283">
        <f ca="1">IF(ISERROR(OFFSET('HARGA SATUAN'!$I$6,MATCH(RAB!C84,'HARGA SATUAN'!$C$7:$C$1492,0),0)),0,OFFSET('HARGA SATUAN'!$I$6,MATCH(RAB!C84,'HARGA SATUAN'!$C$7:$C$1492,0),0))</f>
        <v>30000</v>
      </c>
      <c r="H84" s="284">
        <f t="shared" ref="H84:H89" ca="1" si="53">IF(OR(D84="MDU",D84="MDU-KD"),(IF($O$3="RAB NON MDU","PLN KD",G84*F84)),0)</f>
        <v>0</v>
      </c>
      <c r="I84" s="284">
        <f t="shared" ref="I84:I89" ca="1" si="54">IF(D84="HDW",G84*F84,0)</f>
        <v>900000</v>
      </c>
      <c r="J84" s="284">
        <f t="shared" ref="J84:J89" ca="1" si="55">IF(D84="JASA",G84*F84,0)</f>
        <v>0</v>
      </c>
      <c r="K84" s="285">
        <f t="shared" ref="K84:K89" ca="1" si="56">SUM(H84:J84)</f>
        <v>900000</v>
      </c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>
      <c r="A85" s="259">
        <f>IF(AND(C75=0,C76=0,C77=0),"BLANKS",1)</f>
        <v>1</v>
      </c>
      <c r="B85" s="499">
        <v>5</v>
      </c>
      <c r="C85" s="500" t="s">
        <v>23</v>
      </c>
      <c r="D85" s="281" t="str">
        <f ca="1">IF(ISERROR(OFFSET('HARGA SATUAN'!$D$6,MATCH(RAB!C85,'HARGA SATUAN'!$C$7:$C$1492,0),0)),"",OFFSET('HARGA SATUAN'!$D$6,MATCH(RAB!C85,'HARGA SATUAN'!$C$7:$C$1492,0),0))</f>
        <v>HDW</v>
      </c>
      <c r="E85" s="282" t="str">
        <f ca="1">IF(B85="+","Unit",IF(ISERROR(OFFSET('HARGA SATUAN'!$E$6,MATCH(RAB!C85,'HARGA SATUAN'!$C$7:$C$1492,0),0)),"",OFFSET('HARGA SATUAN'!$E$6,MATCH(RAB!C85,'HARGA SATUAN'!$C$7:$C$1492,0),0)))</f>
        <v>Bh</v>
      </c>
      <c r="F85" s="510">
        <f>F80*2</f>
        <v>6</v>
      </c>
      <c r="G85" s="283">
        <f ca="1">IF(ISERROR(OFFSET('HARGA SATUAN'!$I$6,MATCH(RAB!C85,'HARGA SATUAN'!$C$7:$C$1492,0),0)),0,OFFSET('HARGA SATUAN'!$I$6,MATCH(RAB!C85,'HARGA SATUAN'!$C$7:$C$1492,0),0))</f>
        <v>9500</v>
      </c>
      <c r="H85" s="284">
        <f t="shared" ca="1" si="53"/>
        <v>0</v>
      </c>
      <c r="I85" s="284">
        <f t="shared" ca="1" si="54"/>
        <v>57000</v>
      </c>
      <c r="J85" s="284">
        <f t="shared" ca="1" si="55"/>
        <v>0</v>
      </c>
      <c r="K85" s="285">
        <f t="shared" ca="1" si="56"/>
        <v>57000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>
      <c r="A86" s="259">
        <f>IF(AND(C76=0,C77=0,C78=0),"BLANKS",1)</f>
        <v>1</v>
      </c>
      <c r="B86" s="499">
        <v>6</v>
      </c>
      <c r="C86" s="500" t="s">
        <v>24</v>
      </c>
      <c r="D86" s="281" t="str">
        <f ca="1">IF(ISERROR(OFFSET('HARGA SATUAN'!$D$6,MATCH(RAB!C86,'HARGA SATUAN'!$C$7:$C$1492,0),0)),"",OFFSET('HARGA SATUAN'!$D$6,MATCH(RAB!C86,'HARGA SATUAN'!$C$7:$C$1492,0),0))</f>
        <v>HDW</v>
      </c>
      <c r="E86" s="282" t="str">
        <f ca="1">IF(B86="+","Unit",IF(ISERROR(OFFSET('HARGA SATUAN'!$E$6,MATCH(RAB!C86,'HARGA SATUAN'!$C$7:$C$1492,0),0)),"",OFFSET('HARGA SATUAN'!$E$6,MATCH(RAB!C86,'HARGA SATUAN'!$C$7:$C$1492,0),0)))</f>
        <v>Bh</v>
      </c>
      <c r="F86" s="510">
        <f>F80*5.5</f>
        <v>16.5</v>
      </c>
      <c r="G86" s="283">
        <f ca="1">IF(ISERROR(OFFSET('HARGA SATUAN'!$I$6,MATCH(RAB!C86,'HARGA SATUAN'!$C$7:$C$1492,0),0)),0,OFFSET('HARGA SATUAN'!$I$6,MATCH(RAB!C86,'HARGA SATUAN'!$C$7:$C$1492,0),0))</f>
        <v>6100</v>
      </c>
      <c r="H86" s="284">
        <f t="shared" ca="1" si="53"/>
        <v>0</v>
      </c>
      <c r="I86" s="284">
        <f t="shared" ca="1" si="54"/>
        <v>100650</v>
      </c>
      <c r="J86" s="284">
        <f t="shared" ca="1" si="55"/>
        <v>0</v>
      </c>
      <c r="K86" s="285">
        <f t="shared" ca="1" si="56"/>
        <v>100650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>
      <c r="A87" s="259" t="e">
        <f>IF(AND(C77=0,C78=0,#REF!=0),"BLANKS",1)</f>
        <v>#REF!</v>
      </c>
      <c r="B87" s="499">
        <v>7</v>
      </c>
      <c r="C87" s="500" t="s">
        <v>25</v>
      </c>
      <c r="D87" s="281" t="str">
        <f ca="1">IF(ISERROR(OFFSET('HARGA SATUAN'!$D$6,MATCH(RAB!C87,'HARGA SATUAN'!$C$7:$C$1492,0),0)),"",OFFSET('HARGA SATUAN'!$D$6,MATCH(RAB!C87,'HARGA SATUAN'!$C$7:$C$1492,0),0))</f>
        <v>HDW</v>
      </c>
      <c r="E87" s="282" t="str">
        <f ca="1">IF(B87="+","Unit",IF(ISERROR(OFFSET('HARGA SATUAN'!$E$6,MATCH(RAB!C87,'HARGA SATUAN'!$C$7:$C$1492,0),0)),"",OFFSET('HARGA SATUAN'!$E$6,MATCH(RAB!C87,'HARGA SATUAN'!$C$7:$C$1492,0),0)))</f>
        <v>Bh</v>
      </c>
      <c r="F87" s="510">
        <f>F80*6</f>
        <v>18</v>
      </c>
      <c r="G87" s="283">
        <f ca="1">IF(ISERROR(OFFSET('HARGA SATUAN'!$I$6,MATCH(RAB!C87,'HARGA SATUAN'!$C$7:$C$1492,0),0)),0,OFFSET('HARGA SATUAN'!$I$6,MATCH(RAB!C87,'HARGA SATUAN'!$C$7:$C$1492,0),0))</f>
        <v>2300</v>
      </c>
      <c r="H87" s="284">
        <f t="shared" ca="1" si="53"/>
        <v>0</v>
      </c>
      <c r="I87" s="284">
        <f t="shared" ca="1" si="54"/>
        <v>41400</v>
      </c>
      <c r="J87" s="284">
        <f t="shared" ca="1" si="55"/>
        <v>0</v>
      </c>
      <c r="K87" s="285">
        <f t="shared" ca="1" si="56"/>
        <v>41400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>
      <c r="A88" s="259" t="e">
        <f>IF(AND(C78=0,#REF!=0,#REF!=0),"BLANKS",1)</f>
        <v>#REF!</v>
      </c>
      <c r="B88" s="499">
        <v>8</v>
      </c>
      <c r="C88" s="500" t="s">
        <v>1515</v>
      </c>
      <c r="D88" s="281" t="str">
        <f ca="1">IF(ISERROR(OFFSET('HARGA SATUAN'!$D$6,MATCH(RAB!C88,'HARGA SATUAN'!$C$7:$C$1492,0),0)),"",OFFSET('HARGA SATUAN'!$D$6,MATCH(RAB!C88,'HARGA SATUAN'!$C$7:$C$1492,0),0))</f>
        <v>HDW</v>
      </c>
      <c r="E88" s="282" t="str">
        <f ca="1">IF(B88="+","Unit",IF(ISERROR(OFFSET('HARGA SATUAN'!$E$6,MATCH(RAB!C88,'HARGA SATUAN'!$C$7:$C$1492,0),0)),"",OFFSET('HARGA SATUAN'!$E$6,MATCH(RAB!C88,'HARGA SATUAN'!$C$7:$C$1492,0),0)))</f>
        <v>Mtr</v>
      </c>
      <c r="F88" s="510">
        <f>F80*4.8</f>
        <v>14.399999999999999</v>
      </c>
      <c r="G88" s="283">
        <f ca="1">IF(ISERROR(OFFSET('HARGA SATUAN'!$I$6,MATCH(RAB!C88,'HARGA SATUAN'!$C$7:$C$1492,0),0)),0,OFFSET('HARGA SATUAN'!$I$6,MATCH(RAB!C88,'HARGA SATUAN'!$C$7:$C$1492,0),0))</f>
        <v>23310</v>
      </c>
      <c r="H88" s="284">
        <f t="shared" ca="1" si="53"/>
        <v>0</v>
      </c>
      <c r="I88" s="284">
        <f t="shared" ca="1" si="54"/>
        <v>335663.99999999994</v>
      </c>
      <c r="J88" s="284">
        <f t="shared" ca="1" si="55"/>
        <v>0</v>
      </c>
      <c r="K88" s="285">
        <f t="shared" ca="1" si="56"/>
        <v>335663.99999999994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>
      <c r="A89" s="259" t="e">
        <f>IF(AND(#REF!=0,#REF!=0,#REF!=0),"BLANKS",1)</f>
        <v>#REF!</v>
      </c>
      <c r="B89" s="499">
        <v>9</v>
      </c>
      <c r="C89" s="500" t="s">
        <v>726</v>
      </c>
      <c r="D89" s="281" t="str">
        <f ca="1">IF(ISERROR(OFFSET('HARGA SATUAN'!$D$6,MATCH(RAB!C89,'HARGA SATUAN'!$C$7:$C$1492,0),0)),"",OFFSET('HARGA SATUAN'!$D$6,MATCH(RAB!C89,'HARGA SATUAN'!$C$7:$C$1492,0),0))</f>
        <v>JASA</v>
      </c>
      <c r="E89" s="282" t="str">
        <f ca="1">IF(B89="+","Unit",IF(ISERROR(OFFSET('HARGA SATUAN'!$E$6,MATCH(RAB!C89,'HARGA SATUAN'!$C$7:$C$1492,0),0)),"",OFFSET('HARGA SATUAN'!$E$6,MATCH(RAB!C89,'HARGA SATUAN'!$C$7:$C$1492,0),0)))</f>
        <v>Unit</v>
      </c>
      <c r="F89" s="510">
        <f>F80*1</f>
        <v>3</v>
      </c>
      <c r="G89" s="283">
        <f ca="1">IF(ISERROR(OFFSET('HARGA SATUAN'!$I$6,MATCH(RAB!C89,'HARGA SATUAN'!$C$7:$C$1492,0),0)),0,OFFSET('HARGA SATUAN'!$I$6,MATCH(RAB!C89,'HARGA SATUAN'!$C$7:$C$1492,0),0))</f>
        <v>65400</v>
      </c>
      <c r="H89" s="284">
        <f t="shared" ca="1" si="53"/>
        <v>0</v>
      </c>
      <c r="I89" s="284">
        <f t="shared" ca="1" si="54"/>
        <v>0</v>
      </c>
      <c r="J89" s="284">
        <f t="shared" ca="1" si="55"/>
        <v>196200</v>
      </c>
      <c r="K89" s="285">
        <f t="shared" ca="1" si="56"/>
        <v>196200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>
      <c r="A90" s="259" t="e">
        <f>IF(AND(C88=0,C89=0,#REF!=0),"BLANKS",1)</f>
        <v>#REF!</v>
      </c>
      <c r="B90" s="499"/>
      <c r="C90" s="500"/>
      <c r="D90" s="281" t="str">
        <f ca="1">IF(ISERROR(OFFSET('HARGA SATUAN'!$D$6,MATCH(RAB!C90,'HARGA SATUAN'!$C$7:$C$1492,0),0)),"",OFFSET('HARGA SATUAN'!$D$6,MATCH(RAB!C90,'HARGA SATUAN'!$C$7:$C$1492,0),0))</f>
        <v/>
      </c>
      <c r="E90" s="282" t="str">
        <f ca="1">IF(B90="+","Unit",IF(ISERROR(OFFSET('HARGA SATUAN'!$E$6,MATCH(RAB!C90,'HARGA SATUAN'!$C$7:$C$1492,0),0)),"",OFFSET('HARGA SATUAN'!$E$6,MATCH(RAB!C90,'HARGA SATUAN'!$C$7:$C$1492,0),0)))</f>
        <v/>
      </c>
      <c r="F90" s="393"/>
      <c r="G90" s="283">
        <f ca="1">IF(ISERROR(OFFSET('HARGA SATUAN'!$I$6,MATCH(RAB!C90,'HARGA SATUAN'!$C$7:$C$1492,0),0)),0,OFFSET('HARGA SATUAN'!$I$6,MATCH(RAB!C90,'HARGA SATUAN'!$C$7:$C$1492,0),0))</f>
        <v>0</v>
      </c>
      <c r="H90" s="284">
        <f t="shared" ref="H90:H96" ca="1" si="57">IF(OR(D90="MDU",D90="MDU-KD"),(IF($O$3="RAB NON MDU","PLN KD",G90*F90)),0)</f>
        <v>0</v>
      </c>
      <c r="I90" s="284">
        <f t="shared" ref="I90:I93" ca="1" si="58">IF(D90="HDW",G90*F90,0)</f>
        <v>0</v>
      </c>
      <c r="J90" s="284">
        <f t="shared" ref="J90:J93" ca="1" si="59">IF(D90="JASA",G90*F90,0)</f>
        <v>0</v>
      </c>
      <c r="K90" s="285">
        <f t="shared" ref="K90:K93" ca="1" si="60">SUM(H90:J90)</f>
        <v>0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>
      <c r="A91" s="259" t="e">
        <f>IF(AND(C89=0,#REF!=0,#REF!=0),"BLANKS",1)</f>
        <v>#REF!</v>
      </c>
      <c r="B91" s="499" t="s">
        <v>1005</v>
      </c>
      <c r="C91" s="500" t="s">
        <v>1648</v>
      </c>
      <c r="D91" s="281" t="str">
        <f ca="1">IF(ISERROR(OFFSET('HARGA SATUAN'!$D$6,MATCH(RAB!C91,'HARGA SATUAN'!$C$7:$C$1492,0),0)),"",OFFSET('HARGA SATUAN'!$D$6,MATCH(RAB!C91,'HARGA SATUAN'!$C$7:$C$1492,0),0))</f>
        <v/>
      </c>
      <c r="E91" s="282" t="str">
        <f ca="1">IF(B91="+","Unit",IF(ISERROR(OFFSET('HARGA SATUAN'!$E$6,MATCH(RAB!C91,'HARGA SATUAN'!$C$7:$C$1492,0),0)),"",OFFSET('HARGA SATUAN'!$E$6,MATCH(RAB!C91,'HARGA SATUAN'!$C$7:$C$1492,0),0)))</f>
        <v>Unit</v>
      </c>
      <c r="F91" s="510">
        <v>1</v>
      </c>
      <c r="G91" s="283">
        <f ca="1">IF(ISERROR(OFFSET('HARGA SATUAN'!$I$6,MATCH(RAB!C91,'HARGA SATUAN'!$C$7:$C$1492,0),0)),0,OFFSET('HARGA SATUAN'!$I$6,MATCH(RAB!C91,'HARGA SATUAN'!$C$7:$C$1492,0),0))</f>
        <v>0</v>
      </c>
      <c r="H91" s="284">
        <f t="shared" ca="1" si="57"/>
        <v>0</v>
      </c>
      <c r="I91" s="284">
        <f t="shared" ca="1" si="58"/>
        <v>0</v>
      </c>
      <c r="J91" s="284">
        <f t="shared" ca="1" si="59"/>
        <v>0</v>
      </c>
      <c r="K91" s="285">
        <f t="shared" ca="1" si="60"/>
        <v>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>
      <c r="A92" s="259" t="e">
        <f>IF(AND(#REF!=0,#REF!=0,#REF!=0),"BLANKS",1)</f>
        <v>#REF!</v>
      </c>
      <c r="B92" s="499">
        <v>1</v>
      </c>
      <c r="C92" s="109" t="s">
        <v>1118</v>
      </c>
      <c r="D92" s="281" t="str">
        <f ca="1">IF(ISERROR(OFFSET('HARGA SATUAN'!$D$6,MATCH(RAB!C92,'HARGA SATUAN'!$C$7:$C$1492,0),0)),"",OFFSET('HARGA SATUAN'!$D$6,MATCH(RAB!C92,'HARGA SATUAN'!$C$7:$C$1492,0),0))</f>
        <v>MDU-KD</v>
      </c>
      <c r="E92" s="282" t="str">
        <f ca="1">IF(B92="+","Unit",IF(ISERROR(OFFSET('HARGA SATUAN'!$E$6,MATCH(RAB!C92,'HARGA SATUAN'!$C$7:$C$1492,0),0)),"",OFFSET('HARGA SATUAN'!$E$6,MATCH(RAB!C92,'HARGA SATUAN'!$C$7:$C$1492,0),0)))</f>
        <v>Bh</v>
      </c>
      <c r="F92" s="510">
        <f>F91*1</f>
        <v>1</v>
      </c>
      <c r="G92" s="283">
        <f ca="1">IF(ISERROR(OFFSET('HARGA SATUAN'!$I$6,MATCH(RAB!C92,'HARGA SATUAN'!$C$7:$C$1492,0),0)),0,OFFSET('HARGA SATUAN'!$I$6,MATCH(RAB!C92,'HARGA SATUAN'!$C$7:$C$1492,0),0))</f>
        <v>77674900</v>
      </c>
      <c r="H92" s="284">
        <f t="shared" ca="1" si="57"/>
        <v>77674900</v>
      </c>
      <c r="I92" s="284">
        <f t="shared" ca="1" si="58"/>
        <v>0</v>
      </c>
      <c r="J92" s="284">
        <f t="shared" ca="1" si="59"/>
        <v>0</v>
      </c>
      <c r="K92" s="285">
        <f t="shared" ca="1" si="60"/>
        <v>77674900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>
      <c r="A93" s="259" t="e">
        <f>IF(AND(#REF!=0,#REF!=0,#REF!=0),"BLANKS",1)</f>
        <v>#REF!</v>
      </c>
      <c r="B93" s="498">
        <v>2</v>
      </c>
      <c r="C93" s="451" t="s">
        <v>1513</v>
      </c>
      <c r="D93" s="281" t="str">
        <f ca="1">IF(ISERROR(OFFSET('HARGA SATUAN'!$D$6,MATCH(RAB!C93,'HARGA SATUAN'!$C$7:$C$1492,0),0)),"",OFFSET('HARGA SATUAN'!$D$6,MATCH(RAB!C93,'HARGA SATUAN'!$C$7:$C$1492,0),0))</f>
        <v/>
      </c>
      <c r="E93" s="282" t="str">
        <f ca="1">IF(B93="+","Unit",IF(ISERROR(OFFSET('HARGA SATUAN'!$E$6,MATCH(RAB!C93,'HARGA SATUAN'!$C$7:$C$1492,0),0)),"",OFFSET('HARGA SATUAN'!$E$6,MATCH(RAB!C93,'HARGA SATUAN'!$C$7:$C$1492,0),0)))</f>
        <v/>
      </c>
      <c r="F93" s="511"/>
      <c r="G93" s="283">
        <f ca="1">IF(ISERROR(OFFSET('HARGA SATUAN'!$I$6,MATCH(RAB!C93,'HARGA SATUAN'!$C$7:$C$1492,0),0)),0,OFFSET('HARGA SATUAN'!$I$6,MATCH(RAB!C93,'HARGA SATUAN'!$C$7:$C$1492,0),0))</f>
        <v>0</v>
      </c>
      <c r="H93" s="284">
        <f t="shared" ca="1" si="57"/>
        <v>0</v>
      </c>
      <c r="I93" s="284">
        <f t="shared" ref="I93:I96" ca="1" si="61">IF(D93="HDW",G93*F93,0)</f>
        <v>0</v>
      </c>
      <c r="J93" s="284">
        <f t="shared" ref="J93:J96" ca="1" si="62">IF(D93="JASA",G93*F93,0)</f>
        <v>0</v>
      </c>
      <c r="K93" s="285">
        <f t="shared" ref="K93:K96" ca="1" si="63">SUM(H93:J93)</f>
        <v>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>
      <c r="A94" s="259"/>
      <c r="B94" s="499"/>
      <c r="C94" s="451" t="s">
        <v>55</v>
      </c>
      <c r="D94" s="281" t="str">
        <f ca="1">IF(ISERROR(OFFSET('HARGA SATUAN'!$D$6,MATCH(RAB!C94,'HARGA SATUAN'!$C$7:$C$1492,0),0)),"",OFFSET('HARGA SATUAN'!$D$6,MATCH(RAB!C94,'HARGA SATUAN'!$C$7:$C$1492,0),0))</f>
        <v>MDU-KD</v>
      </c>
      <c r="E94" s="282" t="str">
        <f ca="1">IF(B94="+","Unit",IF(ISERROR(OFFSET('HARGA SATUAN'!$E$6,MATCH(RAB!C94,'HARGA SATUAN'!$C$7:$C$1492,0),0)),"",OFFSET('HARGA SATUAN'!$E$6,MATCH(RAB!C94,'HARGA SATUAN'!$C$7:$C$1492,0),0)))</f>
        <v>Mtr</v>
      </c>
      <c r="F94" s="510">
        <f>F91*(3*3)</f>
        <v>9</v>
      </c>
      <c r="G94" s="283">
        <f ca="1">IF(ISERROR(OFFSET('HARGA SATUAN'!$I$6,MATCH(RAB!C94,'HARGA SATUAN'!$C$7:$C$1492,0),0)),0,OFFSET('HARGA SATUAN'!$I$6,MATCH(RAB!C94,'HARGA SATUAN'!$C$7:$C$1492,0),0))</f>
        <v>14200</v>
      </c>
      <c r="H94" s="284">
        <f t="shared" ca="1" si="57"/>
        <v>127800</v>
      </c>
      <c r="I94" s="284">
        <f t="shared" ca="1" si="61"/>
        <v>0</v>
      </c>
      <c r="J94" s="284">
        <f t="shared" ca="1" si="62"/>
        <v>0</v>
      </c>
      <c r="K94" s="285">
        <f t="shared" ca="1" si="63"/>
        <v>127800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s="291" customFormat="1">
      <c r="A95" s="259" t="e">
        <f>IF(AND(#REF!=0,#REF!=0,#REF!=0),"BLANKS",1)</f>
        <v>#REF!</v>
      </c>
      <c r="B95" s="499"/>
      <c r="C95" s="109" t="s">
        <v>1428</v>
      </c>
      <c r="D95" s="281" t="str">
        <f ca="1">IF(ISERROR(OFFSET('HARGA SATUAN'!$D$6,MATCH(RAB!C95,'HARGA SATUAN'!$C$7:$C$1492,0),0)),"",OFFSET('HARGA SATUAN'!$D$6,MATCH(RAB!C95,'HARGA SATUAN'!$C$7:$C$1492,0),0))</f>
        <v>MDU-KD</v>
      </c>
      <c r="E95" s="282" t="str">
        <f ca="1">IF(B95="+","Unit",IF(ISERROR(OFFSET('HARGA SATUAN'!$E$6,MATCH(RAB!C95,'HARGA SATUAN'!$C$7:$C$1492,0),0)),"",OFFSET('HARGA SATUAN'!$E$6,MATCH(RAB!C95,'HARGA SATUAN'!$C$7:$C$1492,0),0)))</f>
        <v>Mtr</v>
      </c>
      <c r="F95" s="510">
        <f>F91*3</f>
        <v>3</v>
      </c>
      <c r="G95" s="283">
        <f ca="1">IF(ISERROR(OFFSET('HARGA SATUAN'!$I$6,MATCH(RAB!C95,'HARGA SATUAN'!$C$7:$C$1492,0),0)),0,OFFSET('HARGA SATUAN'!$I$6,MATCH(RAB!C95,'HARGA SATUAN'!$C$7:$C$1492,0),0))</f>
        <v>54500</v>
      </c>
      <c r="H95" s="284">
        <f t="shared" ca="1" si="57"/>
        <v>163500</v>
      </c>
      <c r="I95" s="284">
        <f t="shared" ca="1" si="61"/>
        <v>0</v>
      </c>
      <c r="J95" s="284">
        <f t="shared" ca="1" si="62"/>
        <v>0</v>
      </c>
      <c r="K95" s="285">
        <f t="shared" ca="1" si="63"/>
        <v>163500</v>
      </c>
      <c r="L95" s="290"/>
      <c r="M95" s="290"/>
      <c r="N95" s="290"/>
      <c r="O95" s="286"/>
      <c r="P95" s="286"/>
      <c r="Q95" s="267"/>
      <c r="R95" s="259"/>
      <c r="S95" s="287"/>
      <c r="T95" s="264"/>
      <c r="U95" s="264"/>
      <c r="V95" s="264"/>
    </row>
    <row r="96" spans="1:22" s="291" customFormat="1">
      <c r="A96" s="259" t="e">
        <f>IF(AND(#REF!=0,#REF!=0,#REF!=0),"BLANKS",1)</f>
        <v>#REF!</v>
      </c>
      <c r="B96" s="499">
        <v>3</v>
      </c>
      <c r="C96" s="500" t="s">
        <v>549</v>
      </c>
      <c r="D96" s="281" t="str">
        <f ca="1">IF(ISERROR(OFFSET('HARGA SATUAN'!$D$6,MATCH(RAB!C96,'HARGA SATUAN'!$C$7:$C$1492,0),0)),"",OFFSET('HARGA SATUAN'!$D$6,MATCH(RAB!C96,'HARGA SATUAN'!$C$7:$C$1492,0),0))</f>
        <v>MDU-KD</v>
      </c>
      <c r="E96" s="282" t="str">
        <f ca="1">IF(B96="+","Unit",IF(ISERROR(OFFSET('HARGA SATUAN'!$E$6,MATCH(RAB!C96,'HARGA SATUAN'!$C$7:$C$1492,0),0)),"",OFFSET('HARGA SATUAN'!$E$6,MATCH(RAB!C96,'HARGA SATUAN'!$C$7:$C$1492,0),0)))</f>
        <v>Bh</v>
      </c>
      <c r="F96" s="510">
        <f>F91*3</f>
        <v>3</v>
      </c>
      <c r="G96" s="283">
        <f ca="1">IF(ISERROR(OFFSET('HARGA SATUAN'!$I$6,MATCH(RAB!C96,'HARGA SATUAN'!$C$7:$C$1492,0),0)),0,OFFSET('HARGA SATUAN'!$I$6,MATCH(RAB!C96,'HARGA SATUAN'!$C$7:$C$1492,0),0))</f>
        <v>725900</v>
      </c>
      <c r="H96" s="284">
        <f t="shared" ca="1" si="57"/>
        <v>2177700</v>
      </c>
      <c r="I96" s="284">
        <f t="shared" ca="1" si="61"/>
        <v>0</v>
      </c>
      <c r="J96" s="284">
        <f t="shared" ca="1" si="62"/>
        <v>0</v>
      </c>
      <c r="K96" s="285">
        <f t="shared" ca="1" si="63"/>
        <v>2177700</v>
      </c>
      <c r="L96" s="290"/>
      <c r="M96" s="290"/>
      <c r="N96" s="290"/>
      <c r="O96" s="286"/>
      <c r="P96" s="286"/>
      <c r="Q96" s="267"/>
      <c r="R96" s="259"/>
      <c r="S96" s="287"/>
      <c r="T96" s="264"/>
      <c r="U96" s="264"/>
      <c r="V96" s="264"/>
    </row>
    <row r="97" spans="1:22" s="291" customFormat="1">
      <c r="A97" s="259" t="e">
        <f>IF(AND(#REF!=0,#REF!=0,#REF!=0),"BLANKS",1)</f>
        <v>#REF!</v>
      </c>
      <c r="B97" s="499">
        <v>4</v>
      </c>
      <c r="C97" s="500" t="s">
        <v>525</v>
      </c>
      <c r="D97" s="281" t="str">
        <f ca="1">IF(ISERROR(OFFSET('HARGA SATUAN'!$D$6,MATCH(RAB!C97,'HARGA SATUAN'!$C$7:$C$1492,0),0)),"",OFFSET('HARGA SATUAN'!$D$6,MATCH(RAB!C97,'HARGA SATUAN'!$C$7:$C$1492,0),0))</f>
        <v>MDU-KD</v>
      </c>
      <c r="E97" s="282" t="str">
        <f ca="1">IF(B97="+","Unit",IF(ISERROR(OFFSET('HARGA SATUAN'!$E$6,MATCH(RAB!C97,'HARGA SATUAN'!$C$7:$C$1492,0),0)),"",OFFSET('HARGA SATUAN'!$E$6,MATCH(RAB!C97,'HARGA SATUAN'!$C$7:$C$1492,0),0)))</f>
        <v>Bh</v>
      </c>
      <c r="F97" s="510">
        <f>F91*3</f>
        <v>3</v>
      </c>
      <c r="G97" s="283">
        <f ca="1">IF(ISERROR(OFFSET('HARGA SATUAN'!$I$6,MATCH(RAB!C97,'HARGA SATUAN'!$C$7:$C$1492,0),0)),0,OFFSET('HARGA SATUAN'!$I$6,MATCH(RAB!C97,'HARGA SATUAN'!$C$7:$C$1492,0),0))</f>
        <v>848250</v>
      </c>
      <c r="H97" s="284">
        <f t="shared" ref="H95:H102" ca="1" si="64">IF(OR(D97="MDU",D97="MDU-KD"),(IF($O$3="RAB NON MDU","PLN KD",G97*F97)),0)</f>
        <v>2544750</v>
      </c>
      <c r="I97" s="284">
        <f t="shared" ref="I95:I102" ca="1" si="65">IF(D97="HDW",G97*F97,0)</f>
        <v>0</v>
      </c>
      <c r="J97" s="284">
        <f t="shared" ref="J95:J102" ca="1" si="66">IF(D97="JASA",G97*F97,0)</f>
        <v>0</v>
      </c>
      <c r="K97" s="285">
        <f t="shared" ref="K95:K102" ca="1" si="67">SUM(H97:J97)</f>
        <v>2544750</v>
      </c>
      <c r="L97" s="290"/>
      <c r="M97" s="290"/>
      <c r="N97" s="290"/>
      <c r="O97" s="286"/>
      <c r="P97" s="286"/>
      <c r="Q97" s="267"/>
      <c r="R97" s="259"/>
      <c r="S97" s="287"/>
      <c r="T97" s="264"/>
      <c r="U97" s="264"/>
      <c r="V97" s="264"/>
    </row>
    <row r="98" spans="1:22" s="291" customFormat="1">
      <c r="A98" s="259" t="e">
        <f>IF(AND(#REF!=0,#REF!=0,#REF!=0),"BLANKS",1)</f>
        <v>#REF!</v>
      </c>
      <c r="B98" s="499">
        <v>5</v>
      </c>
      <c r="C98" s="505" t="s">
        <v>45</v>
      </c>
      <c r="D98" s="281" t="str">
        <f ca="1">IF(ISERROR(OFFSET('HARGA SATUAN'!$D$6,MATCH(RAB!C98,'HARGA SATUAN'!$C$7:$C$1492,0),0)),"",OFFSET('HARGA SATUAN'!$D$6,MATCH(RAB!C98,'HARGA SATUAN'!$C$7:$C$1492,0),0))</f>
        <v>HDW</v>
      </c>
      <c r="E98" s="282" t="str">
        <f ca="1">IF(B98="+","Unit",IF(ISERROR(OFFSET('HARGA SATUAN'!$E$6,MATCH(RAB!C98,'HARGA SATUAN'!$C$7:$C$1492,0),0)),"",OFFSET('HARGA SATUAN'!$E$6,MATCH(RAB!C98,'HARGA SATUAN'!$C$7:$C$1492,0),0)))</f>
        <v>Bh</v>
      </c>
      <c r="F98" s="510">
        <f>F91*3</f>
        <v>3</v>
      </c>
      <c r="G98" s="283">
        <f ca="1">IF(ISERROR(OFFSET('HARGA SATUAN'!$I$6,MATCH(RAB!C98,'HARGA SATUAN'!$C$7:$C$1492,0),0)),0,OFFSET('HARGA SATUAN'!$I$6,MATCH(RAB!C98,'HARGA SATUAN'!$C$7:$C$1492,0),0))</f>
        <v>18000</v>
      </c>
      <c r="H98" s="284">
        <f t="shared" ca="1" si="64"/>
        <v>0</v>
      </c>
      <c r="I98" s="284">
        <f t="shared" ca="1" si="65"/>
        <v>54000</v>
      </c>
      <c r="J98" s="284">
        <f t="shared" ca="1" si="66"/>
        <v>0</v>
      </c>
      <c r="K98" s="285">
        <f t="shared" ca="1" si="67"/>
        <v>54000</v>
      </c>
      <c r="L98" s="290"/>
      <c r="M98" s="290"/>
      <c r="N98" s="290"/>
      <c r="O98" s="286"/>
      <c r="P98" s="286"/>
      <c r="Q98" s="267"/>
      <c r="R98" s="259"/>
      <c r="S98" s="287"/>
      <c r="T98" s="264"/>
      <c r="U98" s="264"/>
      <c r="V98" s="264"/>
    </row>
    <row r="99" spans="1:22" s="291" customFormat="1">
      <c r="A99" s="259" t="e">
        <f>IF(AND(#REF!=0,#REF!=0,#REF!=0),"BLANKS",1)</f>
        <v>#REF!</v>
      </c>
      <c r="B99" s="499">
        <v>6</v>
      </c>
      <c r="C99" s="512" t="s">
        <v>1543</v>
      </c>
      <c r="D99" s="281" t="str">
        <f ca="1">IF(ISERROR(OFFSET('HARGA SATUAN'!$D$6,MATCH(RAB!C99,'HARGA SATUAN'!$C$7:$C$1492,0),0)),"",OFFSET('HARGA SATUAN'!$D$6,MATCH(RAB!C99,'HARGA SATUAN'!$C$7:$C$1492,0),0))</f>
        <v>HDW</v>
      </c>
      <c r="E99" s="282" t="str">
        <f ca="1">IF(B99="+","Unit",IF(ISERROR(OFFSET('HARGA SATUAN'!$E$6,MATCH(RAB!C99,'HARGA SATUAN'!$C$7:$C$1492,0),0)),"",OFFSET('HARGA SATUAN'!$E$6,MATCH(RAB!C99,'HARGA SATUAN'!$C$7:$C$1492,0),0)))</f>
        <v>Bh</v>
      </c>
      <c r="F99" s="510">
        <f>F91*13</f>
        <v>13</v>
      </c>
      <c r="G99" s="283">
        <f ca="1">IF(ISERROR(OFFSET('HARGA SATUAN'!$I$6,MATCH(RAB!C99,'HARGA SATUAN'!$C$7:$C$1492,0),0)),0,OFFSET('HARGA SATUAN'!$I$6,MATCH(RAB!C99,'HARGA SATUAN'!$C$7:$C$1492,0),0))</f>
        <v>73300</v>
      </c>
      <c r="H99" s="284">
        <f t="shared" ca="1" si="64"/>
        <v>0</v>
      </c>
      <c r="I99" s="284">
        <f t="shared" ca="1" si="65"/>
        <v>952900</v>
      </c>
      <c r="J99" s="284">
        <f t="shared" ca="1" si="66"/>
        <v>0</v>
      </c>
      <c r="K99" s="285">
        <f t="shared" ca="1" si="67"/>
        <v>952900</v>
      </c>
      <c r="L99" s="290"/>
      <c r="M99" s="290"/>
      <c r="N99" s="290"/>
      <c r="O99" s="286"/>
      <c r="P99" s="286"/>
      <c r="Q99" s="267"/>
      <c r="R99" s="259"/>
      <c r="S99" s="287"/>
      <c r="T99" s="264"/>
      <c r="U99" s="264"/>
      <c r="V99" s="264"/>
    </row>
    <row r="100" spans="1:22" s="291" customFormat="1">
      <c r="A100" s="259" t="e">
        <f>IF(AND(#REF!=0,#REF!=0,#REF!=0),"BLANKS",1)</f>
        <v>#REF!</v>
      </c>
      <c r="B100" s="499">
        <v>7</v>
      </c>
      <c r="C100" s="500" t="s">
        <v>153</v>
      </c>
      <c r="D100" s="281" t="str">
        <f ca="1">IF(ISERROR(OFFSET('HARGA SATUAN'!$D$6,MATCH(RAB!C100,'HARGA SATUAN'!$C$7:$C$1492,0),0)),"",OFFSET('HARGA SATUAN'!$D$6,MATCH(RAB!C100,'HARGA SATUAN'!$C$7:$C$1492,0),0))</f>
        <v>HDW</v>
      </c>
      <c r="E100" s="282" t="str">
        <f ca="1">IF(B100="+","Unit",IF(ISERROR(OFFSET('HARGA SATUAN'!$E$6,MATCH(RAB!C100,'HARGA SATUAN'!$C$7:$C$1492,0),0)),"",OFFSET('HARGA SATUAN'!$E$6,MATCH(RAB!C100,'HARGA SATUAN'!$C$7:$C$1492,0),0)))</f>
        <v>Bh</v>
      </c>
      <c r="F100" s="510">
        <f>F91*28</f>
        <v>28</v>
      </c>
      <c r="G100" s="283">
        <f ca="1">IF(ISERROR(OFFSET('HARGA SATUAN'!$I$6,MATCH(RAB!C100,'HARGA SATUAN'!$C$7:$C$1492,0),0)),0,OFFSET('HARGA SATUAN'!$I$6,MATCH(RAB!C100,'HARGA SATUAN'!$C$7:$C$1492,0),0))</f>
        <v>7938</v>
      </c>
      <c r="H100" s="284">
        <f t="shared" ca="1" si="64"/>
        <v>0</v>
      </c>
      <c r="I100" s="284">
        <f t="shared" ca="1" si="65"/>
        <v>222264</v>
      </c>
      <c r="J100" s="284">
        <f t="shared" ca="1" si="66"/>
        <v>0</v>
      </c>
      <c r="K100" s="285">
        <f t="shared" ca="1" si="67"/>
        <v>222264</v>
      </c>
      <c r="L100" s="290"/>
      <c r="M100" s="290"/>
      <c r="N100" s="290"/>
      <c r="O100" s="286"/>
      <c r="P100" s="286"/>
      <c r="Q100" s="267"/>
      <c r="R100" s="259"/>
      <c r="S100" s="287"/>
      <c r="T100" s="264"/>
      <c r="U100" s="264"/>
      <c r="V100" s="264"/>
    </row>
    <row r="101" spans="1:22" s="291" customFormat="1" ht="30">
      <c r="A101" s="259" t="e">
        <f>IF(AND(#REF!=0,#REF!=0,C132=0),"BLANKS",1)</f>
        <v>#REF!</v>
      </c>
      <c r="B101" s="499">
        <v>8</v>
      </c>
      <c r="C101" s="500" t="s">
        <v>166</v>
      </c>
      <c r="D101" s="281" t="str">
        <f ca="1">IF(ISERROR(OFFSET('HARGA SATUAN'!$D$6,MATCH(RAB!C101,'HARGA SATUAN'!$C$7:$C$1492,0),0)),"",OFFSET('HARGA SATUAN'!$D$6,MATCH(RAB!C101,'HARGA SATUAN'!$C$7:$C$1492,0),0))</f>
        <v>HDW</v>
      </c>
      <c r="E101" s="282" t="str">
        <f ca="1">IF(B101="+","Unit",IF(ISERROR(OFFSET('HARGA SATUAN'!$E$6,MATCH(RAB!C101,'HARGA SATUAN'!$C$7:$C$1492,0),0)),"",OFFSET('HARGA SATUAN'!$E$6,MATCH(RAB!C101,'HARGA SATUAN'!$C$7:$C$1492,0),0)))</f>
        <v>Bh</v>
      </c>
      <c r="F101" s="510">
        <f>F91*2</f>
        <v>2</v>
      </c>
      <c r="G101" s="283">
        <f ca="1">IF(ISERROR(OFFSET('HARGA SATUAN'!$I$6,MATCH(RAB!C101,'HARGA SATUAN'!$C$7:$C$1492,0),0)),0,OFFSET('HARGA SATUAN'!$I$6,MATCH(RAB!C101,'HARGA SATUAN'!$C$7:$C$1492,0),0))</f>
        <v>404600</v>
      </c>
      <c r="H101" s="284">
        <f t="shared" ca="1" si="64"/>
        <v>0</v>
      </c>
      <c r="I101" s="284">
        <f t="shared" ca="1" si="65"/>
        <v>809200</v>
      </c>
      <c r="J101" s="284">
        <f t="shared" ca="1" si="66"/>
        <v>0</v>
      </c>
      <c r="K101" s="285">
        <f t="shared" ca="1" si="67"/>
        <v>809200</v>
      </c>
      <c r="L101" s="290"/>
      <c r="M101" s="290"/>
      <c r="N101" s="290"/>
      <c r="O101" s="286"/>
      <c r="P101" s="286"/>
      <c r="Q101" s="267"/>
      <c r="R101" s="259"/>
      <c r="S101" s="287"/>
      <c r="T101" s="264"/>
      <c r="U101" s="264"/>
      <c r="V101" s="264"/>
    </row>
    <row r="102" spans="1:22" s="291" customFormat="1">
      <c r="A102" s="259" t="e">
        <f>IF(AND(#REF!=0,C132=0,C135=0),"BLANKS",1)</f>
        <v>#REF!</v>
      </c>
      <c r="B102" s="499">
        <v>9</v>
      </c>
      <c r="C102" s="500" t="s">
        <v>174</v>
      </c>
      <c r="D102" s="281" t="str">
        <f ca="1">IF(ISERROR(OFFSET('HARGA SATUAN'!$D$6,MATCH(RAB!C102,'HARGA SATUAN'!$C$7:$C$1492,0),0)),"",OFFSET('HARGA SATUAN'!$D$6,MATCH(RAB!C102,'HARGA SATUAN'!$C$7:$C$1492,0),0))</f>
        <v>HDW</v>
      </c>
      <c r="E102" s="282" t="str">
        <f ca="1">IF(B102="+","Unit",IF(ISERROR(OFFSET('HARGA SATUAN'!$E$6,MATCH(RAB!C102,'HARGA SATUAN'!$C$7:$C$1492,0),0)),"",OFFSET('HARGA SATUAN'!$E$6,MATCH(RAB!C102,'HARGA SATUAN'!$C$7:$C$1492,0),0)))</f>
        <v>Bh</v>
      </c>
      <c r="F102" s="510">
        <f>F91*3</f>
        <v>3</v>
      </c>
      <c r="G102" s="283">
        <f ca="1">IF(ISERROR(OFFSET('HARGA SATUAN'!$I$6,MATCH(RAB!C102,'HARGA SATUAN'!$C$7:$C$1492,0),0)),0,OFFSET('HARGA SATUAN'!$I$6,MATCH(RAB!C102,'HARGA SATUAN'!$C$7:$C$1492,0),0))</f>
        <v>15900</v>
      </c>
      <c r="H102" s="284">
        <f t="shared" ca="1" si="64"/>
        <v>0</v>
      </c>
      <c r="I102" s="284">
        <f t="shared" ca="1" si="65"/>
        <v>47700</v>
      </c>
      <c r="J102" s="284">
        <f t="shared" ca="1" si="66"/>
        <v>0</v>
      </c>
      <c r="K102" s="285">
        <f t="shared" ca="1" si="67"/>
        <v>47700</v>
      </c>
      <c r="L102" s="290"/>
      <c r="M102" s="290"/>
      <c r="N102" s="290"/>
      <c r="O102" s="286"/>
      <c r="P102" s="286"/>
      <c r="Q102" s="267"/>
      <c r="R102" s="259"/>
      <c r="S102" s="287"/>
      <c r="T102" s="264"/>
      <c r="U102" s="264"/>
      <c r="V102" s="264"/>
    </row>
    <row r="103" spans="1:22" s="291" customFormat="1">
      <c r="A103" s="259" t="e">
        <f>IF(AND(#REF!=0,#REF!=0,#REF!=0),"BLANKS",1)</f>
        <v>#REF!</v>
      </c>
      <c r="B103" s="499">
        <v>10</v>
      </c>
      <c r="C103" s="451" t="s">
        <v>583</v>
      </c>
      <c r="D103" s="281" t="str">
        <f ca="1">IF(ISERROR(OFFSET('HARGA SATUAN'!$D$6,MATCH(RAB!C103,'HARGA SATUAN'!$C$7:$C$1492,0),0)),"",OFFSET('HARGA SATUAN'!$D$6,MATCH(RAB!C103,'HARGA SATUAN'!$C$7:$C$1492,0),0))</f>
        <v>HDW</v>
      </c>
      <c r="E103" s="282" t="str">
        <f ca="1">IF(B103="+","Unit",IF(ISERROR(OFFSET('HARGA SATUAN'!$E$6,MATCH(RAB!C103,'HARGA SATUAN'!$C$7:$C$1492,0),0)),"",OFFSET('HARGA SATUAN'!$E$6,MATCH(RAB!C103,'HARGA SATUAN'!$C$7:$C$1492,0),0)))</f>
        <v>Bh</v>
      </c>
      <c r="F103" s="510">
        <f>F91*5</f>
        <v>5</v>
      </c>
      <c r="G103" s="283">
        <f ca="1">IF(ISERROR(OFFSET('HARGA SATUAN'!$I$6,MATCH(RAB!C103,'HARGA SATUAN'!$C$7:$C$1492,0),0)),0,OFFSET('HARGA SATUAN'!$I$6,MATCH(RAB!C103,'HARGA SATUAN'!$C$7:$C$1492,0),0))</f>
        <v>380500</v>
      </c>
      <c r="H103" s="284">
        <f t="shared" ca="1" si="30"/>
        <v>0</v>
      </c>
      <c r="I103" s="284">
        <f t="shared" ca="1" si="31"/>
        <v>1902500</v>
      </c>
      <c r="J103" s="284">
        <f t="shared" ca="1" si="32"/>
        <v>0</v>
      </c>
      <c r="K103" s="285">
        <f t="shared" ca="1" si="33"/>
        <v>1902500</v>
      </c>
      <c r="L103" s="290"/>
      <c r="M103" s="290"/>
      <c r="N103" s="290"/>
      <c r="O103" s="286"/>
      <c r="P103" s="286"/>
      <c r="Q103" s="267"/>
      <c r="R103" s="259"/>
      <c r="S103" s="287"/>
      <c r="T103" s="264"/>
      <c r="U103" s="264"/>
      <c r="V103" s="264"/>
    </row>
    <row r="104" spans="1:22" s="291" customFormat="1">
      <c r="A104" s="259" t="e">
        <f>IF(AND(#REF!=0,#REF!=0,#REF!=0),"BLANKS",1)</f>
        <v>#REF!</v>
      </c>
      <c r="B104" s="499">
        <v>11</v>
      </c>
      <c r="C104" s="451" t="s">
        <v>584</v>
      </c>
      <c r="D104" s="281" t="str">
        <f ca="1">IF(ISERROR(OFFSET('HARGA SATUAN'!$D$6,MATCH(RAB!C104,'HARGA SATUAN'!$C$7:$C$1492,0),0)),"",OFFSET('HARGA SATUAN'!$D$6,MATCH(RAB!C104,'HARGA SATUAN'!$C$7:$C$1492,0),0))</f>
        <v>HDW</v>
      </c>
      <c r="E104" s="282" t="str">
        <f ca="1">IF(B104="+","Unit",IF(ISERROR(OFFSET('HARGA SATUAN'!$E$6,MATCH(RAB!C104,'HARGA SATUAN'!$C$7:$C$1492,0),0)),"",OFFSET('HARGA SATUAN'!$E$6,MATCH(RAB!C104,'HARGA SATUAN'!$C$7:$C$1492,0),0)))</f>
        <v>Bh</v>
      </c>
      <c r="F104" s="510">
        <f>F91*4</f>
        <v>4</v>
      </c>
      <c r="G104" s="283">
        <f ca="1">IF(ISERROR(OFFSET('HARGA SATUAN'!$I$6,MATCH(RAB!C104,'HARGA SATUAN'!$C$7:$C$1492,0),0)),0,OFFSET('HARGA SATUAN'!$I$6,MATCH(RAB!C104,'HARGA SATUAN'!$C$7:$C$1492,0),0))</f>
        <v>559200</v>
      </c>
      <c r="H104" s="284">
        <f t="shared" ca="1" si="30"/>
        <v>0</v>
      </c>
      <c r="I104" s="284">
        <f t="shared" ca="1" si="31"/>
        <v>2236800</v>
      </c>
      <c r="J104" s="284">
        <f t="shared" ca="1" si="32"/>
        <v>0</v>
      </c>
      <c r="K104" s="285">
        <f t="shared" ca="1" si="33"/>
        <v>2236800</v>
      </c>
      <c r="L104" s="290"/>
      <c r="M104" s="290"/>
      <c r="N104" s="290"/>
      <c r="O104" s="286"/>
      <c r="P104" s="286"/>
      <c r="Q104" s="267"/>
      <c r="R104" s="259"/>
      <c r="S104" s="287"/>
      <c r="T104" s="264"/>
      <c r="U104" s="264"/>
      <c r="V104" s="264"/>
    </row>
    <row r="105" spans="1:22" s="291" customFormat="1">
      <c r="A105" s="259"/>
      <c r="B105" s="499">
        <v>12</v>
      </c>
      <c r="C105" s="109" t="s">
        <v>198</v>
      </c>
      <c r="D105" s="281" t="str">
        <f ca="1">IF(ISERROR(OFFSET('HARGA SATUAN'!$D$6,MATCH(RAB!C105,'HARGA SATUAN'!$C$7:$C$1492,0),0)),"",OFFSET('HARGA SATUAN'!$D$6,MATCH(RAB!C105,'HARGA SATUAN'!$C$7:$C$1492,0),0))</f>
        <v>HDW</v>
      </c>
      <c r="E105" s="282" t="str">
        <f ca="1">IF(B105="+","Unit",IF(ISERROR(OFFSET('HARGA SATUAN'!$E$6,MATCH(RAB!C105,'HARGA SATUAN'!$C$7:$C$1492,0),0)),"",OFFSET('HARGA SATUAN'!$E$6,MATCH(RAB!C105,'HARGA SATUAN'!$C$7:$C$1492,0),0)))</f>
        <v>Bh</v>
      </c>
      <c r="F105" s="510">
        <f>F91*3</f>
        <v>3</v>
      </c>
      <c r="G105" s="283">
        <f ca="1">IF(ISERROR(OFFSET('HARGA SATUAN'!$I$6,MATCH(RAB!C105,'HARGA SATUAN'!$C$7:$C$1492,0),0)),0,OFFSET('HARGA SATUAN'!$I$6,MATCH(RAB!C105,'HARGA SATUAN'!$C$7:$C$1492,0),0))</f>
        <v>173400</v>
      </c>
      <c r="H105" s="284"/>
      <c r="I105" s="284"/>
      <c r="J105" s="284"/>
      <c r="K105" s="285"/>
      <c r="L105" s="290"/>
      <c r="M105" s="290"/>
      <c r="N105" s="290"/>
      <c r="O105" s="286"/>
      <c r="P105" s="286"/>
      <c r="Q105" s="267"/>
      <c r="R105" s="259"/>
      <c r="S105" s="287"/>
      <c r="T105" s="264"/>
      <c r="U105" s="264"/>
      <c r="V105" s="264"/>
    </row>
    <row r="106" spans="1:22" s="291" customFormat="1">
      <c r="A106" s="259">
        <f>IF(AND(C90=0,C95=0,C96=0),"BLANKS",1)</f>
        <v>1</v>
      </c>
      <c r="B106" s="499">
        <v>13</v>
      </c>
      <c r="C106" s="500" t="s">
        <v>237</v>
      </c>
      <c r="D106" s="281" t="str">
        <f ca="1">IF(ISERROR(OFFSET('HARGA SATUAN'!$D$6,MATCH(RAB!C106,'HARGA SATUAN'!$C$7:$C$1492,0),0)),"",OFFSET('HARGA SATUAN'!$D$6,MATCH(RAB!C106,'HARGA SATUAN'!$C$7:$C$1492,0),0))</f>
        <v>HDW</v>
      </c>
      <c r="E106" s="282" t="str">
        <f ca="1">IF(B106="+","Unit",IF(ISERROR(OFFSET('HARGA SATUAN'!$E$6,MATCH(RAB!C106,'HARGA SATUAN'!$C$7:$C$1492,0),0)),"",OFFSET('HARGA SATUAN'!$E$6,MATCH(RAB!C106,'HARGA SATUAN'!$C$7:$C$1492,0),0)))</f>
        <v>Bh</v>
      </c>
      <c r="F106" s="510">
        <f>F91*2</f>
        <v>2</v>
      </c>
      <c r="G106" s="283">
        <f ca="1">IF(ISERROR(OFFSET('HARGA SATUAN'!$I$6,MATCH(RAB!C106,'HARGA SATUAN'!$C$7:$C$1492,0),0)),0,OFFSET('HARGA SATUAN'!$I$6,MATCH(RAB!C106,'HARGA SATUAN'!$C$7:$C$1492,0),0))</f>
        <v>57690</v>
      </c>
      <c r="H106" s="284">
        <f t="shared" ref="H106:H109" ca="1" si="68">IF(OR(D106="MDU",D106="MDU-KD"),(IF($O$3="RAB NON MDU","PLN KD",G106*F106)),0)</f>
        <v>0</v>
      </c>
      <c r="I106" s="284">
        <f t="shared" ref="I106:I109" ca="1" si="69">IF(D106="HDW",G106*F106,0)</f>
        <v>115380</v>
      </c>
      <c r="J106" s="284">
        <f t="shared" ref="J106:J109" ca="1" si="70">IF(D106="JASA",G106*F106,0)</f>
        <v>0</v>
      </c>
      <c r="K106" s="285">
        <f t="shared" ref="K106:K109" ca="1" si="71">SUM(H106:J106)</f>
        <v>115380</v>
      </c>
      <c r="L106" s="290"/>
      <c r="M106" s="290"/>
      <c r="N106" s="290"/>
      <c r="O106" s="286"/>
      <c r="P106" s="286"/>
      <c r="Q106" s="267"/>
      <c r="R106" s="259"/>
      <c r="S106" s="287"/>
      <c r="T106" s="264"/>
      <c r="U106" s="264"/>
      <c r="V106" s="264"/>
    </row>
    <row r="107" spans="1:22" s="291" customFormat="1">
      <c r="A107" s="259" t="e">
        <f>IF(AND(C91=0,#REF!=0,#REF!=0),"BLANKS",1)</f>
        <v>#REF!</v>
      </c>
      <c r="B107" s="499">
        <v>14</v>
      </c>
      <c r="C107" s="500" t="s">
        <v>238</v>
      </c>
      <c r="D107" s="281" t="str">
        <f ca="1">IF(ISERROR(OFFSET('HARGA SATUAN'!$D$6,MATCH(RAB!C107,'HARGA SATUAN'!$C$7:$C$1492,0),0)),"",OFFSET('HARGA SATUAN'!$D$6,MATCH(RAB!C107,'HARGA SATUAN'!$C$7:$C$1492,0),0))</f>
        <v>HDW</v>
      </c>
      <c r="E107" s="282" t="str">
        <f ca="1">IF(B107="+","Unit",IF(ISERROR(OFFSET('HARGA SATUAN'!$E$6,MATCH(RAB!C107,'HARGA SATUAN'!$C$7:$C$1492,0),0)),"",OFFSET('HARGA SATUAN'!$E$6,MATCH(RAB!C107,'HARGA SATUAN'!$C$7:$C$1492,0),0)))</f>
        <v>Bh</v>
      </c>
      <c r="F107" s="510">
        <f>F91*2</f>
        <v>2</v>
      </c>
      <c r="G107" s="283">
        <f ca="1">IF(ISERROR(OFFSET('HARGA SATUAN'!$I$6,MATCH(RAB!C107,'HARGA SATUAN'!$C$7:$C$1492,0),0)),0,OFFSET('HARGA SATUAN'!$I$6,MATCH(RAB!C107,'HARGA SATUAN'!$C$7:$C$1492,0),0))</f>
        <v>60300</v>
      </c>
      <c r="H107" s="284">
        <f t="shared" ca="1" si="68"/>
        <v>0</v>
      </c>
      <c r="I107" s="284">
        <f t="shared" ca="1" si="69"/>
        <v>120600</v>
      </c>
      <c r="J107" s="284">
        <f t="shared" ca="1" si="70"/>
        <v>0</v>
      </c>
      <c r="K107" s="285">
        <f t="shared" ca="1" si="71"/>
        <v>120600</v>
      </c>
      <c r="L107" s="290"/>
      <c r="M107" s="290"/>
      <c r="N107" s="290"/>
      <c r="O107" s="286"/>
      <c r="P107" s="286"/>
      <c r="Q107" s="267"/>
      <c r="R107" s="259"/>
      <c r="S107" s="287"/>
      <c r="T107" s="264"/>
      <c r="U107" s="264"/>
      <c r="V107" s="264"/>
    </row>
    <row r="108" spans="1:22" s="291" customFormat="1">
      <c r="A108" s="259">
        <f>IF(AND(C92=0,C93=0,C94=0),"BLANKS",1)</f>
        <v>1</v>
      </c>
      <c r="B108" s="499">
        <v>15</v>
      </c>
      <c r="C108" s="505" t="s">
        <v>257</v>
      </c>
      <c r="D108" s="281" t="str">
        <f ca="1">IF(ISERROR(OFFSET('HARGA SATUAN'!$D$6,MATCH(RAB!C108,'HARGA SATUAN'!$C$7:$C$1492,0),0)),"",OFFSET('HARGA SATUAN'!$D$6,MATCH(RAB!C108,'HARGA SATUAN'!$C$7:$C$1492,0),0))</f>
        <v>HDW</v>
      </c>
      <c r="E108" s="282" t="str">
        <f ca="1">IF(B108="+","Unit",IF(ISERROR(OFFSET('HARGA SATUAN'!$E$6,MATCH(RAB!C108,'HARGA SATUAN'!$C$7:$C$1492,0),0)),"",OFFSET('HARGA SATUAN'!$E$6,MATCH(RAB!C108,'HARGA SATUAN'!$C$7:$C$1492,0),0)))</f>
        <v>Bh</v>
      </c>
      <c r="F108" s="510">
        <f>F91*4</f>
        <v>4</v>
      </c>
      <c r="G108" s="283">
        <f ca="1">IF(ISERROR(OFFSET('HARGA SATUAN'!$I$6,MATCH(RAB!C108,'HARGA SATUAN'!$C$7:$C$1492,0),0)),0,OFFSET('HARGA SATUAN'!$I$6,MATCH(RAB!C108,'HARGA SATUAN'!$C$7:$C$1492,0),0))</f>
        <v>129000</v>
      </c>
      <c r="H108" s="284">
        <f t="shared" ca="1" si="68"/>
        <v>0</v>
      </c>
      <c r="I108" s="284">
        <f t="shared" ca="1" si="69"/>
        <v>516000</v>
      </c>
      <c r="J108" s="284">
        <f t="shared" ca="1" si="70"/>
        <v>0</v>
      </c>
      <c r="K108" s="285">
        <f t="shared" ca="1" si="71"/>
        <v>516000</v>
      </c>
      <c r="L108" s="290"/>
      <c r="M108" s="290"/>
      <c r="N108" s="290"/>
      <c r="O108" s="286"/>
      <c r="P108" s="286"/>
      <c r="Q108" s="267"/>
      <c r="R108" s="259"/>
      <c r="S108" s="287"/>
      <c r="T108" s="264"/>
      <c r="U108" s="264"/>
      <c r="V108" s="264"/>
    </row>
    <row r="109" spans="1:22" s="291" customFormat="1">
      <c r="A109" s="259">
        <f>IF(AND(C93=0,C94=0,C95=0),"BLANKS",1)</f>
        <v>1</v>
      </c>
      <c r="B109" s="499">
        <v>16</v>
      </c>
      <c r="C109" s="500" t="s">
        <v>777</v>
      </c>
      <c r="D109" s="281" t="str">
        <f ca="1">IF(ISERROR(OFFSET('HARGA SATUAN'!$D$6,MATCH(RAB!C109,'HARGA SATUAN'!$C$7:$C$1492,0),0)),"",OFFSET('HARGA SATUAN'!$D$6,MATCH(RAB!C109,'HARGA SATUAN'!$C$7:$C$1492,0),0))</f>
        <v>JASA</v>
      </c>
      <c r="E109" s="282" t="str">
        <f ca="1">IF(B109="+","Unit",IF(ISERROR(OFFSET('HARGA SATUAN'!$E$6,MATCH(RAB!C109,'HARGA SATUAN'!$C$7:$C$1492,0),0)),"",OFFSET('HARGA SATUAN'!$E$6,MATCH(RAB!C109,'HARGA SATUAN'!$C$7:$C$1492,0),0)))</f>
        <v>Unit</v>
      </c>
      <c r="F109" s="510">
        <f>F91*1</f>
        <v>1</v>
      </c>
      <c r="G109" s="283">
        <f ca="1">IF(ISERROR(OFFSET('HARGA SATUAN'!$I$6,MATCH(RAB!C109,'HARGA SATUAN'!$C$7:$C$1492,0),0)),0,OFFSET('HARGA SATUAN'!$I$6,MATCH(RAB!C109,'HARGA SATUAN'!$C$7:$C$1492,0),0))</f>
        <v>3784400</v>
      </c>
      <c r="H109" s="284">
        <f t="shared" ca="1" si="68"/>
        <v>0</v>
      </c>
      <c r="I109" s="284">
        <f t="shared" ca="1" si="69"/>
        <v>0</v>
      </c>
      <c r="J109" s="284">
        <f t="shared" ca="1" si="70"/>
        <v>3784400</v>
      </c>
      <c r="K109" s="285">
        <f t="shared" ca="1" si="71"/>
        <v>3784400</v>
      </c>
      <c r="L109" s="290"/>
      <c r="M109" s="290"/>
      <c r="N109" s="290"/>
      <c r="O109" s="286"/>
      <c r="P109" s="286"/>
      <c r="Q109" s="267"/>
      <c r="R109" s="259"/>
      <c r="S109" s="287"/>
      <c r="T109" s="264"/>
      <c r="U109" s="264"/>
      <c r="V109" s="264"/>
    </row>
    <row r="110" spans="1:22" s="291" customFormat="1">
      <c r="A110" s="259" t="e">
        <f>IF(AND(C94=0,C95=0,#REF!=0),"BLANKS",1)</f>
        <v>#REF!</v>
      </c>
      <c r="B110" s="499"/>
      <c r="C110" s="500"/>
      <c r="D110" s="281" t="str">
        <f ca="1">IF(ISERROR(OFFSET('HARGA SATUAN'!$D$6,MATCH(RAB!C110,'HARGA SATUAN'!$C$7:$C$1492,0),0)),"",OFFSET('HARGA SATUAN'!$D$6,MATCH(RAB!C110,'HARGA SATUAN'!$C$7:$C$1492,0),0))</f>
        <v/>
      </c>
      <c r="E110" s="282" t="str">
        <f ca="1">IF(B110="+","Unit",IF(ISERROR(OFFSET('HARGA SATUAN'!$E$6,MATCH(RAB!C110,'HARGA SATUAN'!$C$7:$C$1492,0),0)),"",OFFSET('HARGA SATUAN'!$E$6,MATCH(RAB!C110,'HARGA SATUAN'!$C$7:$C$1492,0),0)))</f>
        <v/>
      </c>
      <c r="F110" s="393"/>
      <c r="G110" s="283">
        <f ca="1">IF(ISERROR(OFFSET('HARGA SATUAN'!$I$6,MATCH(RAB!C110,'HARGA SATUAN'!$C$7:$C$1492,0),0)),0,OFFSET('HARGA SATUAN'!$I$6,MATCH(RAB!C110,'HARGA SATUAN'!$C$7:$C$1492,0),0))</f>
        <v>0</v>
      </c>
      <c r="H110" s="284">
        <f t="shared" ca="1" si="22"/>
        <v>0</v>
      </c>
      <c r="I110" s="284">
        <f t="shared" ca="1" si="23"/>
        <v>0</v>
      </c>
      <c r="J110" s="284">
        <f t="shared" ca="1" si="24"/>
        <v>0</v>
      </c>
      <c r="K110" s="285">
        <f t="shared" ca="1" si="25"/>
        <v>0</v>
      </c>
      <c r="L110" s="290"/>
      <c r="M110" s="290"/>
      <c r="N110" s="290"/>
      <c r="O110" s="286"/>
      <c r="P110" s="286"/>
      <c r="Q110" s="267"/>
      <c r="R110" s="259"/>
      <c r="S110" s="287"/>
      <c r="T110" s="264"/>
      <c r="U110" s="264"/>
      <c r="V110" s="264"/>
    </row>
    <row r="111" spans="1:22" s="291" customFormat="1">
      <c r="A111" s="259" t="e">
        <f>IF(AND(C95=0,#REF!=0,#REF!=0),"BLANKS",1)</f>
        <v>#REF!</v>
      </c>
      <c r="B111" s="499">
        <v>1</v>
      </c>
      <c r="C111" s="501" t="s">
        <v>1381</v>
      </c>
      <c r="D111" s="281" t="str">
        <f ca="1">IF(ISERROR(OFFSET('HARGA SATUAN'!$D$6,MATCH(RAB!C111,'HARGA SATUAN'!$C$7:$C$1492,0),0)),"",OFFSET('HARGA SATUAN'!$D$6,MATCH(RAB!C111,'HARGA SATUAN'!$C$7:$C$1492,0),0))</f>
        <v>HDW</v>
      </c>
      <c r="E111" s="282" t="str">
        <f ca="1">IF(B111="+","Unit",IF(ISERROR(OFFSET('HARGA SATUAN'!$E$6,MATCH(RAB!C111,'HARGA SATUAN'!$C$7:$C$1492,0),0)),"",OFFSET('HARGA SATUAN'!$E$6,MATCH(RAB!C111,'HARGA SATUAN'!$C$7:$C$1492,0),0)))</f>
        <v>Bh</v>
      </c>
      <c r="F111" s="503">
        <v>3</v>
      </c>
      <c r="G111" s="283">
        <f ca="1">IF(ISERROR(OFFSET('HARGA SATUAN'!$I$6,MATCH(RAB!C111,'HARGA SATUAN'!$C$7:$C$1492,0),0)),0,OFFSET('HARGA SATUAN'!$I$6,MATCH(RAB!C111,'HARGA SATUAN'!$C$7:$C$1492,0),0))</f>
        <v>85000</v>
      </c>
      <c r="H111" s="284">
        <f t="shared" ca="1" si="22"/>
        <v>0</v>
      </c>
      <c r="I111" s="284">
        <f t="shared" ca="1" si="23"/>
        <v>255000</v>
      </c>
      <c r="J111" s="284">
        <f t="shared" ca="1" si="24"/>
        <v>0</v>
      </c>
      <c r="K111" s="285">
        <f t="shared" ca="1" si="25"/>
        <v>255000</v>
      </c>
      <c r="L111" s="290"/>
      <c r="M111" s="290"/>
      <c r="N111" s="290"/>
      <c r="O111" s="286"/>
      <c r="P111" s="286"/>
      <c r="Q111" s="267"/>
      <c r="R111" s="259"/>
      <c r="S111" s="287"/>
      <c r="T111" s="264"/>
      <c r="U111" s="264"/>
      <c r="V111" s="264"/>
    </row>
    <row r="112" spans="1:22" s="291" customFormat="1">
      <c r="A112" s="259"/>
      <c r="B112" s="499">
        <v>2</v>
      </c>
      <c r="C112" s="501" t="s">
        <v>1382</v>
      </c>
      <c r="D112" s="281" t="str">
        <f ca="1">IF(ISERROR(OFFSET('HARGA SATUAN'!$D$6,MATCH(RAB!C112,'HARGA SATUAN'!$C$7:$C$1492,0),0)),"",OFFSET('HARGA SATUAN'!$D$6,MATCH(RAB!C112,'HARGA SATUAN'!$C$7:$C$1492,0),0))</f>
        <v>JASA</v>
      </c>
      <c r="E112" s="282" t="str">
        <f ca="1">IF(B112="+","Unit",IF(ISERROR(OFFSET('HARGA SATUAN'!$E$6,MATCH(RAB!C112,'HARGA SATUAN'!$C$7:$C$1492,0),0)),"",OFFSET('HARGA SATUAN'!$E$6,MATCH(RAB!C112,'HARGA SATUAN'!$C$7:$C$1492,0),0)))</f>
        <v>Set</v>
      </c>
      <c r="F112" s="503">
        <v>3</v>
      </c>
      <c r="G112" s="283">
        <f ca="1">IF(ISERROR(OFFSET('HARGA SATUAN'!$I$6,MATCH(RAB!C112,'HARGA SATUAN'!$C$7:$C$1492,0),0)),0,OFFSET('HARGA SATUAN'!$I$6,MATCH(RAB!C112,'HARGA SATUAN'!$C$7:$C$1492,0),0))</f>
        <v>15000</v>
      </c>
      <c r="H112" s="284"/>
      <c r="I112" s="284"/>
      <c r="J112" s="284"/>
      <c r="K112" s="285"/>
      <c r="L112" s="290"/>
      <c r="M112" s="290"/>
      <c r="N112" s="290"/>
      <c r="O112" s="286"/>
      <c r="P112" s="286"/>
      <c r="Q112" s="267"/>
      <c r="R112" s="259"/>
      <c r="S112" s="287"/>
      <c r="T112" s="264"/>
      <c r="U112" s="264"/>
      <c r="V112" s="264"/>
    </row>
    <row r="113" spans="1:22" s="291" customFormat="1">
      <c r="A113" s="259">
        <f>IF(AND(C97=0,C102=0,C103=0),"BLANKS",1)</f>
        <v>1</v>
      </c>
      <c r="B113" s="499">
        <v>3</v>
      </c>
      <c r="C113" s="501" t="s">
        <v>1391</v>
      </c>
      <c r="D113" s="281" t="str">
        <f ca="1">IF(ISERROR(OFFSET('HARGA SATUAN'!$D$6,MATCH(RAB!C113,'HARGA SATUAN'!$C$7:$C$1492,0),0)),"",OFFSET('HARGA SATUAN'!$D$6,MATCH(RAB!C113,'HARGA SATUAN'!$C$7:$C$1492,0),0))</f>
        <v>HDW</v>
      </c>
      <c r="E113" s="282" t="str">
        <f ca="1">IF(B113="+","Unit",IF(ISERROR(OFFSET('HARGA SATUAN'!$E$6,MATCH(RAB!C113,'HARGA SATUAN'!$C$7:$C$1492,0),0)),"",OFFSET('HARGA SATUAN'!$E$6,MATCH(RAB!C113,'HARGA SATUAN'!$C$7:$C$1492,0),0)))</f>
        <v>Bh</v>
      </c>
      <c r="F113" s="503">
        <v>3</v>
      </c>
      <c r="G113" s="283">
        <f ca="1">IF(ISERROR(OFFSET('HARGA SATUAN'!$I$6,MATCH(RAB!C113,'HARGA SATUAN'!$C$7:$C$1492,0),0)),0,OFFSET('HARGA SATUAN'!$I$6,MATCH(RAB!C113,'HARGA SATUAN'!$C$7:$C$1492,0),0))</f>
        <v>105000</v>
      </c>
      <c r="H113" s="284">
        <f t="shared" ref="H113:H117" ca="1" si="72">IF(OR(D113="MDU",D113="MDU-KD"),(IF($O$3="RAB NON MDU","PLN KD",G113*F113)),0)</f>
        <v>0</v>
      </c>
      <c r="I113" s="284">
        <f t="shared" ref="I113:I117" ca="1" si="73">IF(D113="HDW",G113*F113,0)</f>
        <v>315000</v>
      </c>
      <c r="J113" s="284">
        <f t="shared" ref="J113:J117" ca="1" si="74">IF(D113="JASA",G113*F113,0)</f>
        <v>0</v>
      </c>
      <c r="K113" s="285">
        <f t="shared" ref="K113:K117" ca="1" si="75">SUM(H113:J113)</f>
        <v>315000</v>
      </c>
      <c r="L113" s="290"/>
      <c r="M113" s="290"/>
      <c r="N113" s="290"/>
      <c r="O113" s="286"/>
      <c r="P113" s="286"/>
      <c r="Q113" s="267"/>
      <c r="R113" s="259"/>
      <c r="S113" s="287"/>
      <c r="T113" s="264"/>
      <c r="U113" s="264"/>
      <c r="V113" s="264"/>
    </row>
    <row r="114" spans="1:22" s="291" customFormat="1">
      <c r="A114" s="259" t="e">
        <f>IF(AND(C98=0,#REF!=0,#REF!=0),"BLANKS",1)</f>
        <v>#REF!</v>
      </c>
      <c r="B114" s="499">
        <v>4</v>
      </c>
      <c r="C114" s="501" t="s">
        <v>1392</v>
      </c>
      <c r="D114" s="281" t="str">
        <f ca="1">IF(ISERROR(OFFSET('HARGA SATUAN'!$D$6,MATCH(RAB!C114,'HARGA SATUAN'!$C$7:$C$1492,0),0)),"",OFFSET('HARGA SATUAN'!$D$6,MATCH(RAB!C114,'HARGA SATUAN'!$C$7:$C$1492,0),0))</f>
        <v>JASA</v>
      </c>
      <c r="E114" s="282" t="str">
        <f ca="1">IF(B114="+","Unit",IF(ISERROR(OFFSET('HARGA SATUAN'!$E$6,MATCH(RAB!C114,'HARGA SATUAN'!$C$7:$C$1492,0),0)),"",OFFSET('HARGA SATUAN'!$E$6,MATCH(RAB!C114,'HARGA SATUAN'!$C$7:$C$1492,0),0)))</f>
        <v>Unit</v>
      </c>
      <c r="F114" s="503">
        <v>3</v>
      </c>
      <c r="G114" s="283">
        <f ca="1">IF(ISERROR(OFFSET('HARGA SATUAN'!$I$6,MATCH(RAB!C114,'HARGA SATUAN'!$C$7:$C$1492,0),0)),0,OFFSET('HARGA SATUAN'!$I$6,MATCH(RAB!C114,'HARGA SATUAN'!$C$7:$C$1492,0),0))</f>
        <v>15000</v>
      </c>
      <c r="H114" s="284">
        <f t="shared" ca="1" si="72"/>
        <v>0</v>
      </c>
      <c r="I114" s="284">
        <f t="shared" ca="1" si="73"/>
        <v>0</v>
      </c>
      <c r="J114" s="284">
        <f t="shared" ca="1" si="74"/>
        <v>45000</v>
      </c>
      <c r="K114" s="285">
        <f t="shared" ca="1" si="75"/>
        <v>45000</v>
      </c>
      <c r="L114" s="290"/>
      <c r="M114" s="290"/>
      <c r="N114" s="290"/>
      <c r="O114" s="286"/>
      <c r="P114" s="286"/>
      <c r="Q114" s="267"/>
      <c r="R114" s="259"/>
      <c r="S114" s="287"/>
      <c r="T114" s="264"/>
      <c r="U114" s="264"/>
      <c r="V114" s="264"/>
    </row>
    <row r="115" spans="1:22" s="291" customFormat="1">
      <c r="A115" s="259">
        <f>IF(AND(C99=0,C100=0,C101=0),"BLANKS",1)</f>
        <v>1</v>
      </c>
      <c r="B115" s="499">
        <v>5</v>
      </c>
      <c r="C115" s="501" t="s">
        <v>1393</v>
      </c>
      <c r="D115" s="281" t="str">
        <f ca="1">IF(ISERROR(OFFSET('HARGA SATUAN'!$D$6,MATCH(RAB!C115,'HARGA SATUAN'!$C$7:$C$1492,0),0)),"",OFFSET('HARGA SATUAN'!$D$6,MATCH(RAB!C115,'HARGA SATUAN'!$C$7:$C$1492,0),0))</f>
        <v>HDW</v>
      </c>
      <c r="E115" s="282" t="str">
        <f ca="1">IF(B115="+","Unit",IF(ISERROR(OFFSET('HARGA SATUAN'!$E$6,MATCH(RAB!C115,'HARGA SATUAN'!$C$7:$C$1492,0),0)),"",OFFSET('HARGA SATUAN'!$E$6,MATCH(RAB!C115,'HARGA SATUAN'!$C$7:$C$1492,0),0)))</f>
        <v>Bh</v>
      </c>
      <c r="F115" s="503">
        <v>3</v>
      </c>
      <c r="G115" s="283">
        <f ca="1">IF(ISERROR(OFFSET('HARGA SATUAN'!$I$6,MATCH(RAB!C115,'HARGA SATUAN'!$C$7:$C$1492,0),0)),0,OFFSET('HARGA SATUAN'!$I$6,MATCH(RAB!C115,'HARGA SATUAN'!$C$7:$C$1492,0),0))</f>
        <v>180000</v>
      </c>
      <c r="H115" s="284">
        <f t="shared" ca="1" si="72"/>
        <v>0</v>
      </c>
      <c r="I115" s="284">
        <f t="shared" ca="1" si="73"/>
        <v>540000</v>
      </c>
      <c r="J115" s="284">
        <f t="shared" ca="1" si="74"/>
        <v>0</v>
      </c>
      <c r="K115" s="285">
        <f t="shared" ca="1" si="75"/>
        <v>540000</v>
      </c>
      <c r="L115" s="290"/>
      <c r="M115" s="290"/>
      <c r="N115" s="290"/>
      <c r="O115" s="286"/>
      <c r="P115" s="286"/>
      <c r="Q115" s="267"/>
      <c r="R115" s="259"/>
      <c r="S115" s="287"/>
      <c r="T115" s="264"/>
      <c r="U115" s="264"/>
      <c r="V115" s="264"/>
    </row>
    <row r="116" spans="1:22" s="291" customFormat="1">
      <c r="A116" s="259">
        <f>IF(AND(C100=0,C101=0,C102=0),"BLANKS",1)</f>
        <v>1</v>
      </c>
      <c r="B116" s="499">
        <v>6</v>
      </c>
      <c r="C116" s="501" t="s">
        <v>1394</v>
      </c>
      <c r="D116" s="281" t="str">
        <f ca="1">IF(ISERROR(OFFSET('HARGA SATUAN'!$D$6,MATCH(RAB!C116,'HARGA SATUAN'!$C$7:$C$1492,0),0)),"",OFFSET('HARGA SATUAN'!$D$6,MATCH(RAB!C116,'HARGA SATUAN'!$C$7:$C$1492,0),0))</f>
        <v>JASA</v>
      </c>
      <c r="E116" s="282" t="str">
        <f ca="1">IF(B116="+","Unit",IF(ISERROR(OFFSET('HARGA SATUAN'!$E$6,MATCH(RAB!C116,'HARGA SATUAN'!$C$7:$C$1492,0),0)),"",OFFSET('HARGA SATUAN'!$E$6,MATCH(RAB!C116,'HARGA SATUAN'!$C$7:$C$1492,0),0)))</f>
        <v>Set</v>
      </c>
      <c r="F116" s="503">
        <v>3</v>
      </c>
      <c r="G116" s="283">
        <f ca="1">IF(ISERROR(OFFSET('HARGA SATUAN'!$I$6,MATCH(RAB!C116,'HARGA SATUAN'!$C$7:$C$1492,0),0)),0,OFFSET('HARGA SATUAN'!$I$6,MATCH(RAB!C116,'HARGA SATUAN'!$C$7:$C$1492,0),0))</f>
        <v>15000</v>
      </c>
      <c r="H116" s="284">
        <f t="shared" ca="1" si="72"/>
        <v>0</v>
      </c>
      <c r="I116" s="284">
        <f t="shared" ca="1" si="73"/>
        <v>0</v>
      </c>
      <c r="J116" s="284">
        <f t="shared" ca="1" si="74"/>
        <v>45000</v>
      </c>
      <c r="K116" s="285">
        <f t="shared" ca="1" si="75"/>
        <v>45000</v>
      </c>
      <c r="L116" s="290"/>
      <c r="M116" s="290"/>
      <c r="N116" s="290"/>
      <c r="O116" s="286"/>
      <c r="P116" s="286"/>
      <c r="Q116" s="267"/>
      <c r="R116" s="259"/>
      <c r="S116" s="287"/>
      <c r="T116" s="264"/>
      <c r="U116" s="264"/>
      <c r="V116" s="264"/>
    </row>
    <row r="117" spans="1:22" s="291" customFormat="1">
      <c r="A117" s="259">
        <f>IF(AND(C101=0,C102=0,C103=0),"BLANKS",1)</f>
        <v>1</v>
      </c>
      <c r="D117" s="281" t="str">
        <f ca="1">IF(ISERROR(OFFSET('HARGA SATUAN'!$D$6,MATCH(RAB!C117,'HARGA SATUAN'!$C$7:$C$1492,0),0)),"",OFFSET('HARGA SATUAN'!$D$6,MATCH(RAB!C117,'HARGA SATUAN'!$C$7:$C$1492,0),0))</f>
        <v/>
      </c>
      <c r="E117" s="282" t="str">
        <f ca="1">IF(B117="+","Unit",IF(ISERROR(OFFSET('HARGA SATUAN'!$E$6,MATCH(RAB!C117,'HARGA SATUAN'!$C$7:$C$1492,0),0)),"",OFFSET('HARGA SATUAN'!$E$6,MATCH(RAB!C117,'HARGA SATUAN'!$C$7:$C$1492,0),0)))</f>
        <v/>
      </c>
      <c r="F117" s="510"/>
      <c r="G117" s="283">
        <f ca="1">IF(ISERROR(OFFSET('HARGA SATUAN'!$I$6,MATCH(RAB!C117,'HARGA SATUAN'!$C$7:$C$1492,0),0)),0,OFFSET('HARGA SATUAN'!$I$6,MATCH(RAB!C117,'HARGA SATUAN'!$C$7:$C$1492,0),0))</f>
        <v>0</v>
      </c>
      <c r="H117" s="284">
        <f t="shared" ca="1" si="72"/>
        <v>0</v>
      </c>
      <c r="I117" s="284">
        <f t="shared" ca="1" si="73"/>
        <v>0</v>
      </c>
      <c r="J117" s="284">
        <f t="shared" ca="1" si="74"/>
        <v>0</v>
      </c>
      <c r="K117" s="285">
        <f t="shared" ca="1" si="75"/>
        <v>0</v>
      </c>
      <c r="L117" s="290"/>
      <c r="M117" s="290"/>
      <c r="N117" s="290"/>
      <c r="O117" s="286"/>
      <c r="P117" s="286"/>
      <c r="Q117" s="267"/>
      <c r="R117" s="259"/>
      <c r="S117" s="287"/>
      <c r="T117" s="264"/>
      <c r="U117" s="264"/>
      <c r="V117" s="264"/>
    </row>
    <row r="118" spans="1:22" s="291" customFormat="1">
      <c r="A118" s="259">
        <f>IF(AND(C114=0,C115=0,C116=0),"BLANKS",1)</f>
        <v>1</v>
      </c>
      <c r="B118" s="513"/>
      <c r="C118" s="516"/>
      <c r="D118" s="281" t="str">
        <f ca="1">IF(ISERROR(OFFSET('HARGA SATUAN'!$D$6,MATCH(RAB!C118,'HARGA SATUAN'!$C$7:$C$1492,0),0)),"",OFFSET('HARGA SATUAN'!$D$6,MATCH(RAB!C118,'HARGA SATUAN'!$C$7:$C$1492,0),0))</f>
        <v/>
      </c>
      <c r="E118" s="282" t="str">
        <f ca="1">IF(B118="+","Unit",IF(ISERROR(OFFSET('HARGA SATUAN'!$E$6,MATCH(RAB!C118,'HARGA SATUAN'!$C$7:$C$1492,0),0)),"",OFFSET('HARGA SATUAN'!$E$6,MATCH(RAB!C118,'HARGA SATUAN'!$C$7:$C$1492,0),0)))</f>
        <v/>
      </c>
      <c r="F118" s="510"/>
      <c r="G118" s="283">
        <f ca="1">IF(ISERROR(OFFSET('HARGA SATUAN'!$I$6,MATCH(RAB!C118,'HARGA SATUAN'!$C$7:$C$1492,0),0)),0,OFFSET('HARGA SATUAN'!$I$6,MATCH(RAB!C118,'HARGA SATUAN'!$C$7:$C$1492,0),0))</f>
        <v>0</v>
      </c>
      <c r="H118" s="284">
        <f t="shared" ref="H118:H124" ca="1" si="76">IF(OR(D118="MDU",D118="MDU-KD"),(IF($O$3="RAB NON MDU","PLN KD",G118*F118)),0)</f>
        <v>0</v>
      </c>
      <c r="I118" s="284">
        <f t="shared" ref="I118:I124" ca="1" si="77">IF(D118="HDW",G118*F118,0)</f>
        <v>0</v>
      </c>
      <c r="J118" s="284">
        <f t="shared" ref="J118:J124" ca="1" si="78">IF(D118="JASA",G118*F118,0)</f>
        <v>0</v>
      </c>
      <c r="K118" s="285">
        <f t="shared" ref="K118:K124" ca="1" si="79">SUM(H118:J118)</f>
        <v>0</v>
      </c>
      <c r="L118" s="290"/>
      <c r="M118" s="290"/>
      <c r="N118" s="290"/>
      <c r="O118" s="286"/>
      <c r="P118" s="286"/>
      <c r="Q118" s="267"/>
      <c r="R118" s="259"/>
      <c r="S118" s="287"/>
      <c r="T118" s="264"/>
      <c r="U118" s="264"/>
      <c r="V118" s="264"/>
    </row>
    <row r="119" spans="1:22" s="291" customFormat="1">
      <c r="A119" s="259">
        <f>IF(AND(C115=0,C116=0,C121=0),"BLANKS",1)</f>
        <v>1</v>
      </c>
      <c r="B119" s="513" t="s">
        <v>1005</v>
      </c>
      <c r="C119" s="516" t="s">
        <v>282</v>
      </c>
      <c r="D119" s="281" t="str">
        <f ca="1">IF(ISERROR(OFFSET('HARGA SATUAN'!$D$6,MATCH(RAB!C119,'HARGA SATUAN'!$C$7:$C$1492,0),0)),"",OFFSET('HARGA SATUAN'!$D$6,MATCH(RAB!C119,'HARGA SATUAN'!$C$7:$C$1492,0),0))</f>
        <v>HDW</v>
      </c>
      <c r="E119" s="282" t="str">
        <f ca="1">IF(B119="+","Unit",IF(ISERROR(OFFSET('HARGA SATUAN'!$E$6,MATCH(RAB!C119,'HARGA SATUAN'!$C$7:$C$1492,0),0)),"",OFFSET('HARGA SATUAN'!$E$6,MATCH(RAB!C119,'HARGA SATUAN'!$C$7:$C$1492,0),0)))</f>
        <v>Unit</v>
      </c>
      <c r="F119" s="510">
        <v>4</v>
      </c>
      <c r="G119" s="283">
        <f ca="1">IF(ISERROR(OFFSET('HARGA SATUAN'!$I$6,MATCH(RAB!C119,'HARGA SATUAN'!$C$7:$C$1492,0),0)),0,OFFSET('HARGA SATUAN'!$I$6,MATCH(RAB!C119,'HARGA SATUAN'!$C$7:$C$1492,0),0))</f>
        <v>38800</v>
      </c>
      <c r="H119" s="284">
        <f t="shared" ca="1" si="76"/>
        <v>0</v>
      </c>
      <c r="I119" s="284">
        <f t="shared" ca="1" si="77"/>
        <v>155200</v>
      </c>
      <c r="J119" s="284">
        <f t="shared" ca="1" si="78"/>
        <v>0</v>
      </c>
      <c r="K119" s="285">
        <f t="shared" ca="1" si="79"/>
        <v>155200</v>
      </c>
      <c r="L119" s="290"/>
      <c r="M119" s="290"/>
      <c r="N119" s="290"/>
      <c r="O119" s="286"/>
      <c r="P119" s="286"/>
      <c r="Q119" s="267"/>
      <c r="R119" s="259"/>
      <c r="S119" s="287"/>
      <c r="T119" s="264"/>
      <c r="U119" s="264"/>
      <c r="V119" s="264"/>
    </row>
    <row r="120" spans="1:22" s="291" customFormat="1">
      <c r="A120" s="259" t="e">
        <f>IF(AND(C116=0,C121=0,#REF!=0),"BLANKS",1)</f>
        <v>#REF!</v>
      </c>
      <c r="B120" s="513" t="s">
        <v>1005</v>
      </c>
      <c r="C120" s="516" t="s">
        <v>1021</v>
      </c>
      <c r="D120" s="281" t="str">
        <f ca="1">IF(ISERROR(OFFSET('HARGA SATUAN'!$D$6,MATCH(RAB!C120,'HARGA SATUAN'!$C$7:$C$1492,0),0)),"",OFFSET('HARGA SATUAN'!$D$6,MATCH(RAB!C120,'HARGA SATUAN'!$C$7:$C$1492,0),0))</f>
        <v>HDW</v>
      </c>
      <c r="E120" s="282" t="str">
        <f ca="1">IF(B120="+","Unit",IF(ISERROR(OFFSET('HARGA SATUAN'!$E$6,MATCH(RAB!C120,'HARGA SATUAN'!$C$7:$C$1492,0),0)),"",OFFSET('HARGA SATUAN'!$E$6,MATCH(RAB!C120,'HARGA SATUAN'!$C$7:$C$1492,0),0)))</f>
        <v>Unit</v>
      </c>
      <c r="F120" s="510">
        <v>4</v>
      </c>
      <c r="G120" s="283">
        <f ca="1">IF(ISERROR(OFFSET('HARGA SATUAN'!$I$6,MATCH(RAB!C120,'HARGA SATUAN'!$C$7:$C$1492,0),0)),0,OFFSET('HARGA SATUAN'!$I$6,MATCH(RAB!C120,'HARGA SATUAN'!$C$7:$C$1492,0),0))</f>
        <v>8784</v>
      </c>
      <c r="H120" s="284">
        <f t="shared" ca="1" si="76"/>
        <v>0</v>
      </c>
      <c r="I120" s="284">
        <f t="shared" ca="1" si="77"/>
        <v>35136</v>
      </c>
      <c r="J120" s="284">
        <f t="shared" ca="1" si="78"/>
        <v>0</v>
      </c>
      <c r="K120" s="285">
        <f t="shared" ca="1" si="79"/>
        <v>35136</v>
      </c>
      <c r="L120" s="290"/>
      <c r="M120" s="290"/>
      <c r="N120" s="290"/>
      <c r="O120" s="286"/>
      <c r="P120" s="286"/>
      <c r="Q120" s="267"/>
      <c r="R120" s="259"/>
      <c r="S120" s="287"/>
      <c r="T120" s="264"/>
      <c r="U120" s="264"/>
      <c r="V120" s="264"/>
    </row>
    <row r="121" spans="1:22" s="291" customFormat="1">
      <c r="A121" s="259" t="e">
        <f>IF(AND(C121=0,#REF!=0,#REF!=0),"BLANKS",1)</f>
        <v>#REF!</v>
      </c>
      <c r="B121" s="513" t="s">
        <v>1005</v>
      </c>
      <c r="C121" s="516" t="s">
        <v>1023</v>
      </c>
      <c r="D121" s="281" t="str">
        <f ca="1">IF(ISERROR(OFFSET('HARGA SATUAN'!$D$6,MATCH(RAB!C121,'HARGA SATUAN'!$C$7:$C$1492,0),0)),"",OFFSET('HARGA SATUAN'!$D$6,MATCH(RAB!C121,'HARGA SATUAN'!$C$7:$C$1492,0),0))</f>
        <v>HDW</v>
      </c>
      <c r="E121" s="282" t="str">
        <f ca="1">IF(B121="+","Unit",IF(ISERROR(OFFSET('HARGA SATUAN'!$E$6,MATCH(RAB!C121,'HARGA SATUAN'!$C$7:$C$1492,0),0)),"",OFFSET('HARGA SATUAN'!$E$6,MATCH(RAB!C121,'HARGA SATUAN'!$C$7:$C$1492,0),0)))</f>
        <v>Unit</v>
      </c>
      <c r="F121" s="510">
        <v>4</v>
      </c>
      <c r="G121" s="283">
        <f ca="1">IF(ISERROR(OFFSET('HARGA SATUAN'!$I$6,MATCH(RAB!C121,'HARGA SATUAN'!$C$7:$C$1492,0),0)),0,OFFSET('HARGA SATUAN'!$I$6,MATCH(RAB!C121,'HARGA SATUAN'!$C$7:$C$1492,0),0))</f>
        <v>67344</v>
      </c>
      <c r="H121" s="284">
        <f t="shared" ca="1" si="76"/>
        <v>0</v>
      </c>
      <c r="I121" s="284">
        <f t="shared" ca="1" si="77"/>
        <v>269376</v>
      </c>
      <c r="J121" s="284">
        <f t="shared" ca="1" si="78"/>
        <v>0</v>
      </c>
      <c r="K121" s="285">
        <f t="shared" ca="1" si="79"/>
        <v>269376</v>
      </c>
      <c r="L121" s="290"/>
      <c r="M121" s="290"/>
      <c r="N121" s="290"/>
      <c r="O121" s="286"/>
      <c r="P121" s="286"/>
      <c r="Q121" s="267"/>
      <c r="R121" s="259"/>
      <c r="S121" s="287"/>
      <c r="T121" s="264"/>
      <c r="U121" s="264"/>
      <c r="V121" s="264"/>
    </row>
    <row r="122" spans="1:22" s="291" customFormat="1">
      <c r="A122" s="259" t="e">
        <f>IF(AND(C122=0,C123=0,#REF!=0),"BLANKS",1)</f>
        <v>#REF!</v>
      </c>
      <c r="B122" s="513" t="s">
        <v>1005</v>
      </c>
      <c r="C122" s="516" t="s">
        <v>462</v>
      </c>
      <c r="D122" s="281" t="str">
        <f ca="1">IF(ISERROR(OFFSET('HARGA SATUAN'!$D$6,MATCH(RAB!C122,'HARGA SATUAN'!$C$7:$C$1492,0),0)),"",OFFSET('HARGA SATUAN'!$D$6,MATCH(RAB!C122,'HARGA SATUAN'!$C$7:$C$1492,0),0))</f>
        <v>HDW</v>
      </c>
      <c r="E122" s="282" t="str">
        <f ca="1">IF(B122="+","Unit",IF(ISERROR(OFFSET('HARGA SATUAN'!$E$6,MATCH(RAB!C122,'HARGA SATUAN'!$C$7:$C$1492,0),0)),"",OFFSET('HARGA SATUAN'!$E$6,MATCH(RAB!C122,'HARGA SATUAN'!$C$7:$C$1492,0),0)))</f>
        <v>Unit</v>
      </c>
      <c r="F122" s="510">
        <v>2</v>
      </c>
      <c r="G122" s="283">
        <f ca="1">IF(ISERROR(OFFSET('HARGA SATUAN'!$I$6,MATCH(RAB!C122,'HARGA SATUAN'!$C$7:$C$1492,0),0)),0,OFFSET('HARGA SATUAN'!$I$6,MATCH(RAB!C122,'HARGA SATUAN'!$C$7:$C$1492,0),0))</f>
        <v>680475</v>
      </c>
      <c r="H122" s="284">
        <f t="shared" ca="1" si="76"/>
        <v>0</v>
      </c>
      <c r="I122" s="284">
        <f t="shared" ca="1" si="77"/>
        <v>1360950</v>
      </c>
      <c r="J122" s="284">
        <f t="shared" ca="1" si="78"/>
        <v>0</v>
      </c>
      <c r="K122" s="285">
        <f t="shared" ca="1" si="79"/>
        <v>1360950</v>
      </c>
      <c r="L122" s="290"/>
      <c r="M122" s="290"/>
      <c r="N122" s="290"/>
      <c r="O122" s="286"/>
      <c r="P122" s="286"/>
      <c r="Q122" s="267"/>
      <c r="R122" s="259"/>
      <c r="S122" s="287"/>
      <c r="T122" s="264"/>
      <c r="U122" s="264"/>
      <c r="V122" s="264"/>
    </row>
    <row r="123" spans="1:22" s="291" customFormat="1">
      <c r="A123" s="259" t="e">
        <f>IF(AND(C123=0,#REF!=0,#REF!=0),"BLANKS",1)</f>
        <v>#REF!</v>
      </c>
      <c r="B123" s="513" t="s">
        <v>1005</v>
      </c>
      <c r="C123" s="516" t="s">
        <v>225</v>
      </c>
      <c r="D123" s="281" t="str">
        <f ca="1">IF(ISERROR(OFFSET('HARGA SATUAN'!$D$6,MATCH(RAB!C123,'HARGA SATUAN'!$C$7:$C$1492,0),0)),"",OFFSET('HARGA SATUAN'!$D$6,MATCH(RAB!C123,'HARGA SATUAN'!$C$7:$C$1492,0),0))</f>
        <v>HDW</v>
      </c>
      <c r="E123" s="282" t="str">
        <f ca="1">IF(B123="+","Unit",IF(ISERROR(OFFSET('HARGA SATUAN'!$E$6,MATCH(RAB!C123,'HARGA SATUAN'!$C$7:$C$1492,0),0)),"",OFFSET('HARGA SATUAN'!$E$6,MATCH(RAB!C123,'HARGA SATUAN'!$C$7:$C$1492,0),0)))</f>
        <v>Unit</v>
      </c>
      <c r="F123" s="510">
        <v>4</v>
      </c>
      <c r="G123" s="283">
        <f ca="1">IF(ISERROR(OFFSET('HARGA SATUAN'!$I$6,MATCH(RAB!C123,'HARGA SATUAN'!$C$7:$C$1492,0),0)),0,OFFSET('HARGA SATUAN'!$I$6,MATCH(RAB!C123,'HARGA SATUAN'!$C$7:$C$1492,0),0))</f>
        <v>53000</v>
      </c>
      <c r="H123" s="284">
        <f t="shared" ca="1" si="76"/>
        <v>0</v>
      </c>
      <c r="I123" s="284">
        <f t="shared" ca="1" si="77"/>
        <v>212000</v>
      </c>
      <c r="J123" s="284">
        <f t="shared" ca="1" si="78"/>
        <v>0</v>
      </c>
      <c r="K123" s="285">
        <f t="shared" ca="1" si="79"/>
        <v>212000</v>
      </c>
      <c r="L123" s="290"/>
      <c r="M123" s="290"/>
      <c r="N123" s="290"/>
      <c r="O123" s="286"/>
      <c r="P123" s="286"/>
      <c r="Q123" s="267"/>
      <c r="R123" s="259"/>
      <c r="S123" s="287"/>
      <c r="T123" s="264"/>
      <c r="U123" s="264"/>
      <c r="V123" s="264"/>
    </row>
    <row r="124" spans="1:22" s="291" customFormat="1">
      <c r="A124" s="259" t="b">
        <f ca="1">F124=G125</f>
        <v>0</v>
      </c>
      <c r="B124" s="513" t="s">
        <v>1005</v>
      </c>
      <c r="C124" s="109" t="s">
        <v>223</v>
      </c>
      <c r="D124" s="281" t="str">
        <f ca="1">IF(ISERROR(OFFSET('HARGA SATUAN'!$D$6,MATCH(RAB!C124,'HARGA SATUAN'!$C$7:$C$1492,0),0)),"",OFFSET('HARGA SATUAN'!$D$6,MATCH(RAB!C124,'HARGA SATUAN'!$C$7:$C$1492,0),0))</f>
        <v>HDW</v>
      </c>
      <c r="E124" s="282" t="str">
        <f ca="1">IF(B124="+","Unit",IF(ISERROR(OFFSET('HARGA SATUAN'!$E$6,MATCH(RAB!C124,'HARGA SATUAN'!$C$7:$C$1492,0),0)),"",OFFSET('HARGA SATUAN'!$E$6,MATCH(RAB!C124,'HARGA SATUAN'!$C$7:$C$1492,0),0)))</f>
        <v>Unit</v>
      </c>
      <c r="F124" s="510">
        <v>4</v>
      </c>
      <c r="G124" s="283">
        <f ca="1">IF(ISERROR(OFFSET('HARGA SATUAN'!$I$6,MATCH(RAB!C124,'HARGA SATUAN'!$C$7:$C$1492,0),0)),0,OFFSET('HARGA SATUAN'!$I$6,MATCH(RAB!C124,'HARGA SATUAN'!$C$7:$C$1492,0),0))</f>
        <v>52500</v>
      </c>
      <c r="H124" s="284">
        <f t="shared" ca="1" si="76"/>
        <v>0</v>
      </c>
      <c r="I124" s="284">
        <f t="shared" ca="1" si="77"/>
        <v>210000</v>
      </c>
      <c r="J124" s="284">
        <f t="shared" ca="1" si="78"/>
        <v>0</v>
      </c>
      <c r="K124" s="285">
        <f t="shared" ca="1" si="79"/>
        <v>210000</v>
      </c>
      <c r="L124" s="290"/>
      <c r="M124" s="290"/>
      <c r="N124" s="290"/>
      <c r="O124" s="286"/>
      <c r="P124" s="286"/>
      <c r="Q124" s="267"/>
      <c r="R124" s="259"/>
      <c r="S124" s="287"/>
      <c r="T124" s="264"/>
      <c r="U124" s="264"/>
      <c r="V124" s="264"/>
    </row>
    <row r="125" spans="1:22" s="291" customFormat="1">
      <c r="A125" s="259" t="e">
        <f>IF(AND(C125=0,#REF!=0,#REF!=0),"BLANKS",1)</f>
        <v>#REF!</v>
      </c>
      <c r="B125" s="513" t="s">
        <v>1005</v>
      </c>
      <c r="C125" s="501" t="s">
        <v>1564</v>
      </c>
      <c r="D125" s="281" t="str">
        <f ca="1">IF(ISERROR(OFFSET('HARGA SATUAN'!$D$6,MATCH(RAB!C125,'HARGA SATUAN'!$C$7:$C$1492,0),0)),"",OFFSET('HARGA SATUAN'!$D$6,MATCH(RAB!C125,'HARGA SATUAN'!$C$7:$C$1492,0),0))</f>
        <v>HDW</v>
      </c>
      <c r="E125" s="282" t="str">
        <f ca="1">IF(B125="+","Unit",IF(ISERROR(OFFSET('HARGA SATUAN'!$E$6,MATCH(RAB!C125,'HARGA SATUAN'!$C$7:$C$1492,0),0)),"",OFFSET('HARGA SATUAN'!$E$6,MATCH(RAB!C125,'HARGA SATUAN'!$C$7:$C$1492,0),0)))</f>
        <v>Unit</v>
      </c>
      <c r="F125" s="504">
        <v>16</v>
      </c>
      <c r="G125" s="283">
        <f ca="1">IF(ISERROR(OFFSET('HARGA SATUAN'!$I$6,MATCH(RAB!C125,'HARGA SATUAN'!$C$7:$C$1492,0),0)),0,OFFSET('HARGA SATUAN'!$I$6,MATCH(RAB!C125,'HARGA SATUAN'!$C$7:$C$1492,0),0))</f>
        <v>53500</v>
      </c>
      <c r="H125" s="284">
        <f t="shared" ca="1" si="11"/>
        <v>0</v>
      </c>
      <c r="I125" s="284">
        <f t="shared" ca="1" si="12"/>
        <v>856000</v>
      </c>
      <c r="J125" s="284">
        <f t="shared" ca="1" si="13"/>
        <v>0</v>
      </c>
      <c r="K125" s="285">
        <f t="shared" ca="1" si="14"/>
        <v>856000</v>
      </c>
      <c r="L125" s="290"/>
      <c r="M125" s="290"/>
      <c r="N125" s="290"/>
      <c r="O125" s="286"/>
      <c r="P125" s="286"/>
      <c r="Q125" s="267"/>
      <c r="R125" s="259"/>
      <c r="S125" s="287"/>
      <c r="T125" s="264"/>
      <c r="U125" s="264"/>
      <c r="V125" s="264"/>
    </row>
    <row r="126" spans="1:22" s="291" customFormat="1">
      <c r="A126" s="259" t="e">
        <f>IF(AND(C126=0,#REF!=0,#REF!=0),"BLANKS",1)</f>
        <v>#REF!</v>
      </c>
      <c r="B126" s="513" t="s">
        <v>1005</v>
      </c>
      <c r="C126" s="294" t="s">
        <v>173</v>
      </c>
      <c r="D126" s="281" t="str">
        <f ca="1">IF(ISERROR(OFFSET('HARGA SATUAN'!$D$6,MATCH(RAB!C126,'HARGA SATUAN'!$C$7:$C$1492,0),0)),"",OFFSET('HARGA SATUAN'!$D$6,MATCH(RAB!C126,'HARGA SATUAN'!$C$7:$C$1492,0),0))</f>
        <v>HDW</v>
      </c>
      <c r="E126" s="282" t="str">
        <f ca="1">IF(B126="+","Unit",IF(ISERROR(OFFSET('HARGA SATUAN'!$E$6,MATCH(RAB!C126,'HARGA SATUAN'!$C$7:$C$1492,0),0)),"",OFFSET('HARGA SATUAN'!$E$6,MATCH(RAB!C126,'HARGA SATUAN'!$C$7:$C$1492,0),0)))</f>
        <v>Unit</v>
      </c>
      <c r="F126" s="393">
        <v>1</v>
      </c>
      <c r="G126" s="283">
        <f ca="1">IF(ISERROR(OFFSET('HARGA SATUAN'!$I$6,MATCH(RAB!C126,'HARGA SATUAN'!$C$7:$C$1492,0),0)),0,OFFSET('HARGA SATUAN'!$I$6,MATCH(RAB!C126,'HARGA SATUAN'!$C$7:$C$1492,0),0))</f>
        <v>22500</v>
      </c>
      <c r="H126" s="284">
        <f t="shared" ca="1" si="11"/>
        <v>0</v>
      </c>
      <c r="I126" s="284">
        <f t="shared" ca="1" si="12"/>
        <v>22500</v>
      </c>
      <c r="J126" s="284">
        <f t="shared" ca="1" si="13"/>
        <v>0</v>
      </c>
      <c r="K126" s="285">
        <f t="shared" ca="1" si="14"/>
        <v>22500</v>
      </c>
      <c r="L126" s="290"/>
      <c r="M126" s="290"/>
      <c r="N126" s="290"/>
      <c r="O126" s="286"/>
      <c r="P126" s="286"/>
      <c r="Q126" s="267"/>
      <c r="R126" s="259"/>
      <c r="S126" s="287"/>
      <c r="T126" s="264"/>
      <c r="U126" s="264"/>
      <c r="V126" s="264"/>
    </row>
    <row r="127" spans="1:22" s="291" customFormat="1">
      <c r="A127" s="259"/>
      <c r="B127" s="513" t="s">
        <v>1005</v>
      </c>
      <c r="C127" s="294" t="s">
        <v>1127</v>
      </c>
      <c r="D127" s="281" t="str">
        <f ca="1">IF(ISERROR(OFFSET('HARGA SATUAN'!$D$6,MATCH(RAB!C127,'HARGA SATUAN'!$C$7:$C$1492,0),0)),"",OFFSET('HARGA SATUAN'!$D$6,MATCH(RAB!C127,'HARGA SATUAN'!$C$7:$C$1492,0),0))</f>
        <v>HDW</v>
      </c>
      <c r="E127" s="282" t="str">
        <f ca="1">IF(B127="+","Unit",IF(ISERROR(OFFSET('HARGA SATUAN'!$E$6,MATCH(RAB!C127,'HARGA SATUAN'!$C$7:$C$1492,0),0)),"",OFFSET('HARGA SATUAN'!$E$6,MATCH(RAB!C127,'HARGA SATUAN'!$C$7:$C$1492,0),0)))</f>
        <v>Unit</v>
      </c>
      <c r="F127" s="393">
        <v>3</v>
      </c>
      <c r="G127" s="283">
        <f ca="1">IF(ISERROR(OFFSET('HARGA SATUAN'!$I$6,MATCH(RAB!C127,'HARGA SATUAN'!$C$7:$C$1492,0),0)),0,OFFSET('HARGA SATUAN'!$I$6,MATCH(RAB!C127,'HARGA SATUAN'!$C$7:$C$1492,0),0))</f>
        <v>36500</v>
      </c>
      <c r="H127" s="284">
        <f t="shared" ca="1" si="11"/>
        <v>0</v>
      </c>
      <c r="I127" s="284">
        <f t="shared" ca="1" si="12"/>
        <v>109500</v>
      </c>
      <c r="J127" s="284">
        <f t="shared" ca="1" si="13"/>
        <v>0</v>
      </c>
      <c r="K127" s="285">
        <f t="shared" ca="1" si="14"/>
        <v>109500</v>
      </c>
      <c r="L127" s="290"/>
      <c r="M127" s="290"/>
      <c r="N127" s="290"/>
      <c r="O127" s="286"/>
      <c r="P127" s="286"/>
      <c r="Q127" s="267"/>
      <c r="R127" s="259"/>
      <c r="S127" s="287"/>
      <c r="T127" s="264"/>
      <c r="U127" s="264"/>
      <c r="V127" s="264"/>
    </row>
    <row r="128" spans="1:22" s="291" customFormat="1">
      <c r="A128" s="259" t="e">
        <f>IF(AND(C128=0,C129=0,#REF!=0),"BLANKS",1)</f>
        <v>#REF!</v>
      </c>
      <c r="B128" s="513"/>
      <c r="C128" s="109"/>
      <c r="D128" s="281" t="str">
        <f ca="1">IF(ISERROR(OFFSET('HARGA SATUAN'!$D$6,MATCH(RAB!C128,'HARGA SATUAN'!$C$7:$C$1492,0),0)),"",OFFSET('HARGA SATUAN'!$D$6,MATCH(RAB!C128,'HARGA SATUAN'!$C$7:$C$1492,0),0))</f>
        <v/>
      </c>
      <c r="E128" s="282" t="str">
        <f ca="1">IF(B128="+","Unit",IF(ISERROR(OFFSET('HARGA SATUAN'!$E$6,MATCH(RAB!C128,'HARGA SATUAN'!$C$7:$C$1492,0),0)),"",OFFSET('HARGA SATUAN'!$E$6,MATCH(RAB!C128,'HARGA SATUAN'!$C$7:$C$1492,0),0)))</f>
        <v/>
      </c>
      <c r="F128" s="393"/>
      <c r="G128" s="283">
        <f ca="1">IF(ISERROR(OFFSET('HARGA SATUAN'!$I$6,MATCH(RAB!C128,'HARGA SATUAN'!$C$7:$C$1492,0),0)),0,OFFSET('HARGA SATUAN'!$I$6,MATCH(RAB!C128,'HARGA SATUAN'!$C$7:$C$1492,0),0))</f>
        <v>0</v>
      </c>
      <c r="H128" s="284">
        <f t="shared" ca="1" si="11"/>
        <v>0</v>
      </c>
      <c r="I128" s="284">
        <f t="shared" ca="1" si="12"/>
        <v>0</v>
      </c>
      <c r="J128" s="284">
        <f t="shared" ca="1" si="13"/>
        <v>0</v>
      </c>
      <c r="K128" s="285">
        <f t="shared" ca="1" si="14"/>
        <v>0</v>
      </c>
      <c r="L128" s="290"/>
      <c r="M128" s="290"/>
      <c r="N128" s="290"/>
      <c r="O128" s="286"/>
      <c r="P128" s="286"/>
      <c r="Q128" s="267"/>
      <c r="R128" s="259"/>
      <c r="S128" s="287"/>
      <c r="T128" s="264"/>
      <c r="U128" s="264"/>
      <c r="V128" s="264"/>
    </row>
    <row r="129" spans="1:22" s="291" customFormat="1" ht="28.5">
      <c r="A129" s="259" t="e">
        <f>IF(AND(C129=0,#REF!=0,#REF!=0),"BLANKS",1)</f>
        <v>#REF!</v>
      </c>
      <c r="B129" s="395" t="s">
        <v>514</v>
      </c>
      <c r="C129" s="396" t="s">
        <v>1578</v>
      </c>
      <c r="D129" s="281" t="str">
        <f ca="1">IF(ISERROR(OFFSET('HARGA SATUAN'!$D$6,MATCH(RAB!C129,'HARGA SATUAN'!$C$7:$C$1492,0),0)),"",OFFSET('HARGA SATUAN'!$D$6,MATCH(RAB!C129,'HARGA SATUAN'!$C$7:$C$1492,0),0))</f>
        <v/>
      </c>
      <c r="E129" s="282" t="str">
        <f ca="1">IF(B129="+","Unit",IF(ISERROR(OFFSET('HARGA SATUAN'!$E$6,MATCH(RAB!C129,'HARGA SATUAN'!$C$7:$C$1492,0),0)),"",OFFSET('HARGA SATUAN'!$E$6,MATCH(RAB!C129,'HARGA SATUAN'!$C$7:$C$1492,0),0)))</f>
        <v/>
      </c>
      <c r="F129" s="393"/>
      <c r="G129" s="283">
        <f ca="1">IF(ISERROR(OFFSET('HARGA SATUAN'!$I$6,MATCH(RAB!C129,'HARGA SATUAN'!$C$7:$C$1492,0),0)),0,OFFSET('HARGA SATUAN'!$I$6,MATCH(RAB!C129,'HARGA SATUAN'!$C$7:$C$1492,0),0))</f>
        <v>0</v>
      </c>
      <c r="H129" s="284">
        <f t="shared" ca="1" si="11"/>
        <v>0</v>
      </c>
      <c r="I129" s="284">
        <f t="shared" ca="1" si="12"/>
        <v>0</v>
      </c>
      <c r="J129" s="284">
        <f t="shared" ca="1" si="13"/>
        <v>0</v>
      </c>
      <c r="K129" s="285">
        <f t="shared" ca="1" si="14"/>
        <v>0</v>
      </c>
      <c r="L129" s="290"/>
      <c r="M129" s="290"/>
      <c r="N129" s="290"/>
      <c r="O129" s="286"/>
      <c r="P129" s="286"/>
      <c r="Q129" s="267"/>
      <c r="R129" s="259"/>
      <c r="S129" s="287"/>
      <c r="T129" s="264"/>
      <c r="U129" s="264"/>
      <c r="V129" s="264"/>
    </row>
    <row r="130" spans="1:22" s="291" customFormat="1">
      <c r="A130" s="259" t="s">
        <v>1413</v>
      </c>
      <c r="B130" s="293"/>
      <c r="C130" s="294"/>
      <c r="D130" s="281" t="str">
        <f ca="1">IF(ISERROR(OFFSET('HARGA SATUAN'!$D$6,MATCH(RAB!C130,'HARGA SATUAN'!$C$7:$C$1492,0),0)),"",OFFSET('HARGA SATUAN'!$D$6,MATCH(RAB!C130,'HARGA SATUAN'!$C$7:$C$1492,0),0))</f>
        <v/>
      </c>
      <c r="E130" s="282" t="str">
        <f ca="1">IF(B130="+","Unit",IF(ISERROR(OFFSET('HARGA SATUAN'!$E$6,MATCH(RAB!C130,'HARGA SATUAN'!$C$7:$C$1492,0),0)),"",OFFSET('HARGA SATUAN'!$E$6,MATCH(RAB!C130,'HARGA SATUAN'!$C$7:$C$1492,0),0)))</f>
        <v/>
      </c>
      <c r="F130" s="393"/>
      <c r="G130" s="283">
        <f ca="1">IF(ISERROR(OFFSET('HARGA SATUAN'!$I$6,MATCH(RAB!C130,'HARGA SATUAN'!$C$7:$C$1492,0),0)),0,OFFSET('HARGA SATUAN'!$I$6,MATCH(RAB!C130,'HARGA SATUAN'!$C$7:$C$1492,0),0))</f>
        <v>0</v>
      </c>
      <c r="H130" s="284">
        <f t="shared" ca="1" si="11"/>
        <v>0</v>
      </c>
      <c r="I130" s="284">
        <f t="shared" ca="1" si="12"/>
        <v>0</v>
      </c>
      <c r="J130" s="284">
        <f t="shared" ca="1" si="13"/>
        <v>0</v>
      </c>
      <c r="K130" s="285">
        <f t="shared" ca="1" si="14"/>
        <v>0</v>
      </c>
      <c r="L130" s="290"/>
      <c r="M130" s="290"/>
      <c r="N130" s="290"/>
      <c r="O130" s="286"/>
      <c r="P130" s="286"/>
      <c r="Q130" s="267"/>
      <c r="R130" s="259"/>
      <c r="S130" s="287"/>
      <c r="T130" s="264"/>
      <c r="U130" s="264"/>
      <c r="V130" s="264"/>
    </row>
    <row r="131" spans="1:22" s="291" customFormat="1">
      <c r="A131" s="259" t="e">
        <f>IF(AND(C131=0,#REF!=0,#REF!=0),"BLANKS",1)</f>
        <v>#REF!</v>
      </c>
      <c r="B131" s="293">
        <v>1</v>
      </c>
      <c r="C131" s="109" t="s">
        <v>55</v>
      </c>
      <c r="D131" s="281" t="str">
        <f ca="1">IF(ISERROR(OFFSET('HARGA SATUAN'!$D$6,MATCH(RAB!C131,'HARGA SATUAN'!$C$7:$C$1492,0),0)),"",OFFSET('HARGA SATUAN'!$D$6,MATCH(RAB!C131,'HARGA SATUAN'!$C$7:$C$1492,0),0))</f>
        <v>MDU-KD</v>
      </c>
      <c r="E131" s="282" t="str">
        <f ca="1">IF(B131="+","Unit",IF(ISERROR(OFFSET('HARGA SATUAN'!$E$6,MATCH(RAB!C131,'HARGA SATUAN'!$C$7:$C$1492,0),0)),"",OFFSET('HARGA SATUAN'!$E$6,MATCH(RAB!C131,'HARGA SATUAN'!$C$7:$C$1492,0),0)))</f>
        <v>Mtr</v>
      </c>
      <c r="F131" s="393">
        <v>100</v>
      </c>
      <c r="G131" s="283">
        <f ca="1">IF(ISERROR(OFFSET('HARGA SATUAN'!$I$6,MATCH(RAB!C131,'HARGA SATUAN'!$C$7:$C$1492,0),0)),0,OFFSET('HARGA SATUAN'!$I$6,MATCH(RAB!C131,'HARGA SATUAN'!$C$7:$C$1492,0),0))</f>
        <v>14200</v>
      </c>
      <c r="H131" s="284">
        <f t="shared" ca="1" si="11"/>
        <v>1420000</v>
      </c>
      <c r="I131" s="284">
        <f t="shared" ca="1" si="12"/>
        <v>0</v>
      </c>
      <c r="J131" s="284">
        <f t="shared" ca="1" si="13"/>
        <v>0</v>
      </c>
      <c r="K131" s="285">
        <f t="shared" ca="1" si="14"/>
        <v>1420000</v>
      </c>
      <c r="L131" s="290"/>
      <c r="M131" s="290"/>
      <c r="N131" s="290"/>
      <c r="O131" s="286"/>
      <c r="P131" s="286"/>
      <c r="Q131" s="267"/>
      <c r="R131" s="259"/>
      <c r="S131" s="287"/>
      <c r="T131" s="264"/>
      <c r="U131" s="264"/>
      <c r="V131" s="264"/>
    </row>
    <row r="132" spans="1:22" s="291" customFormat="1" ht="30">
      <c r="A132" s="259" t="s">
        <v>1413</v>
      </c>
      <c r="B132" s="293">
        <v>2</v>
      </c>
      <c r="C132" s="109" t="s">
        <v>291</v>
      </c>
      <c r="D132" s="281" t="str">
        <f ca="1">IF(ISERROR(OFFSET('HARGA SATUAN'!$D$6,MATCH(RAB!C132,'HARGA SATUAN'!$C$7:$C$1492,0),0)),"",OFFSET('HARGA SATUAN'!$D$6,MATCH(RAB!C132,'HARGA SATUAN'!$C$7:$C$1492,0),0))</f>
        <v>JASA</v>
      </c>
      <c r="E132" s="282" t="str">
        <f ca="1">IF(B132="+","Unit",IF(ISERROR(OFFSET('HARGA SATUAN'!$E$6,MATCH(RAB!C132,'HARGA SATUAN'!$C$7:$C$1492,0),0)),"",OFFSET('HARGA SATUAN'!$E$6,MATCH(RAB!C132,'HARGA SATUAN'!$C$7:$C$1492,0),0)))</f>
        <v>Per 50 m</v>
      </c>
      <c r="F132" s="393">
        <v>2</v>
      </c>
      <c r="G132" s="283">
        <f ca="1">IF(ISERROR(OFFSET('HARGA SATUAN'!$I$6,MATCH(RAB!C132,'HARGA SATUAN'!$C$7:$C$1492,0),0)),0,OFFSET('HARGA SATUAN'!$I$6,MATCH(RAB!C132,'HARGA SATUAN'!$C$7:$C$1492,0),0))</f>
        <v>300100</v>
      </c>
      <c r="H132" s="284">
        <f t="shared" ca="1" si="11"/>
        <v>0</v>
      </c>
      <c r="I132" s="284">
        <f t="shared" ca="1" si="12"/>
        <v>0</v>
      </c>
      <c r="J132" s="284">
        <f t="shared" ca="1" si="13"/>
        <v>600200</v>
      </c>
      <c r="K132" s="285">
        <f t="shared" ca="1" si="14"/>
        <v>600200</v>
      </c>
      <c r="L132" s="290"/>
      <c r="M132" s="290"/>
      <c r="N132" s="290"/>
      <c r="O132" s="286"/>
      <c r="P132" s="286"/>
      <c r="Q132" s="267"/>
      <c r="R132" s="259"/>
      <c r="S132" s="287"/>
      <c r="T132" s="264"/>
      <c r="U132" s="264"/>
      <c r="V132" s="264"/>
    </row>
    <row r="133" spans="1:22" s="291" customFormat="1">
      <c r="A133" s="259" t="e">
        <f>IF(AND(C133=0,#REF!=0,#REF!=0),"BLANKS",1)</f>
        <v>#REF!</v>
      </c>
      <c r="B133" s="293"/>
      <c r="C133" s="109"/>
      <c r="D133" s="281" t="str">
        <f ca="1">IF(ISERROR(OFFSET('HARGA SATUAN'!$D$6,MATCH(RAB!C133,'HARGA SATUAN'!$C$7:$C$1492,0),0)),"",OFFSET('HARGA SATUAN'!$D$6,MATCH(RAB!C133,'HARGA SATUAN'!$C$7:$C$1492,0),0))</f>
        <v/>
      </c>
      <c r="E133" s="282" t="str">
        <f ca="1">IF(B133="+","Unit",IF(ISERROR(OFFSET('HARGA SATUAN'!$E$6,MATCH(RAB!C133,'HARGA SATUAN'!$C$7:$C$1492,0),0)),"",OFFSET('HARGA SATUAN'!$E$6,MATCH(RAB!C133,'HARGA SATUAN'!$C$7:$C$1492,0),0)))</f>
        <v/>
      </c>
      <c r="F133" s="393"/>
      <c r="G133" s="283">
        <f ca="1">IF(ISERROR(OFFSET('HARGA SATUAN'!$I$6,MATCH(RAB!C133,'HARGA SATUAN'!$C$7:$C$1492,0),0)),0,OFFSET('HARGA SATUAN'!$I$6,MATCH(RAB!C133,'HARGA SATUAN'!$C$7:$C$1492,0),0))</f>
        <v>0</v>
      </c>
      <c r="H133" s="284">
        <f t="shared" ref="H133:H134" ca="1" si="80">IF(OR(D133="MDU",D133="MDU-KD"),(IF($O$3="RAB NON MDU","PLN KD",G133*F133)),0)</f>
        <v>0</v>
      </c>
      <c r="I133" s="284">
        <f t="shared" ref="I133:I134" ca="1" si="81">IF(D133="HDW",G133*F133,0)</f>
        <v>0</v>
      </c>
      <c r="J133" s="284">
        <f t="shared" ref="J133:J134" ca="1" si="82">IF(D133="JASA",G133*F133,0)</f>
        <v>0</v>
      </c>
      <c r="K133" s="285">
        <f t="shared" ref="K133:K134" ca="1" si="83">SUM(H133:J133)</f>
        <v>0</v>
      </c>
      <c r="L133" s="290"/>
      <c r="M133" s="290"/>
      <c r="N133" s="290"/>
      <c r="O133" s="286"/>
      <c r="P133" s="286"/>
      <c r="Q133" s="267"/>
      <c r="R133" s="259"/>
      <c r="S133" s="287"/>
      <c r="T133" s="264"/>
      <c r="U133" s="264"/>
      <c r="V133" s="264"/>
    </row>
    <row r="134" spans="1:22" s="291" customFormat="1">
      <c r="A134" s="259" t="s">
        <v>1413</v>
      </c>
      <c r="B134" s="293"/>
      <c r="C134" s="109"/>
      <c r="D134" s="281" t="str">
        <f ca="1">IF(ISERROR(OFFSET('HARGA SATUAN'!$D$6,MATCH(RAB!C134,'HARGA SATUAN'!$C$7:$C$1492,0),0)),"",OFFSET('HARGA SATUAN'!$D$6,MATCH(RAB!C134,'HARGA SATUAN'!$C$7:$C$1492,0),0))</f>
        <v/>
      </c>
      <c r="E134" s="282" t="str">
        <f ca="1">IF(B134="+","Unit",IF(ISERROR(OFFSET('HARGA SATUAN'!$E$6,MATCH(RAB!C134,'HARGA SATUAN'!$C$7:$C$1492,0),0)),"",OFFSET('HARGA SATUAN'!$E$6,MATCH(RAB!C134,'HARGA SATUAN'!$C$7:$C$1492,0),0)))</f>
        <v/>
      </c>
      <c r="F134" s="393"/>
      <c r="G134" s="283">
        <f ca="1">IF(ISERROR(OFFSET('HARGA SATUAN'!$I$6,MATCH(RAB!C134,'HARGA SATUAN'!$C$7:$C$1492,0),0)),0,OFFSET('HARGA SATUAN'!$I$6,MATCH(RAB!C134,'HARGA SATUAN'!$C$7:$C$1492,0),0))</f>
        <v>0</v>
      </c>
      <c r="H134" s="284">
        <f t="shared" ca="1" si="80"/>
        <v>0</v>
      </c>
      <c r="I134" s="284">
        <f t="shared" ca="1" si="81"/>
        <v>0</v>
      </c>
      <c r="J134" s="284">
        <f t="shared" ca="1" si="82"/>
        <v>0</v>
      </c>
      <c r="K134" s="285">
        <f t="shared" ca="1" si="83"/>
        <v>0</v>
      </c>
      <c r="L134" s="290"/>
      <c r="M134" s="290"/>
      <c r="N134" s="290"/>
      <c r="O134" s="286"/>
      <c r="P134" s="286"/>
      <c r="Q134" s="267"/>
      <c r="R134" s="259"/>
      <c r="S134" s="287"/>
      <c r="T134" s="264"/>
      <c r="U134" s="264"/>
      <c r="V134" s="264"/>
    </row>
    <row r="135" spans="1:22" s="291" customFormat="1">
      <c r="A135" s="259" t="e">
        <f>IF(AND(C135=0,#REF!=0,#REF!=0),"BLANKS",1)</f>
        <v>#REF!</v>
      </c>
      <c r="B135" s="395"/>
      <c r="C135" s="396"/>
      <c r="D135" s="281" t="str">
        <f ca="1">IF(ISERROR(OFFSET('HARGA SATUAN'!$D$6,MATCH(RAB!C135,'HARGA SATUAN'!$C$7:$C$1492,0),0)),"",OFFSET('HARGA SATUAN'!$D$6,MATCH(RAB!C135,'HARGA SATUAN'!$C$7:$C$1492,0),0))</f>
        <v/>
      </c>
      <c r="E135" s="282" t="str">
        <f ca="1">IF(B135="+","Unit",IF(ISERROR(OFFSET('HARGA SATUAN'!$E$6,MATCH(RAB!C135,'HARGA SATUAN'!$C$7:$C$1492,0),0)),"",OFFSET('HARGA SATUAN'!$E$6,MATCH(RAB!C135,'HARGA SATUAN'!$C$7:$C$1492,0),0)))</f>
        <v/>
      </c>
      <c r="F135" s="393"/>
      <c r="G135" s="283">
        <f ca="1">IF(ISERROR(OFFSET('HARGA SATUAN'!$I$6,MATCH(RAB!C135,'HARGA SATUAN'!$C$7:$C$1492,0),0)),0,OFFSET('HARGA SATUAN'!$I$6,MATCH(RAB!C135,'HARGA SATUAN'!$C$7:$C$1492,0),0))</f>
        <v>0</v>
      </c>
      <c r="H135" s="284">
        <f t="shared" ca="1" si="11"/>
        <v>0</v>
      </c>
      <c r="I135" s="284">
        <f t="shared" ca="1" si="12"/>
        <v>0</v>
      </c>
      <c r="J135" s="284">
        <f t="shared" ca="1" si="13"/>
        <v>0</v>
      </c>
      <c r="K135" s="285">
        <f t="shared" ca="1" si="14"/>
        <v>0</v>
      </c>
      <c r="L135" s="290"/>
      <c r="M135" s="290"/>
      <c r="N135" s="290"/>
      <c r="O135" s="286"/>
      <c r="P135" s="286"/>
      <c r="Q135" s="267"/>
      <c r="R135" s="259"/>
      <c r="S135" s="287"/>
      <c r="T135" s="264"/>
      <c r="U135" s="264"/>
      <c r="V135" s="264"/>
    </row>
    <row r="136" spans="1:22" s="291" customFormat="1">
      <c r="A136" s="259"/>
      <c r="B136" s="395" t="s">
        <v>516</v>
      </c>
      <c r="C136" s="396" t="s">
        <v>1579</v>
      </c>
      <c r="D136" s="281" t="str">
        <f ca="1">IF(ISERROR(OFFSET('HARGA SATUAN'!$D$6,MATCH(RAB!C136,'HARGA SATUAN'!$C$7:$C$1492,0),0)),"",OFFSET('HARGA SATUAN'!$D$6,MATCH(RAB!C136,'HARGA SATUAN'!$C$7:$C$1492,0),0))</f>
        <v/>
      </c>
      <c r="E136" s="282" t="str">
        <f ca="1">IF(B136="+","Unit",IF(ISERROR(OFFSET('HARGA SATUAN'!$E$6,MATCH(RAB!C136,'HARGA SATUAN'!$C$7:$C$1492,0),0)),"",OFFSET('HARGA SATUAN'!$E$6,MATCH(RAB!C136,'HARGA SATUAN'!$C$7:$C$1492,0),0)))</f>
        <v/>
      </c>
      <c r="F136" s="393"/>
      <c r="G136" s="283">
        <f ca="1">IF(ISERROR(OFFSET('HARGA SATUAN'!$I$6,MATCH(RAB!C136,'HARGA SATUAN'!$C$7:$C$1492,0),0)),0,OFFSET('HARGA SATUAN'!$I$6,MATCH(RAB!C136,'HARGA SATUAN'!$C$7:$C$1492,0),0))</f>
        <v>0</v>
      </c>
      <c r="H136" s="284">
        <f t="shared" ca="1" si="11"/>
        <v>0</v>
      </c>
      <c r="I136" s="284">
        <f t="shared" ca="1" si="12"/>
        <v>0</v>
      </c>
      <c r="J136" s="284">
        <f t="shared" ca="1" si="13"/>
        <v>0</v>
      </c>
      <c r="K136" s="285">
        <f t="shared" ca="1" si="14"/>
        <v>0</v>
      </c>
      <c r="L136" s="290"/>
      <c r="M136" s="290"/>
      <c r="N136" s="290"/>
      <c r="O136" s="286"/>
      <c r="P136" s="286"/>
      <c r="Q136" s="267"/>
      <c r="R136" s="259"/>
      <c r="S136" s="287"/>
      <c r="T136" s="264"/>
      <c r="U136" s="264"/>
      <c r="V136" s="264"/>
    </row>
    <row r="137" spans="1:22" s="291" customFormat="1">
      <c r="A137" s="259" t="e">
        <f>IF(AND(C137=0,C138=0,#REF!=0),"BLANKS",1)</f>
        <v>#REF!</v>
      </c>
      <c r="B137" s="397" t="s">
        <v>1005</v>
      </c>
      <c r="C137" s="398" t="s">
        <v>1658</v>
      </c>
      <c r="D137" s="281" t="str">
        <f ca="1">IF(ISERROR(OFFSET('HARGA SATUAN'!$D$6,MATCH(RAB!C137,'HARGA SATUAN'!$C$7:$C$1492,0),0)),"",OFFSET('HARGA SATUAN'!$D$6,MATCH(RAB!C137,'HARGA SATUAN'!$C$7:$C$1492,0),0))</f>
        <v/>
      </c>
      <c r="E137" s="282" t="str">
        <f ca="1">IF(B137="+","Unit",IF(ISERROR(OFFSET('HARGA SATUAN'!$E$6,MATCH(RAB!C137,'HARGA SATUAN'!$C$7:$C$1492,0),0)),"",OFFSET('HARGA SATUAN'!$E$6,MATCH(RAB!C137,'HARGA SATUAN'!$C$7:$C$1492,0),0)))</f>
        <v>Unit</v>
      </c>
      <c r="F137" s="719">
        <v>1</v>
      </c>
      <c r="G137" s="283">
        <f ca="1">IF(ISERROR(OFFSET('HARGA SATUAN'!$I$6,MATCH(RAB!C137,'HARGA SATUAN'!$C$7:$C$1492,0),0)),0,OFFSET('HARGA SATUAN'!$I$6,MATCH(RAB!C137,'HARGA SATUAN'!$C$7:$C$1492,0),0))</f>
        <v>0</v>
      </c>
      <c r="H137" s="284">
        <f t="shared" ca="1" si="11"/>
        <v>0</v>
      </c>
      <c r="I137" s="284">
        <f t="shared" ca="1" si="12"/>
        <v>0</v>
      </c>
      <c r="J137" s="284">
        <f t="shared" ca="1" si="13"/>
        <v>0</v>
      </c>
      <c r="K137" s="285">
        <f t="shared" ca="1" si="14"/>
        <v>0</v>
      </c>
      <c r="L137" s="290"/>
      <c r="M137" s="290"/>
      <c r="N137" s="290"/>
      <c r="O137" s="286"/>
      <c r="P137" s="286"/>
      <c r="Q137" s="267"/>
      <c r="R137" s="259"/>
      <c r="S137" s="287"/>
      <c r="T137" s="264"/>
      <c r="U137" s="264"/>
      <c r="V137" s="264"/>
    </row>
    <row r="138" spans="1:22" s="291" customFormat="1" ht="30">
      <c r="A138" s="259" t="e">
        <f>IF(AND(C138=0,#REF!=0,#REF!=0),"BLANKS",1)</f>
        <v>#REF!</v>
      </c>
      <c r="B138" s="499">
        <v>1</v>
      </c>
      <c r="C138" s="109" t="s">
        <v>1166</v>
      </c>
      <c r="D138" s="281" t="str">
        <f ca="1">IF(ISERROR(OFFSET('HARGA SATUAN'!$D$6,MATCH(RAB!C138,'HARGA SATUAN'!$C$7:$C$1492,0),0)),"",OFFSET('HARGA SATUAN'!$D$6,MATCH(RAB!C138,'HARGA SATUAN'!$C$7:$C$1492,0),0))</f>
        <v>MDU-KD</v>
      </c>
      <c r="E138" s="282" t="str">
        <f ca="1">IF(B138="+","Unit",IF(ISERROR(OFFSET('HARGA SATUAN'!$E$6,MATCH(RAB!C138,'HARGA SATUAN'!$C$7:$C$1492,0),0)),"",OFFSET('HARGA SATUAN'!$E$6,MATCH(RAB!C138,'HARGA SATUAN'!$C$7:$C$1492,0),0)))</f>
        <v>Bh</v>
      </c>
      <c r="F138" s="719">
        <f>F137*1</f>
        <v>1</v>
      </c>
      <c r="G138" s="283">
        <f ca="1">IF(ISERROR(OFFSET('HARGA SATUAN'!$I$6,MATCH(RAB!C138,'HARGA SATUAN'!$C$7:$C$1492,0),0)),0,OFFSET('HARGA SATUAN'!$I$6,MATCH(RAB!C138,'HARGA SATUAN'!$C$7:$C$1492,0),0))</f>
        <v>1504200</v>
      </c>
      <c r="H138" s="284">
        <f t="shared" ca="1" si="11"/>
        <v>1504200</v>
      </c>
      <c r="I138" s="284">
        <f t="shared" ca="1" si="12"/>
        <v>0</v>
      </c>
      <c r="J138" s="284">
        <f t="shared" ca="1" si="13"/>
        <v>0</v>
      </c>
      <c r="K138" s="285">
        <f t="shared" ca="1" si="14"/>
        <v>1504200</v>
      </c>
      <c r="L138" s="290"/>
      <c r="M138" s="290"/>
      <c r="N138" s="290"/>
      <c r="O138" s="286"/>
      <c r="P138" s="286"/>
      <c r="Q138" s="267"/>
      <c r="R138" s="259"/>
      <c r="S138" s="287"/>
      <c r="T138" s="264"/>
      <c r="U138" s="264"/>
      <c r="V138" s="264"/>
    </row>
    <row r="139" spans="1:22" s="291" customFormat="1" ht="30">
      <c r="A139" s="259" t="s">
        <v>1413</v>
      </c>
      <c r="B139" s="499">
        <v>2</v>
      </c>
      <c r="C139" s="502" t="s">
        <v>511</v>
      </c>
      <c r="D139" s="281" t="str">
        <f ca="1">IF(ISERROR(OFFSET('HARGA SATUAN'!$D$6,MATCH(RAB!C139,'HARGA SATUAN'!$C$7:$C$1492,0),0)),"",OFFSET('HARGA SATUAN'!$D$6,MATCH(RAB!C139,'HARGA SATUAN'!$C$7:$C$1492,0),0))</f>
        <v>MDU-KD</v>
      </c>
      <c r="E139" s="282" t="str">
        <f ca="1">IF(B139="+","Unit",IF(ISERROR(OFFSET('HARGA SATUAN'!$E$6,MATCH(RAB!C139,'HARGA SATUAN'!$C$7:$C$1492,0),0)),"",OFFSET('HARGA SATUAN'!$E$6,MATCH(RAB!C139,'HARGA SATUAN'!$C$7:$C$1492,0),0)))</f>
        <v>Unit</v>
      </c>
      <c r="F139" s="719">
        <f>F137*1</f>
        <v>1</v>
      </c>
      <c r="G139" s="283">
        <f ca="1">IF(ISERROR(OFFSET('HARGA SATUAN'!$I$6,MATCH(RAB!C139,'HARGA SATUAN'!$C$7:$C$1492,0),0)),0,OFFSET('HARGA SATUAN'!$I$6,MATCH(RAB!C139,'HARGA SATUAN'!$C$7:$C$1492,0),0))</f>
        <v>14975400</v>
      </c>
      <c r="H139" s="284">
        <f t="shared" ref="H139" ca="1" si="84">IF(OR(D139="MDU",D139="MDU-KD"),(IF($O$3="RAB NON MDU","PLN KD",G139*F139)),0)</f>
        <v>14975400</v>
      </c>
      <c r="I139" s="284">
        <f t="shared" ref="I139" ca="1" si="85">IF(D139="HDW",G139*F139,0)</f>
        <v>0</v>
      </c>
      <c r="J139" s="284">
        <f t="shared" ref="J139" ca="1" si="86">IF(D139="JASA",G139*F139,0)</f>
        <v>0</v>
      </c>
      <c r="K139" s="285">
        <f t="shared" ref="K139" ca="1" si="87">SUM(H139:J139)</f>
        <v>14975400</v>
      </c>
      <c r="L139" s="290"/>
      <c r="M139" s="290"/>
      <c r="N139" s="290"/>
      <c r="O139" s="286"/>
      <c r="P139" s="286"/>
      <c r="Q139" s="267"/>
      <c r="R139" s="259"/>
      <c r="S139" s="287"/>
      <c r="T139" s="264"/>
      <c r="U139" s="264"/>
      <c r="V139" s="264"/>
    </row>
    <row r="140" spans="1:22" s="291" customFormat="1">
      <c r="A140" s="259" t="e">
        <f>IF(AND(C140=0,#REF!=0,#REF!=0),"BLANKS",1)</f>
        <v>#REF!</v>
      </c>
      <c r="B140" s="499">
        <v>3</v>
      </c>
      <c r="C140" s="502" t="s">
        <v>1112</v>
      </c>
      <c r="D140" s="281" t="str">
        <f ca="1">IF(ISERROR(OFFSET('HARGA SATUAN'!$D$6,MATCH(RAB!C140,'HARGA SATUAN'!$C$7:$C$1492,0),0)),"",OFFSET('HARGA SATUAN'!$D$6,MATCH(RAB!C140,'HARGA SATUAN'!$C$7:$C$1492,0),0))</f>
        <v>HDW</v>
      </c>
      <c r="E140" s="282" t="str">
        <f ca="1">IF(B140="+","Unit",IF(ISERROR(OFFSET('HARGA SATUAN'!$E$6,MATCH(RAB!C140,'HARGA SATUAN'!$C$7:$C$1492,0),0)),"",OFFSET('HARGA SATUAN'!$E$6,MATCH(RAB!C140,'HARGA SATUAN'!$C$7:$C$1492,0),0)))</f>
        <v>Unit</v>
      </c>
      <c r="F140" s="719">
        <f>F137*1</f>
        <v>1</v>
      </c>
      <c r="G140" s="283">
        <f ca="1">IF(ISERROR(OFFSET('HARGA SATUAN'!$I$6,MATCH(RAB!C140,'HARGA SATUAN'!$C$7:$C$1492,0),0)),0,OFFSET('HARGA SATUAN'!$I$6,MATCH(RAB!C140,'HARGA SATUAN'!$C$7:$C$1492,0),0))</f>
        <v>1113900</v>
      </c>
      <c r="H140" s="284">
        <f t="shared" ref="H140:H145" ca="1" si="88">IF(OR(D140="MDU",D140="MDU-KD"),(IF($O$3="RAB NON MDU","PLN KD",G140*F140)),0)</f>
        <v>0</v>
      </c>
      <c r="I140" s="284">
        <f t="shared" ref="I140:I145" ca="1" si="89">IF(D140="HDW",G140*F140,0)</f>
        <v>1113900</v>
      </c>
      <c r="J140" s="284">
        <f t="shared" ref="J140:J145" ca="1" si="90">IF(D140="JASA",G140*F140,0)</f>
        <v>0</v>
      </c>
      <c r="K140" s="285">
        <f t="shared" ref="K140:K145" ca="1" si="91">SUM(H140:J140)</f>
        <v>1113900</v>
      </c>
      <c r="L140" s="290"/>
      <c r="M140" s="290"/>
      <c r="N140" s="290"/>
      <c r="O140" s="286"/>
      <c r="P140" s="286"/>
      <c r="Q140" s="267"/>
      <c r="R140" s="259"/>
      <c r="S140" s="287"/>
      <c r="T140" s="264"/>
      <c r="U140" s="264"/>
      <c r="V140" s="264"/>
    </row>
    <row r="141" spans="1:22" s="291" customFormat="1">
      <c r="A141" s="259" t="s">
        <v>1413</v>
      </c>
      <c r="B141" s="499">
        <v>4</v>
      </c>
      <c r="C141" s="502" t="s">
        <v>565</v>
      </c>
      <c r="D141" s="281" t="str">
        <f ca="1">IF(ISERROR(OFFSET('HARGA SATUAN'!$D$6,MATCH(RAB!C141,'HARGA SATUAN'!$C$7:$C$1492,0),0)),"",OFFSET('HARGA SATUAN'!$D$6,MATCH(RAB!C141,'HARGA SATUAN'!$C$7:$C$1492,0),0))</f>
        <v>HDW</v>
      </c>
      <c r="E141" s="282" t="str">
        <f ca="1">IF(B141="+","Unit",IF(ISERROR(OFFSET('HARGA SATUAN'!$E$6,MATCH(RAB!C141,'HARGA SATUAN'!$C$7:$C$1492,0),0)),"",OFFSET('HARGA SATUAN'!$E$6,MATCH(RAB!C141,'HARGA SATUAN'!$C$7:$C$1492,0),0)))</f>
        <v>Mtr</v>
      </c>
      <c r="F141" s="719">
        <f>F137*35</f>
        <v>35</v>
      </c>
      <c r="G141" s="283">
        <f ca="1">IF(ISERROR(OFFSET('HARGA SATUAN'!$I$6,MATCH(RAB!C141,'HARGA SATUAN'!$C$7:$C$1492,0),0)),0,OFFSET('HARGA SATUAN'!$I$6,MATCH(RAB!C141,'HARGA SATUAN'!$C$7:$C$1492,0),0))</f>
        <v>417044.06800000003</v>
      </c>
      <c r="H141" s="284">
        <f t="shared" ca="1" si="88"/>
        <v>0</v>
      </c>
      <c r="I141" s="284">
        <f t="shared" ca="1" si="89"/>
        <v>14596542.380000001</v>
      </c>
      <c r="J141" s="284">
        <f t="shared" ca="1" si="90"/>
        <v>0</v>
      </c>
      <c r="K141" s="285">
        <f t="shared" ca="1" si="91"/>
        <v>14596542.380000001</v>
      </c>
      <c r="L141" s="290"/>
      <c r="M141" s="290"/>
      <c r="N141" s="290"/>
      <c r="O141" s="286"/>
      <c r="P141" s="286"/>
      <c r="Q141" s="267"/>
      <c r="R141" s="259"/>
      <c r="S141" s="287"/>
      <c r="T141" s="264"/>
      <c r="U141" s="264"/>
      <c r="V141" s="264"/>
    </row>
    <row r="142" spans="1:22" s="291" customFormat="1">
      <c r="A142" s="259" t="e">
        <f>IF(AND(C142=0,#REF!=0,#REF!=0),"BLANKS",1)</f>
        <v>#REF!</v>
      </c>
      <c r="B142" s="499">
        <v>5</v>
      </c>
      <c r="C142" s="502" t="s">
        <v>789</v>
      </c>
      <c r="D142" s="281" t="str">
        <f ca="1">IF(ISERROR(OFFSET('HARGA SATUAN'!$D$6,MATCH(RAB!C142,'HARGA SATUAN'!$C$7:$C$1492,0),0)),"",OFFSET('HARGA SATUAN'!$D$6,MATCH(RAB!C142,'HARGA SATUAN'!$C$7:$C$1492,0),0))</f>
        <v>JASA</v>
      </c>
      <c r="E142" s="282" t="str">
        <f ca="1">IF(B142="+","Unit",IF(ISERROR(OFFSET('HARGA SATUAN'!$E$6,MATCH(RAB!C142,'HARGA SATUAN'!$C$7:$C$1492,0),0)),"",OFFSET('HARGA SATUAN'!$E$6,MATCH(RAB!C142,'HARGA SATUAN'!$C$7:$C$1492,0),0)))</f>
        <v>Unit</v>
      </c>
      <c r="F142" s="719">
        <f>F137*1</f>
        <v>1</v>
      </c>
      <c r="G142" s="283">
        <f ca="1">IF(ISERROR(OFFSET('HARGA SATUAN'!$I$6,MATCH(RAB!C142,'HARGA SATUAN'!$C$7:$C$1492,0),0)),0,OFFSET('HARGA SATUAN'!$I$6,MATCH(RAB!C142,'HARGA SATUAN'!$C$7:$C$1492,0),0))</f>
        <v>106400</v>
      </c>
      <c r="H142" s="284">
        <f t="shared" ca="1" si="88"/>
        <v>0</v>
      </c>
      <c r="I142" s="284">
        <f t="shared" ca="1" si="89"/>
        <v>0</v>
      </c>
      <c r="J142" s="284">
        <f t="shared" ca="1" si="90"/>
        <v>106400</v>
      </c>
      <c r="K142" s="285">
        <f t="shared" ca="1" si="91"/>
        <v>106400</v>
      </c>
      <c r="L142" s="290"/>
      <c r="M142" s="290"/>
      <c r="N142" s="290"/>
      <c r="O142" s="286"/>
      <c r="P142" s="286"/>
      <c r="Q142" s="267"/>
      <c r="R142" s="259"/>
      <c r="S142" s="287"/>
      <c r="T142" s="264"/>
      <c r="U142" s="264"/>
      <c r="V142" s="264"/>
    </row>
    <row r="143" spans="1:22" s="291" customFormat="1">
      <c r="A143" s="259"/>
      <c r="B143" s="293"/>
      <c r="C143" s="396"/>
      <c r="D143" s="281" t="str">
        <f ca="1">IF(ISERROR(OFFSET('HARGA SATUAN'!$D$6,MATCH(RAB!C143,'HARGA SATUAN'!$C$7:$C$1492,0),0)),"",OFFSET('HARGA SATUAN'!$D$6,MATCH(RAB!C143,'HARGA SATUAN'!$C$7:$C$1492,0),0))</f>
        <v/>
      </c>
      <c r="E143" s="282" t="str">
        <f ca="1">IF(B143="+","Unit",IF(ISERROR(OFFSET('HARGA SATUAN'!$E$6,MATCH(RAB!C143,'HARGA SATUAN'!$C$7:$C$1492,0),0)),"",OFFSET('HARGA SATUAN'!$E$6,MATCH(RAB!C143,'HARGA SATUAN'!$C$7:$C$1492,0),0)))</f>
        <v/>
      </c>
      <c r="F143" s="393"/>
      <c r="G143" s="283">
        <f ca="1">IF(ISERROR(OFFSET('HARGA SATUAN'!$I$6,MATCH(RAB!C143,'HARGA SATUAN'!$C$7:$C$1492,0),0)),0,OFFSET('HARGA SATUAN'!$I$6,MATCH(RAB!C143,'HARGA SATUAN'!$C$7:$C$1492,0),0))</f>
        <v>0</v>
      </c>
      <c r="H143" s="284">
        <f t="shared" ca="1" si="88"/>
        <v>0</v>
      </c>
      <c r="I143" s="284">
        <f t="shared" ca="1" si="89"/>
        <v>0</v>
      </c>
      <c r="J143" s="284">
        <f t="shared" ca="1" si="90"/>
        <v>0</v>
      </c>
      <c r="K143" s="285">
        <f t="shared" ca="1" si="91"/>
        <v>0</v>
      </c>
      <c r="L143" s="290"/>
      <c r="M143" s="290"/>
      <c r="N143" s="290"/>
      <c r="O143" s="286"/>
      <c r="P143" s="286"/>
      <c r="Q143" s="267"/>
      <c r="R143" s="259"/>
      <c r="S143" s="287"/>
      <c r="T143" s="264"/>
      <c r="U143" s="264"/>
      <c r="V143" s="264"/>
    </row>
    <row r="144" spans="1:22" s="291" customFormat="1">
      <c r="A144" s="259" t="e">
        <f>IF(AND(C144=0,C145=0,#REF!=0),"BLANKS",1)</f>
        <v>#REF!</v>
      </c>
      <c r="B144" s="395" t="s">
        <v>520</v>
      </c>
      <c r="C144" s="396" t="s">
        <v>1580</v>
      </c>
      <c r="D144" s="281" t="str">
        <f ca="1">IF(ISERROR(OFFSET('HARGA SATUAN'!$D$6,MATCH(RAB!C144,'HARGA SATUAN'!$C$7:$C$1492,0),0)),"",OFFSET('HARGA SATUAN'!$D$6,MATCH(RAB!C144,'HARGA SATUAN'!$C$7:$C$1492,0),0))</f>
        <v/>
      </c>
      <c r="E144" s="282" t="str">
        <f ca="1">IF(B144="+","Unit",IF(ISERROR(OFFSET('HARGA SATUAN'!$E$6,MATCH(RAB!C144,'HARGA SATUAN'!$C$7:$C$1492,0),0)),"",OFFSET('HARGA SATUAN'!$E$6,MATCH(RAB!C144,'HARGA SATUAN'!$C$7:$C$1492,0),0)))</f>
        <v/>
      </c>
      <c r="F144" s="393"/>
      <c r="G144" s="283">
        <f ca="1">IF(ISERROR(OFFSET('HARGA SATUAN'!$I$6,MATCH(RAB!C144,'HARGA SATUAN'!$C$7:$C$1492,0),0)),0,OFFSET('HARGA SATUAN'!$I$6,MATCH(RAB!C144,'HARGA SATUAN'!$C$7:$C$1492,0),0))</f>
        <v>0</v>
      </c>
      <c r="H144" s="284">
        <f t="shared" ca="1" si="88"/>
        <v>0</v>
      </c>
      <c r="I144" s="284">
        <f t="shared" ca="1" si="89"/>
        <v>0</v>
      </c>
      <c r="J144" s="284">
        <f t="shared" ca="1" si="90"/>
        <v>0</v>
      </c>
      <c r="K144" s="285">
        <f t="shared" ca="1" si="91"/>
        <v>0</v>
      </c>
      <c r="L144" s="290"/>
      <c r="M144" s="290"/>
      <c r="N144" s="290"/>
      <c r="O144" s="286"/>
      <c r="P144" s="286"/>
      <c r="Q144" s="267"/>
      <c r="R144" s="259"/>
      <c r="S144" s="287"/>
      <c r="T144" s="264"/>
      <c r="U144" s="264"/>
      <c r="V144" s="264"/>
    </row>
    <row r="145" spans="1:22" s="291" customFormat="1">
      <c r="A145" s="259" t="e">
        <f>IF(AND(C145=0,#REF!=0,#REF!=0),"BLANKS",1)</f>
        <v>#REF!</v>
      </c>
      <c r="B145" s="293">
        <v>1</v>
      </c>
      <c r="C145" s="109" t="s">
        <v>971</v>
      </c>
      <c r="D145" s="281" t="str">
        <f ca="1">IF(ISERROR(OFFSET('HARGA SATUAN'!$D$6,MATCH(RAB!C145,'HARGA SATUAN'!$C$7:$C$1492,0),0)),"",OFFSET('HARGA SATUAN'!$D$6,MATCH(RAB!C145,'HARGA SATUAN'!$C$7:$C$1492,0),0))</f>
        <v>JASA</v>
      </c>
      <c r="E145" s="282" t="str">
        <f ca="1">IF(B145="+","Unit",IF(ISERROR(OFFSET('HARGA SATUAN'!$E$6,MATCH(RAB!C145,'HARGA SATUAN'!$C$7:$C$1492,0),0)),"",OFFSET('HARGA SATUAN'!$E$6,MATCH(RAB!C145,'HARGA SATUAN'!$C$7:$C$1492,0),0)))</f>
        <v>Unit</v>
      </c>
      <c r="F145" s="393">
        <v>3</v>
      </c>
      <c r="G145" s="283">
        <f ca="1">IF(ISERROR(OFFSET('HARGA SATUAN'!$I$6,MATCH(RAB!C145,'HARGA SATUAN'!$C$7:$C$1492,0),0)),0,OFFSET('HARGA SATUAN'!$I$6,MATCH(RAB!C145,'HARGA SATUAN'!$C$7:$C$1492,0),0))</f>
        <v>32640</v>
      </c>
      <c r="H145" s="284">
        <f t="shared" ca="1" si="88"/>
        <v>0</v>
      </c>
      <c r="I145" s="284">
        <f t="shared" ca="1" si="89"/>
        <v>0</v>
      </c>
      <c r="J145" s="284">
        <f t="shared" ca="1" si="90"/>
        <v>97920</v>
      </c>
      <c r="K145" s="285">
        <f t="shared" ca="1" si="91"/>
        <v>97920</v>
      </c>
      <c r="L145" s="290"/>
      <c r="M145" s="290"/>
      <c r="N145" s="290"/>
      <c r="O145" s="286"/>
      <c r="P145" s="286"/>
      <c r="Q145" s="267"/>
      <c r="R145" s="259"/>
      <c r="S145" s="287"/>
      <c r="T145" s="264"/>
      <c r="U145" s="264"/>
      <c r="V145" s="264"/>
    </row>
    <row r="146" spans="1:22" s="291" customFormat="1">
      <c r="A146" s="259"/>
      <c r="B146" s="293"/>
      <c r="C146" s="109"/>
      <c r="D146" s="281" t="str">
        <f ca="1">IF(ISERROR(OFFSET('HARGA SATUAN'!$D$6,MATCH(RAB!C146,'HARGA SATUAN'!$C$7:$C$1492,0),0)),"",OFFSET('HARGA SATUAN'!$D$6,MATCH(RAB!C146,'HARGA SATUAN'!$C$7:$C$1492,0),0))</f>
        <v/>
      </c>
      <c r="E146" s="282" t="str">
        <f ca="1">IF(B146="+","Unit",IF(ISERROR(OFFSET('HARGA SATUAN'!$E$6,MATCH(RAB!C146,'HARGA SATUAN'!$C$7:$C$1492,0),0)),"",OFFSET('HARGA SATUAN'!$E$6,MATCH(RAB!C146,'HARGA SATUAN'!$C$7:$C$1492,0),0)))</f>
        <v/>
      </c>
      <c r="F146" s="393"/>
      <c r="G146" s="283">
        <f ca="1">IF(ISERROR(OFFSET('HARGA SATUAN'!$I$6,MATCH(RAB!C146,'HARGA SATUAN'!$C$7:$C$1492,0),0)),0,OFFSET('HARGA SATUAN'!$I$6,MATCH(RAB!C146,'HARGA SATUAN'!$C$7:$C$1492,0),0))</f>
        <v>0</v>
      </c>
      <c r="H146" s="284">
        <f t="shared" ref="H146:H149" ca="1" si="92">IF(OR(D146="MDU",D146="MDU-KD"),(IF($O$3="RAB NON MDU","PLN KD",G146*F146)),0)</f>
        <v>0</v>
      </c>
      <c r="I146" s="284">
        <f t="shared" ref="I146:I149" ca="1" si="93">IF(D146="HDW",G146*F146,0)</f>
        <v>0</v>
      </c>
      <c r="J146" s="284">
        <f t="shared" ref="J146:J149" ca="1" si="94">IF(D146="JASA",G146*F146,0)</f>
        <v>0</v>
      </c>
      <c r="K146" s="285">
        <f t="shared" ref="K146:K149" ca="1" si="95">SUM(H146:J146)</f>
        <v>0</v>
      </c>
      <c r="L146" s="290"/>
      <c r="M146" s="290"/>
      <c r="N146" s="290"/>
      <c r="O146" s="286"/>
      <c r="P146" s="286"/>
      <c r="Q146" s="267"/>
      <c r="R146" s="259"/>
      <c r="S146" s="287"/>
      <c r="T146" s="264"/>
      <c r="U146" s="264"/>
      <c r="V146" s="264"/>
    </row>
    <row r="147" spans="1:22" s="291" customFormat="1">
      <c r="A147" s="259" t="e">
        <f>IF(AND(C147=0,#REF!=0,#REF!=0),"BLANKS",1)</f>
        <v>#REF!</v>
      </c>
      <c r="B147" s="293"/>
      <c r="C147" s="109"/>
      <c r="D147" s="281" t="str">
        <f ca="1">IF(ISERROR(OFFSET('HARGA SATUAN'!$D$6,MATCH(RAB!C147,'HARGA SATUAN'!$C$7:$C$1492,0),0)),"",OFFSET('HARGA SATUAN'!$D$6,MATCH(RAB!C147,'HARGA SATUAN'!$C$7:$C$1492,0),0))</f>
        <v/>
      </c>
      <c r="E147" s="282" t="str">
        <f ca="1">IF(B147="+","Unit",IF(ISERROR(OFFSET('HARGA SATUAN'!$E$6,MATCH(RAB!C147,'HARGA SATUAN'!$C$7:$C$1492,0),0)),"",OFFSET('HARGA SATUAN'!$E$6,MATCH(RAB!C147,'HARGA SATUAN'!$C$7:$C$1492,0),0)))</f>
        <v/>
      </c>
      <c r="F147" s="393"/>
      <c r="G147" s="283">
        <f ca="1">IF(ISERROR(OFFSET('HARGA SATUAN'!$I$6,MATCH(RAB!C147,'HARGA SATUAN'!$C$7:$C$1492,0),0)),0,OFFSET('HARGA SATUAN'!$I$6,MATCH(RAB!C147,'HARGA SATUAN'!$C$7:$C$1492,0),0))</f>
        <v>0</v>
      </c>
      <c r="H147" s="284">
        <f t="shared" ca="1" si="92"/>
        <v>0</v>
      </c>
      <c r="I147" s="284">
        <f t="shared" ca="1" si="93"/>
        <v>0</v>
      </c>
      <c r="J147" s="284">
        <f t="shared" ca="1" si="94"/>
        <v>0</v>
      </c>
      <c r="K147" s="285">
        <f t="shared" ca="1" si="95"/>
        <v>0</v>
      </c>
      <c r="L147" s="290"/>
      <c r="M147" s="290"/>
      <c r="N147" s="290"/>
      <c r="O147" s="286"/>
      <c r="P147" s="286"/>
      <c r="Q147" s="267"/>
      <c r="R147" s="259"/>
      <c r="S147" s="287"/>
      <c r="T147" s="264"/>
      <c r="U147" s="264"/>
      <c r="V147" s="264"/>
    </row>
    <row r="148" spans="1:22" s="291" customFormat="1">
      <c r="A148" s="259" t="s">
        <v>1413</v>
      </c>
      <c r="B148" s="293"/>
      <c r="C148" s="109"/>
      <c r="D148" s="281" t="str">
        <f ca="1">IF(ISERROR(OFFSET('HARGA SATUAN'!$D$6,MATCH(RAB!C148,'HARGA SATUAN'!$C$7:$C$1492,0),0)),"",OFFSET('HARGA SATUAN'!$D$6,MATCH(RAB!C148,'HARGA SATUAN'!$C$7:$C$1492,0),0))</f>
        <v/>
      </c>
      <c r="E148" s="282" t="str">
        <f ca="1">IF(B148="+","Unit",IF(ISERROR(OFFSET('HARGA SATUAN'!$E$6,MATCH(RAB!C148,'HARGA SATUAN'!$C$7:$C$1492,0),0)),"",OFFSET('HARGA SATUAN'!$E$6,MATCH(RAB!C148,'HARGA SATUAN'!$C$7:$C$1492,0),0)))</f>
        <v/>
      </c>
      <c r="F148" s="393"/>
      <c r="G148" s="283">
        <f ca="1">IF(ISERROR(OFFSET('HARGA SATUAN'!$I$6,MATCH(RAB!C148,'HARGA SATUAN'!$C$7:$C$1492,0),0)),0,OFFSET('HARGA SATUAN'!$I$6,MATCH(RAB!C148,'HARGA SATUAN'!$C$7:$C$1492,0),0))</f>
        <v>0</v>
      </c>
      <c r="H148" s="284">
        <f t="shared" ca="1" si="92"/>
        <v>0</v>
      </c>
      <c r="I148" s="284">
        <f t="shared" ca="1" si="93"/>
        <v>0</v>
      </c>
      <c r="J148" s="284">
        <f t="shared" ca="1" si="94"/>
        <v>0</v>
      </c>
      <c r="K148" s="285">
        <f t="shared" ca="1" si="95"/>
        <v>0</v>
      </c>
      <c r="L148" s="290"/>
      <c r="M148" s="290"/>
      <c r="N148" s="290"/>
      <c r="O148" s="286"/>
      <c r="P148" s="286"/>
      <c r="Q148" s="267"/>
      <c r="R148" s="259"/>
      <c r="S148" s="287"/>
      <c r="T148" s="264"/>
      <c r="U148" s="264"/>
      <c r="V148" s="264"/>
    </row>
    <row r="149" spans="1:22" s="291" customFormat="1">
      <c r="A149" s="259" t="e">
        <f>IF(AND(C149=0,#REF!=0,#REF!=0),"BLANKS",1)</f>
        <v>#REF!</v>
      </c>
      <c r="B149" s="395"/>
      <c r="C149" s="396"/>
      <c r="D149" s="281" t="str">
        <f ca="1">IF(ISERROR(OFFSET('HARGA SATUAN'!$D$6,MATCH(RAB!C149,'HARGA SATUAN'!$C$7:$C$1492,0),0)),"",OFFSET('HARGA SATUAN'!$D$6,MATCH(RAB!C149,'HARGA SATUAN'!$C$7:$C$1492,0),0))</f>
        <v/>
      </c>
      <c r="E149" s="282" t="str">
        <f ca="1">IF(B149="+","Unit",IF(ISERROR(OFFSET('HARGA SATUAN'!$E$6,MATCH(RAB!C149,'HARGA SATUAN'!$C$7:$C$1492,0),0)),"",OFFSET('HARGA SATUAN'!$E$6,MATCH(RAB!C149,'HARGA SATUAN'!$C$7:$C$1492,0),0)))</f>
        <v/>
      </c>
      <c r="F149" s="393"/>
      <c r="G149" s="283">
        <f ca="1">IF(ISERROR(OFFSET('HARGA SATUAN'!$I$6,MATCH(RAB!C149,'HARGA SATUAN'!$C$7:$C$1492,0),0)),0,OFFSET('HARGA SATUAN'!$I$6,MATCH(RAB!C149,'HARGA SATUAN'!$C$7:$C$1492,0),0))</f>
        <v>0</v>
      </c>
      <c r="H149" s="284">
        <f t="shared" ca="1" si="92"/>
        <v>0</v>
      </c>
      <c r="I149" s="284">
        <f t="shared" ca="1" si="93"/>
        <v>0</v>
      </c>
      <c r="J149" s="284">
        <f t="shared" ca="1" si="94"/>
        <v>0</v>
      </c>
      <c r="K149" s="285">
        <f t="shared" ca="1" si="95"/>
        <v>0</v>
      </c>
      <c r="L149" s="290"/>
      <c r="M149" s="290"/>
      <c r="N149" s="290"/>
      <c r="O149" s="286"/>
      <c r="P149" s="286"/>
      <c r="Q149" s="267"/>
      <c r="R149" s="259"/>
      <c r="S149" s="287"/>
      <c r="T149" s="264"/>
      <c r="U149" s="264"/>
      <c r="V149" s="264"/>
    </row>
    <row r="150" spans="1:22" s="291" customFormat="1">
      <c r="A150" s="259"/>
      <c r="B150" s="397"/>
      <c r="C150" s="398"/>
      <c r="D150" s="281" t="str">
        <f ca="1">IF(ISERROR(OFFSET('HARGA SATUAN'!$D$6,MATCH(RAB!C150,'HARGA SATUAN'!$C$7:$C$1492,0),0)),"",OFFSET('HARGA SATUAN'!$D$6,MATCH(RAB!C150,'HARGA SATUAN'!$C$7:$C$1492,0),0))</f>
        <v/>
      </c>
      <c r="E150" s="282" t="str">
        <f ca="1">IF(B150="+","Unit",IF(ISERROR(OFFSET('HARGA SATUAN'!$E$6,MATCH(RAB!C150,'HARGA SATUAN'!$C$7:$C$1492,0),0)),"",OFFSET('HARGA SATUAN'!$E$6,MATCH(RAB!C150,'HARGA SATUAN'!$C$7:$C$1492,0),0)))</f>
        <v/>
      </c>
      <c r="F150" s="393"/>
      <c r="G150" s="283">
        <f ca="1">IF(ISERROR(OFFSET('HARGA SATUAN'!$I$6,MATCH(RAB!C150,'HARGA SATUAN'!$C$7:$C$1492,0),0)),0,OFFSET('HARGA SATUAN'!$I$6,MATCH(RAB!C150,'HARGA SATUAN'!$C$7:$C$1492,0),0))</f>
        <v>0</v>
      </c>
      <c r="H150" s="284">
        <f t="shared" ref="H150" ca="1" si="96">IF(OR(D150="MDU",D150="MDU-KD"),(IF($O$3="RAB NON MDU","PLN KD",G150*F150)),0)</f>
        <v>0</v>
      </c>
      <c r="I150" s="284">
        <f t="shared" ref="I150" ca="1" si="97">IF(D150="HDW",G150*F150,0)</f>
        <v>0</v>
      </c>
      <c r="J150" s="284">
        <f t="shared" ref="J150" ca="1" si="98">IF(D150="JASA",G150*F150,0)</f>
        <v>0</v>
      </c>
      <c r="K150" s="285">
        <f t="shared" ref="K150" ca="1" si="99">SUM(H150:J150)</f>
        <v>0</v>
      </c>
      <c r="L150" s="290"/>
      <c r="M150" s="290"/>
      <c r="N150" s="290"/>
      <c r="O150" s="286"/>
      <c r="P150" s="286"/>
      <c r="Q150" s="267"/>
      <c r="R150" s="259"/>
      <c r="S150" s="287"/>
      <c r="T150" s="264"/>
      <c r="U150" s="264"/>
      <c r="V150" s="264"/>
    </row>
    <row r="151" spans="1:22">
      <c r="B151" s="295"/>
      <c r="C151" s="292"/>
      <c r="D151" s="281" t="str">
        <f ca="1">IF(ISERROR(OFFSET('HARGA SATUAN'!$D$6,MATCH(RAB!C151,'HARGA SATUAN'!$C$7:$C$1492,0),0)),"",OFFSET('HARGA SATUAN'!$D$6,MATCH(RAB!C151,'HARGA SATUAN'!$C$7:$C$1492,0),0))</f>
        <v/>
      </c>
      <c r="E151" s="282" t="str">
        <f ca="1">IF(B151="+","Unit",IF(ISERROR(OFFSET('HARGA SATUAN'!$E$6,MATCH(RAB!C151,'HARGA SATUAN'!$C$7:$C$1492,0),0)),"",OFFSET('HARGA SATUAN'!$E$6,MATCH(RAB!C151,'HARGA SATUAN'!$C$7:$C$1492,0),0)))</f>
        <v/>
      </c>
      <c r="F151" s="289"/>
      <c r="G151" s="283">
        <f ca="1">IF(ISERROR(OFFSET('HARGA SATUAN'!$I$6,MATCH(RAB!C151,'HARGA SATUAN'!$C$7:$C$1492,0),0)),0,OFFSET('HARGA SATUAN'!$I$6,MATCH(RAB!C151,'HARGA SATUAN'!$C$7:$C$1492,0),0))</f>
        <v>0</v>
      </c>
      <c r="H151" s="284">
        <f t="shared" ref="H151" ca="1" si="100">IF(OR(D151="MDU",D151="MDU-KD"),(IF($O$3="RAB NON MDU","PLN KD",G151*F151)),0)</f>
        <v>0</v>
      </c>
      <c r="I151" s="284">
        <f t="shared" ref="I151" ca="1" si="101">IF(D151="HDW",G151*F151,0)</f>
        <v>0</v>
      </c>
      <c r="J151" s="284">
        <f t="shared" ref="J151" ca="1" si="102">IF(D151="JASA",G151*F151,0)</f>
        <v>0</v>
      </c>
      <c r="K151" s="285">
        <f t="shared" ref="K151" ca="1" si="103">SUM(H151:J151)</f>
        <v>0</v>
      </c>
    </row>
    <row r="152" spans="1:22">
      <c r="B152" s="296"/>
      <c r="C152" s="297" t="s">
        <v>465</v>
      </c>
      <c r="D152" s="281" t="str">
        <f ca="1">IF(ISERROR(OFFSET('HARGA SATUAN'!$D$6,MATCH(RAB!C152,'HARGA SATUAN'!$C$7:$C$1492,0),0)),"",OFFSET('HARGA SATUAN'!$D$6,MATCH(RAB!C152,'HARGA SATUAN'!$C$7:$C$1492,0),0))</f>
        <v/>
      </c>
      <c r="E152" s="282" t="str">
        <f ca="1">IF(B152="+","Unit",IF(ISERROR(OFFSET('HARGA SATUAN'!$E$6,MATCH(RAB!C152,'HARGA SATUAN'!$C$7:$C$1492,0),0)),"",OFFSET('HARGA SATUAN'!$E$6,MATCH(RAB!C152,'HARGA SATUAN'!$C$7:$C$1492,0),0)))</f>
        <v/>
      </c>
      <c r="F152" s="298"/>
      <c r="G152" s="283">
        <f ca="1">IF(ISERROR(OFFSET('HARGA SATUAN'!$I$6,MATCH(RAB!C152,'HARGA SATUAN'!$C$7:$C$1492,0),0)),0,OFFSET('HARGA SATUAN'!$I$6,MATCH(RAB!C152,'HARGA SATUAN'!$C$7:$C$1492,0),0))</f>
        <v>0</v>
      </c>
      <c r="H152" s="284">
        <f t="shared" ref="H152" ca="1" si="104">IF(OR(D152="MDU",D152="MDU-KD"),(IF($O$3="RAB NON MDU","PLN KD",G152*F152)),0)</f>
        <v>0</v>
      </c>
      <c r="I152" s="284">
        <f ca="1">IF(D152="HDW",G152*F152,0)</f>
        <v>0</v>
      </c>
      <c r="J152" s="284">
        <f ca="1">IF(D152="JASA",G152*F152,0)</f>
        <v>0</v>
      </c>
      <c r="K152" s="285">
        <f ca="1">SUM(H152:J152)</f>
        <v>0</v>
      </c>
    </row>
    <row r="153" spans="1:22">
      <c r="B153" s="299">
        <v>1</v>
      </c>
      <c r="C153" s="300" t="s">
        <v>1061</v>
      </c>
      <c r="D153" s="301" t="str">
        <f ca="1">IF(ISERROR(OFFSET('HARGA SATUAN'!$D$6,MATCH(RAB!C153,'HARGA SATUAN'!$C$7:$C$1492,0),0)),"",OFFSET('HARGA SATUAN'!$D$6,MATCH(RAB!C153,'HARGA SATUAN'!$C$7:$C$1492,0),0))</f>
        <v>JASA</v>
      </c>
      <c r="E153" s="302" t="str">
        <f ca="1">IF(ISERROR(OFFSET('HARGA SATUAN'!$E$6,MATCH(RAB!C153,'HARGA SATUAN'!$C$7:$C$1492,0),0)),"",OFFSET('HARGA SATUAN'!$E$6,MATCH(RAB!C153,'HARGA SATUAN'!$C$7:$C$1492,0),0))</f>
        <v>Lot</v>
      </c>
      <c r="F153" s="303">
        <v>1</v>
      </c>
      <c r="G153" s="304">
        <f ca="1">IF(ISERROR(OFFSET('HARGA SATUAN'!$I$6,MATCH(RAB!C153,'HARGA SATUAN'!$C$7:$C$1492,0),0)),0,OFFSET('HARGA SATUAN'!$I$6,MATCH(RAB!C153,'HARGA SATUAN'!$C$7:$C$1492,0),0))</f>
        <v>2.5000000000000001E-2</v>
      </c>
      <c r="H153" s="305"/>
      <c r="I153" s="305"/>
      <c r="J153" s="305">
        <f ca="1">SUM(K15:K151)*G153</f>
        <v>4018803.7295000004</v>
      </c>
      <c r="K153" s="306">
        <f ca="1">SUM(H153:J153)</f>
        <v>4018803.7295000004</v>
      </c>
    </row>
    <row r="154" spans="1:22">
      <c r="B154" s="307"/>
      <c r="C154" s="308"/>
      <c r="D154" s="281" t="str">
        <f ca="1">IF(ISERROR(OFFSET('HARGA SATUAN'!$D$6,MATCH(RAB!C154,'HARGA SATUAN'!$C$7:$C$1492,0),0)),"",OFFSET('HARGA SATUAN'!$D$6,MATCH(RAB!C154,'HARGA SATUAN'!$C$7:$C$1492,0),0))</f>
        <v/>
      </c>
      <c r="E154" s="282" t="str">
        <f ca="1">IF(ISERROR(OFFSET('HARGA SATUAN'!$E$6,MATCH(RAB!C154,'HARGA SATUAN'!$C$7:$C$1492,0),0)),"",OFFSET('HARGA SATUAN'!$E$6,MATCH(RAB!C154,'HARGA SATUAN'!$C$7:$C$1492,0),0))</f>
        <v/>
      </c>
      <c r="F154" s="298"/>
      <c r="G154" s="283" t="str">
        <f ca="1">IF(ISERROR(OFFSET('HARGA SATUAN'!$I$6,MATCH(RAB!C154,'HARGA SATUAN'!$C$7:$C$1492,0),0)),"",OFFSET('HARGA SATUAN'!$I$6,MATCH(RAB!C154,'HARGA SATUAN'!$C$7:$C$1492,0),0))</f>
        <v/>
      </c>
      <c r="H154" s="284">
        <f ca="1">IF(OR(D154="MDU",D154="MDU-KD"),IF(G154="PLN",0,G154*F154),0)</f>
        <v>0</v>
      </c>
      <c r="I154" s="284">
        <f ca="1">IF(D154="HDW",IF(G154="PLN",0,G154*F154),0)</f>
        <v>0</v>
      </c>
      <c r="J154" s="284">
        <f ca="1">IF(D154="JASA",IF(G154="PLN",0,G154*F154),0)</f>
        <v>0</v>
      </c>
      <c r="K154" s="285">
        <f ca="1">SUM(H154:J154)</f>
        <v>0</v>
      </c>
    </row>
    <row r="155" spans="1:22" ht="15.75" thickBot="1">
      <c r="B155" s="309"/>
      <c r="C155" s="310"/>
      <c r="D155" s="311"/>
      <c r="E155" s="312"/>
      <c r="F155" s="312"/>
      <c r="G155" s="312"/>
      <c r="H155" s="313"/>
      <c r="I155" s="313"/>
      <c r="J155" s="313"/>
      <c r="K155" s="314"/>
    </row>
    <row r="156" spans="1:22">
      <c r="B156" s="315"/>
      <c r="C156" s="633" t="s">
        <v>980</v>
      </c>
      <c r="D156" s="633"/>
      <c r="E156" s="633"/>
      <c r="F156" s="633"/>
      <c r="G156" s="316" t="s">
        <v>9</v>
      </c>
      <c r="H156" s="317">
        <f ca="1">SUM(H14:H154)</f>
        <v>106691850</v>
      </c>
      <c r="I156" s="317">
        <f ca="1">SUM(I14:I154)</f>
        <v>46841397.846666671</v>
      </c>
      <c r="J156" s="317">
        <f ca="1">SUM(J14:J154)</f>
        <v>11237705.062833333</v>
      </c>
      <c r="K156" s="317">
        <f ca="1">SUM(K14:K154)</f>
        <v>164770952.9095</v>
      </c>
    </row>
    <row r="157" spans="1:22">
      <c r="B157" s="318"/>
      <c r="C157" s="622" t="s">
        <v>1426</v>
      </c>
      <c r="D157" s="622"/>
      <c r="E157" s="622"/>
      <c r="F157" s="622"/>
      <c r="G157" s="319" t="s">
        <v>9</v>
      </c>
      <c r="H157" s="320">
        <f ca="1">H156*0.11</f>
        <v>11736103.5</v>
      </c>
      <c r="I157" s="320">
        <f ca="1">I156*0.11</f>
        <v>5152553.763133334</v>
      </c>
      <c r="J157" s="320">
        <f ca="1">J156*0.11</f>
        <v>1236147.5569116666</v>
      </c>
      <c r="K157" s="320">
        <f ca="1">K156*0.11</f>
        <v>18124804.820045002</v>
      </c>
    </row>
    <row r="158" spans="1:22" ht="15.75" thickBot="1">
      <c r="B158" s="318"/>
      <c r="C158" s="621" t="s">
        <v>453</v>
      </c>
      <c r="D158" s="621"/>
      <c r="E158" s="621"/>
      <c r="F158" s="621"/>
      <c r="G158" s="321" t="s">
        <v>9</v>
      </c>
      <c r="H158" s="322">
        <f ca="1">SUM(H156:H157)</f>
        <v>118427953.5</v>
      </c>
      <c r="I158" s="322">
        <f ca="1">SUM(I156:I157)</f>
        <v>51993951.609800003</v>
      </c>
      <c r="J158" s="321">
        <f ca="1">SUM(J156:J157)</f>
        <v>12473852.619744999</v>
      </c>
      <c r="K158" s="321">
        <f ca="1">SUM(K156:K157)</f>
        <v>182895757.729545</v>
      </c>
      <c r="M158" s="386"/>
    </row>
    <row r="159" spans="1:22">
      <c r="B159" s="623" t="str">
        <f ca="1">"Terbilang : "&amp;PROPER(IF(K158=0,"nol",IF(K158&lt;0,"minus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IF(--MID(TEXT(ABS(K158),"000000000000000"),1,3)=0,"",MID(TEXT(ABS(K158),"000000000000000"),1,1)&amp;" ratus "&amp;MID(TEXT(ABS(K158),"000000000000000"),2,1)&amp;" puluh "&amp;MID(TEXT(ABS(K158),"000000000000000"),3,1)&amp;" trilyun ")&amp; IF(--MID(TEXT(ABS(K158),"000000000000000"),4,3)=0,"",MID(TEXT(ABS(K158),"000000000000000"),4,1)&amp;" ratus "&amp;MID(TEXT(ABS(K158),"000000000000000"),5,1)&amp;" puluh "&amp;MID(TEXT(ABS(K158),"000000000000000"),6,1)&amp;" milyar ")&amp; IF(--MID(TEXT(ABS(K158),"000000000000000"),7,3)=0,"",MID(TEXT(ABS(K158),"000000000000000"),7,1)&amp;" ratus "&amp;MID(TEXT(ABS(K158),"000000000000000"),8,1)&amp;" puluh "&amp;MID(TEXT(ABS(K158),"000000000000000"),9,1)&amp;" juta ")&amp; IF(--MID(TEXT(ABS(K158),"000000000000000"),10,3)=0,"",IF(--MID(TEXT(ABS(K158),"000000000000000"),10,3)=1,"*",MID(TEXT(ABS(K158),"000000000000000"),10,1)&amp;" ratus "&amp;MID(TEXT(ABS(K158),"000000000000000"),11,1)&amp;" puluh ")&amp;MID(TEXT(ABS(K158),"000000000000000"),12,1)&amp;" ribu ")&amp; IF(--MID(TEXT(ABS(K158),"000000000000000"),13,3)=0,"",MID(TEXT(ABS(K158),"000000000000000"),13,1)&amp;" ratus "&amp;MID(TEXT(ABS(K158),"000000000000000"),14,1)&amp;" puluh "&amp;MID(TEXT(ABS(K158),"000000000000000"),15,1)),1,"satu"),2,"dua"),3,"tiga"),4,"empat"),5,"lima"),6,"enam"),7,"tujuh"),8,"delapan"),9,"sembilan"),"0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Delapan Puluh Dua Juta Delapan Ratus Sembilan Puluh Lima Ribu Tujuh Ratus Lima Puluh Delapan Rupiah</v>
      </c>
      <c r="C159" s="624"/>
      <c r="D159" s="624"/>
      <c r="E159" s="624"/>
      <c r="F159" s="624"/>
      <c r="G159" s="624"/>
      <c r="H159" s="624"/>
      <c r="I159" s="624"/>
      <c r="J159" s="624"/>
      <c r="K159" s="625"/>
    </row>
    <row r="160" spans="1:22">
      <c r="B160" s="626"/>
      <c r="C160" s="627"/>
      <c r="D160" s="627"/>
      <c r="E160" s="627"/>
      <c r="F160" s="627"/>
      <c r="G160" s="627"/>
      <c r="H160" s="627"/>
      <c r="I160" s="627"/>
      <c r="J160" s="627"/>
      <c r="K160" s="628"/>
    </row>
    <row r="161" spans="2:11" ht="15.75" thickBot="1">
      <c r="B161" s="323" t="str">
        <f>"Harga yang dipakai adalah "&amp;'HARGA SATUAN'!I5&amp;""</f>
        <v>Harga yang dipakai adalah RAB HSS 2023</v>
      </c>
      <c r="C161" s="324"/>
      <c r="D161" s="325"/>
      <c r="E161" s="325"/>
      <c r="F161" s="325"/>
      <c r="G161" s="326"/>
      <c r="H161" s="326"/>
      <c r="I161" s="326"/>
      <c r="J161" s="326"/>
      <c r="K161" s="327"/>
    </row>
    <row r="162" spans="2:11">
      <c r="C162" s="328"/>
      <c r="E162" s="330"/>
      <c r="F162" s="330"/>
      <c r="G162" s="330"/>
    </row>
    <row r="163" spans="2:11">
      <c r="C163" s="260"/>
      <c r="E163" s="330"/>
      <c r="F163" s="330"/>
      <c r="G163" s="330"/>
      <c r="H163" s="629"/>
      <c r="I163" s="629"/>
      <c r="J163" s="630"/>
      <c r="K163" s="630"/>
    </row>
    <row r="164" spans="2:11">
      <c r="C164" s="260"/>
      <c r="E164" s="330"/>
      <c r="F164" s="330"/>
      <c r="G164" s="330"/>
      <c r="H164" s="331"/>
      <c r="I164" s="620" t="s">
        <v>1659</v>
      </c>
      <c r="J164" s="620"/>
      <c r="K164" s="620"/>
    </row>
    <row r="165" spans="2:11">
      <c r="C165" s="260"/>
      <c r="E165" s="330"/>
      <c r="F165" s="330"/>
      <c r="G165" s="330"/>
      <c r="H165" s="331"/>
      <c r="I165" s="620" t="s">
        <v>1630</v>
      </c>
      <c r="J165" s="620"/>
      <c r="K165" s="620"/>
    </row>
    <row r="166" spans="2:11">
      <c r="C166" s="260"/>
      <c r="E166" s="330"/>
      <c r="F166" s="330"/>
      <c r="G166" s="330"/>
      <c r="H166" s="332"/>
      <c r="I166" s="333"/>
      <c r="J166" s="333"/>
      <c r="K166" s="333"/>
    </row>
    <row r="167" spans="2:11">
      <c r="C167" s="260"/>
      <c r="E167" s="330"/>
      <c r="F167" s="330"/>
      <c r="G167" s="330"/>
      <c r="H167" s="332"/>
      <c r="I167" s="332"/>
      <c r="J167" s="332"/>
      <c r="K167" s="332"/>
    </row>
    <row r="168" spans="2:11">
      <c r="C168" s="260"/>
      <c r="E168" s="330"/>
      <c r="F168" s="330"/>
      <c r="G168" s="330"/>
      <c r="H168" s="332"/>
      <c r="I168" s="332"/>
      <c r="J168" s="332"/>
      <c r="K168" s="332"/>
    </row>
    <row r="169" spans="2:11">
      <c r="C169" s="260"/>
      <c r="E169" s="330"/>
      <c r="F169" s="330"/>
      <c r="G169" s="330"/>
      <c r="H169" s="332"/>
      <c r="I169" s="332"/>
      <c r="J169" s="332"/>
      <c r="K169" s="332"/>
    </row>
    <row r="170" spans="2:11">
      <c r="C170" s="260"/>
      <c r="E170" s="330"/>
      <c r="F170" s="330"/>
      <c r="G170" s="330"/>
      <c r="H170" s="334"/>
      <c r="I170" s="620" t="s">
        <v>1631</v>
      </c>
      <c r="J170" s="620"/>
      <c r="K170" s="620"/>
    </row>
    <row r="171" spans="2:11">
      <c r="C171" s="328"/>
      <c r="E171" s="330"/>
      <c r="F171" s="330"/>
      <c r="G171" s="330"/>
      <c r="H171" s="332"/>
      <c r="I171" s="332"/>
      <c r="J171" s="332"/>
      <c r="K171" s="332"/>
    </row>
    <row r="172" spans="2:11">
      <c r="C172" s="328"/>
      <c r="E172" s="330"/>
      <c r="F172" s="330"/>
      <c r="G172" s="330"/>
      <c r="H172" s="332"/>
      <c r="I172" s="332"/>
      <c r="J172" s="332"/>
      <c r="K172" s="332"/>
    </row>
    <row r="173" spans="2:11">
      <c r="C173" s="328"/>
      <c r="E173" s="330"/>
      <c r="F173" s="330"/>
      <c r="G173" s="330"/>
      <c r="H173" s="332"/>
      <c r="I173" s="332"/>
      <c r="J173" s="332"/>
      <c r="K173" s="332"/>
    </row>
  </sheetData>
  <sheetProtection sort="0" autoFilter="0"/>
  <protectedRanges>
    <protectedRange sqref="B151" name="Range1_1"/>
    <protectedRange sqref="F151" name="Range1_1_3"/>
    <protectedRange sqref="F15" name="Range1_1_2_2"/>
    <protectedRange sqref="B150:C150" name="Range1_1_5"/>
    <protectedRange sqref="B149:C149" name="Range1_1_6"/>
    <protectedRange sqref="B129:C130 B141 B22:B24 B142:C144 B135:C140 B145:B148 B111:B116 B26:C31 B32 B131:B134 B64:C70 B61:B62 B57:C60 B54:B55 B48:C53 B90:B91 B93:C98 B99 B100:C110 B75:C82 B33:C45 B74 B46:B47 B86:C89 C46 B83:B84 B73:C73 C126:C127 B71:B72" name="Range1_1_2"/>
    <protectedRange sqref="B15 B25:C25 C22:C24 C71:C72 C83:C84 C61:C62 B63:C63 C54:C55 B56:C56 B92:C92 C90:C91 C74 B85:C85 C47" name="Range1_6"/>
    <protectedRange sqref="C128" name="Range1_1_2_1"/>
    <protectedRange sqref="C141" name="Range1_1_2_3"/>
    <protectedRange sqref="C134 C132" name="Range1_3"/>
    <protectedRange sqref="C133 C131" name="Range1_2_1"/>
    <protectedRange sqref="C111:C116" name="Range1_1_1_2"/>
    <protectedRange sqref="C125" name="Range1_1_4_2"/>
    <protectedRange sqref="B16:B21" name="Range1_1_1_1_1"/>
    <protectedRange sqref="C21 C19 C17" name="Range1_6_1_2"/>
    <protectedRange sqref="C20 C18 C16" name="Range1_1_2_12"/>
    <protectedRange sqref="C146:C147" name="Range1_1_2_11"/>
    <protectedRange sqref="C148" name="Range1_1_2_13"/>
    <protectedRange sqref="C122 C124 C118 C120 B118:B128" name="Range1_1_2_4"/>
    <protectedRange sqref="C119 C121 C123" name="Range1_1_2_1_1"/>
  </protectedRanges>
  <mergeCells count="22">
    <mergeCell ref="O3:P4"/>
    <mergeCell ref="B4:K4"/>
    <mergeCell ref="C156:F156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  <mergeCell ref="I165:K165"/>
    <mergeCell ref="I170:K170"/>
    <mergeCell ref="C158:F158"/>
    <mergeCell ref="I164:K164"/>
    <mergeCell ref="C157:F157"/>
    <mergeCell ref="B159:K160"/>
    <mergeCell ref="H163:K163"/>
  </mergeCells>
  <phoneticPr fontId="120" type="noConversion"/>
  <conditionalFormatting sqref="C15:C16 C18 C20">
    <cfRule type="cellIs" dxfId="17" priority="30" operator="equal">
      <formula>0</formula>
    </cfRule>
  </conditionalFormatting>
  <conditionalFormatting sqref="C92">
    <cfRule type="cellIs" dxfId="16" priority="17" operator="equal">
      <formula>0</formula>
    </cfRule>
  </conditionalFormatting>
  <conditionalFormatting sqref="C95">
    <cfRule type="cellIs" dxfId="15" priority="15" operator="equal">
      <formula>0</formula>
    </cfRule>
  </conditionalFormatting>
  <conditionalFormatting sqref="C105">
    <cfRule type="cellIs" dxfId="14" priority="16" operator="equal">
      <formula>0</formula>
    </cfRule>
  </conditionalFormatting>
  <conditionalFormatting sqref="C118:C123 S14:V150 E5:E127 F67:F127 G44:K128">
    <cfRule type="cellIs" dxfId="13" priority="5" stopIfTrue="1" operator="equal">
      <formula>0</formula>
    </cfRule>
  </conditionalFormatting>
  <conditionalFormatting sqref="C124">
    <cfRule type="cellIs" dxfId="12" priority="4" operator="equal">
      <formula>0</formula>
    </cfRule>
  </conditionalFormatting>
  <conditionalFormatting sqref="C128">
    <cfRule type="cellIs" dxfId="11" priority="33" operator="equal">
      <formula>0</formula>
    </cfRule>
  </conditionalFormatting>
  <conditionalFormatting sqref="C131:C134">
    <cfRule type="cellIs" dxfId="10" priority="32" operator="equal">
      <formula>0</formula>
    </cfRule>
  </conditionalFormatting>
  <conditionalFormatting sqref="C138">
    <cfRule type="cellIs" dxfId="9" priority="31" operator="equal">
      <formula>0</formula>
    </cfRule>
  </conditionalFormatting>
  <conditionalFormatting sqref="C145:C148">
    <cfRule type="cellIs" dxfId="8" priority="26" operator="equal">
      <formula>0</formula>
    </cfRule>
  </conditionalFormatting>
  <conditionalFormatting sqref="C151">
    <cfRule type="cellIs" dxfId="7" priority="204" operator="equal">
      <formula>0</formula>
    </cfRule>
  </conditionalFormatting>
  <conditionalFormatting sqref="E1:E3 H12:I12 O13 E128:F128 E129:K136 H151:K155 G152:H152 E154:H154 E155:F155 E143:K150 E137:E142 G137:K142">
    <cfRule type="cellIs" dxfId="6" priority="1007" stopIfTrue="1" operator="equal">
      <formula>0</formula>
    </cfRule>
  </conditionalFormatting>
  <conditionalFormatting sqref="E151:G153">
    <cfRule type="cellIs" dxfId="5" priority="203" stopIfTrue="1" operator="equal">
      <formula>0</formula>
    </cfRule>
  </conditionalFormatting>
  <conditionalFormatting sqref="F14:K43">
    <cfRule type="cellIs" dxfId="4" priority="10" stopIfTrue="1" operator="equal">
      <formula>0</formula>
    </cfRule>
  </conditionalFormatting>
  <conditionalFormatting sqref="G1:G13">
    <cfRule type="cellIs" dxfId="3" priority="34" stopIfTrue="1" operator="equal">
      <formula>0</formula>
    </cfRule>
  </conditionalFormatting>
  <conditionalFormatting sqref="G154:G65620 E159:E65620">
    <cfRule type="cellIs" dxfId="2" priority="141" stopIfTrue="1" operator="equal">
      <formula>0</formula>
    </cfRule>
  </conditionalFormatting>
  <conditionalFormatting sqref="F44:F48">
    <cfRule type="cellIs" dxfId="1" priority="2" stopIfTrue="1" operator="equal">
      <formula>0</formula>
    </cfRule>
  </conditionalFormatting>
  <conditionalFormatting sqref="F137:F142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93:C94 C103:C104 F22:F23 F43:F46 F48 F143:F150 F67:F136 H14:K15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DE823-0DF3-4727-BE8E-4C73614AC7A8}">
  <sheetPr>
    <tabColor rgb="FF92D050"/>
  </sheetPr>
  <dimension ref="C1:AD55"/>
  <sheetViews>
    <sheetView showGridLines="0" view="pageBreakPreview" topLeftCell="A19" zoomScaleNormal="100" zoomScaleSheetLayoutView="100" workbookViewId="0">
      <selection activeCell="W42" sqref="W42:AD42"/>
    </sheetView>
  </sheetViews>
  <sheetFormatPr defaultColWidth="9.140625" defaultRowHeight="12"/>
  <cols>
    <col min="1" max="2" width="1.42578125" style="476" customWidth="1"/>
    <col min="3" max="3" width="7.42578125" style="476" customWidth="1"/>
    <col min="4" max="23" width="5.7109375" style="476" customWidth="1"/>
    <col min="24" max="24" width="6.28515625" style="476" customWidth="1"/>
    <col min="25" max="26" width="5.7109375" style="476" customWidth="1"/>
    <col min="27" max="27" width="6.42578125" style="476" customWidth="1"/>
    <col min="28" max="118" width="5.7109375" style="476" customWidth="1"/>
    <col min="119" max="16384" width="9.140625" style="476"/>
  </cols>
  <sheetData>
    <row r="1" spans="3:30" ht="12.75" thickBot="1"/>
    <row r="2" spans="3:30" ht="12.75" customHeight="1">
      <c r="C2" s="399"/>
      <c r="D2" s="400"/>
      <c r="E2" s="400"/>
      <c r="F2" s="400"/>
      <c r="G2" s="400"/>
      <c r="H2" s="400"/>
      <c r="I2" s="400"/>
      <c r="J2" s="400"/>
      <c r="K2" s="400"/>
      <c r="L2" s="400"/>
      <c r="M2" s="400"/>
      <c r="N2" s="400"/>
      <c r="O2" s="400"/>
      <c r="P2" s="400"/>
      <c r="Q2" s="400"/>
      <c r="R2" s="400"/>
      <c r="S2" s="400"/>
      <c r="T2" s="400"/>
      <c r="U2" s="400"/>
      <c r="V2" s="400"/>
      <c r="W2" s="648" t="s">
        <v>1409</v>
      </c>
      <c r="X2" s="649"/>
      <c r="Y2" s="649"/>
      <c r="Z2" s="649"/>
      <c r="AA2" s="649"/>
      <c r="AB2" s="649"/>
      <c r="AC2" s="649"/>
      <c r="AD2" s="650"/>
    </row>
    <row r="3" spans="3:30">
      <c r="C3" s="401"/>
      <c r="D3" s="495" t="s">
        <v>1624</v>
      </c>
      <c r="E3" s="495"/>
      <c r="F3" s="496"/>
      <c r="G3" s="495"/>
      <c r="H3" s="495"/>
      <c r="I3" s="495"/>
      <c r="J3" s="495"/>
      <c r="K3" s="496"/>
      <c r="L3" s="496"/>
      <c r="W3" s="651"/>
      <c r="X3" s="652"/>
      <c r="Y3" s="652"/>
      <c r="Z3" s="652"/>
      <c r="AA3" s="652"/>
      <c r="AB3" s="652"/>
      <c r="AC3" s="652"/>
      <c r="AD3" s="653"/>
    </row>
    <row r="4" spans="3:30">
      <c r="C4" s="401"/>
      <c r="D4" s="654"/>
      <c r="E4" s="654"/>
      <c r="F4" s="437" t="s">
        <v>1582</v>
      </c>
      <c r="G4" s="655" t="s">
        <v>1583</v>
      </c>
      <c r="H4" s="656"/>
      <c r="I4" s="655" t="s">
        <v>1584</v>
      </c>
      <c r="J4" s="656"/>
      <c r="K4" s="657" t="s">
        <v>1585</v>
      </c>
      <c r="L4" s="658"/>
      <c r="W4" s="402" t="s">
        <v>1586</v>
      </c>
      <c r="AD4" s="403"/>
    </row>
    <row r="5" spans="3:30">
      <c r="C5" s="401"/>
      <c r="D5" s="654" t="s">
        <v>1587</v>
      </c>
      <c r="E5" s="654"/>
      <c r="F5" s="437"/>
      <c r="G5" s="655"/>
      <c r="H5" s="656"/>
      <c r="I5" s="655"/>
      <c r="J5" s="656"/>
      <c r="K5" s="657"/>
      <c r="L5" s="658"/>
      <c r="W5" s="436" t="s">
        <v>1588</v>
      </c>
      <c r="X5" s="659" t="s">
        <v>1589</v>
      </c>
      <c r="Y5" s="659"/>
      <c r="Z5" s="659"/>
      <c r="AA5" s="659" t="s">
        <v>1590</v>
      </c>
      <c r="AB5" s="659"/>
      <c r="AC5" s="659" t="s">
        <v>1591</v>
      </c>
      <c r="AD5" s="660"/>
    </row>
    <row r="6" spans="3:30">
      <c r="C6" s="401"/>
      <c r="D6" s="654" t="s">
        <v>1592</v>
      </c>
      <c r="E6" s="654"/>
      <c r="F6" s="437"/>
      <c r="G6" s="655"/>
      <c r="H6" s="656"/>
      <c r="I6" s="655"/>
      <c r="J6" s="656"/>
      <c r="K6" s="657"/>
      <c r="L6" s="658"/>
      <c r="W6" s="436">
        <v>1</v>
      </c>
      <c r="X6" s="659" t="s">
        <v>1593</v>
      </c>
      <c r="Y6" s="659"/>
      <c r="Z6" s="659"/>
      <c r="AA6" s="659"/>
      <c r="AB6" s="659"/>
      <c r="AC6" s="659"/>
      <c r="AD6" s="660"/>
    </row>
    <row r="7" spans="3:30">
      <c r="C7" s="401"/>
      <c r="W7" s="436">
        <v>2</v>
      </c>
      <c r="X7" s="659" t="s">
        <v>1594</v>
      </c>
      <c r="Y7" s="659"/>
      <c r="Z7" s="659"/>
      <c r="AA7" s="659"/>
      <c r="AB7" s="659"/>
      <c r="AC7" s="659"/>
      <c r="AD7" s="660"/>
    </row>
    <row r="8" spans="3:30">
      <c r="C8" s="401"/>
      <c r="W8" s="436">
        <v>3</v>
      </c>
      <c r="X8" s="659" t="s">
        <v>1595</v>
      </c>
      <c r="Y8" s="659"/>
      <c r="Z8" s="659"/>
      <c r="AA8" s="659"/>
      <c r="AB8" s="659"/>
      <c r="AC8" s="659"/>
      <c r="AD8" s="660"/>
    </row>
    <row r="9" spans="3:30">
      <c r="C9" s="401"/>
      <c r="W9" s="436">
        <v>4</v>
      </c>
      <c r="X9" s="659" t="s">
        <v>1596</v>
      </c>
      <c r="Y9" s="659"/>
      <c r="Z9" s="659"/>
      <c r="AA9" s="659"/>
      <c r="AB9" s="659"/>
      <c r="AC9" s="659"/>
      <c r="AD9" s="660"/>
    </row>
    <row r="10" spans="3:30">
      <c r="C10" s="401"/>
      <c r="W10" s="436">
        <v>5</v>
      </c>
      <c r="X10" s="659" t="s">
        <v>1597</v>
      </c>
      <c r="Y10" s="659"/>
      <c r="Z10" s="659"/>
      <c r="AA10" s="659"/>
      <c r="AB10" s="659"/>
      <c r="AC10" s="659"/>
      <c r="AD10" s="660"/>
    </row>
    <row r="11" spans="3:30">
      <c r="C11" s="401"/>
      <c r="W11" s="436">
        <v>6</v>
      </c>
      <c r="X11" s="659" t="s">
        <v>1598</v>
      </c>
      <c r="Y11" s="659"/>
      <c r="Z11" s="659"/>
      <c r="AA11" s="659"/>
      <c r="AB11" s="659"/>
      <c r="AC11" s="659"/>
      <c r="AD11" s="660"/>
    </row>
    <row r="12" spans="3:30">
      <c r="C12" s="401"/>
      <c r="W12" s="436">
        <v>7</v>
      </c>
      <c r="X12" s="659" t="s">
        <v>1599</v>
      </c>
      <c r="Y12" s="659"/>
      <c r="Z12" s="659"/>
      <c r="AA12" s="659"/>
      <c r="AB12" s="659"/>
      <c r="AC12" s="659"/>
      <c r="AD12" s="660"/>
    </row>
    <row r="13" spans="3:30" ht="12.75" customHeight="1">
      <c r="C13" s="401"/>
      <c r="W13" s="436">
        <v>8</v>
      </c>
      <c r="X13" s="659" t="s">
        <v>1600</v>
      </c>
      <c r="Y13" s="659"/>
      <c r="Z13" s="659"/>
      <c r="AA13" s="659"/>
      <c r="AB13" s="659"/>
      <c r="AC13" s="659"/>
      <c r="AD13" s="660"/>
    </row>
    <row r="14" spans="3:30">
      <c r="C14" s="401"/>
      <c r="W14" s="436">
        <v>9</v>
      </c>
      <c r="X14" s="659" t="s">
        <v>1601</v>
      </c>
      <c r="Y14" s="659"/>
      <c r="Z14" s="659"/>
      <c r="AA14" s="659"/>
      <c r="AB14" s="659"/>
      <c r="AC14" s="659"/>
      <c r="AD14" s="660"/>
    </row>
    <row r="15" spans="3:30">
      <c r="C15" s="401"/>
      <c r="W15" s="436">
        <v>10</v>
      </c>
      <c r="X15" s="659" t="s">
        <v>1602</v>
      </c>
      <c r="Y15" s="659"/>
      <c r="Z15" s="659"/>
      <c r="AA15" s="659"/>
      <c r="AB15" s="659"/>
      <c r="AC15" s="659"/>
      <c r="AD15" s="660"/>
    </row>
    <row r="16" spans="3:30">
      <c r="C16" s="401"/>
      <c r="W16" s="436">
        <v>11</v>
      </c>
      <c r="X16" s="659" t="s">
        <v>1603</v>
      </c>
      <c r="Y16" s="659"/>
      <c r="Z16" s="659"/>
      <c r="AA16" s="659"/>
      <c r="AB16" s="659"/>
      <c r="AC16" s="659"/>
      <c r="AD16" s="660"/>
    </row>
    <row r="17" spans="3:30">
      <c r="C17" s="401"/>
      <c r="S17" s="404"/>
      <c r="W17" s="436">
        <v>12</v>
      </c>
      <c r="X17" s="659" t="s">
        <v>1604</v>
      </c>
      <c r="Y17" s="659"/>
      <c r="Z17" s="659"/>
      <c r="AA17" s="659"/>
      <c r="AB17" s="659"/>
      <c r="AC17" s="659"/>
      <c r="AD17" s="660"/>
    </row>
    <row r="18" spans="3:30">
      <c r="C18" s="405"/>
      <c r="D18" s="406"/>
      <c r="E18" s="406"/>
      <c r="W18" s="436">
        <v>13</v>
      </c>
      <c r="X18" s="659"/>
      <c r="Y18" s="659"/>
      <c r="Z18" s="659"/>
      <c r="AA18" s="659"/>
      <c r="AB18" s="659"/>
      <c r="AC18" s="659"/>
      <c r="AD18" s="660"/>
    </row>
    <row r="19" spans="3:30">
      <c r="C19" s="401"/>
      <c r="W19" s="434"/>
      <c r="X19" s="661"/>
      <c r="Y19" s="661"/>
      <c r="Z19" s="661"/>
      <c r="AA19" s="661"/>
      <c r="AB19" s="661"/>
      <c r="AC19" s="661"/>
      <c r="AD19" s="662"/>
    </row>
    <row r="20" spans="3:30">
      <c r="C20" s="401"/>
      <c r="W20" s="663" t="s">
        <v>1605</v>
      </c>
      <c r="X20" s="664"/>
      <c r="Y20" s="664"/>
      <c r="Z20" s="664"/>
      <c r="AA20" s="664"/>
      <c r="AB20" s="664"/>
      <c r="AC20" s="664"/>
      <c r="AD20" s="665"/>
    </row>
    <row r="21" spans="3:30">
      <c r="C21" s="401"/>
      <c r="W21" s="666" t="s">
        <v>1606</v>
      </c>
      <c r="X21" s="667"/>
      <c r="Y21" s="667"/>
      <c r="Z21" s="668"/>
      <c r="AA21" s="669" t="s">
        <v>1607</v>
      </c>
      <c r="AB21" s="670"/>
      <c r="AC21" s="670"/>
      <c r="AD21" s="671"/>
    </row>
    <row r="22" spans="3:30">
      <c r="C22" s="401"/>
      <c r="W22" s="676" t="s">
        <v>1632</v>
      </c>
      <c r="X22" s="677"/>
      <c r="Y22" s="407" t="s">
        <v>1028</v>
      </c>
      <c r="Z22" s="408">
        <v>1</v>
      </c>
      <c r="AA22" s="433"/>
      <c r="AB22" s="433"/>
      <c r="AC22" s="432"/>
      <c r="AD22" s="431"/>
    </row>
    <row r="23" spans="3:30">
      <c r="C23" s="401"/>
      <c r="W23" s="680" t="s">
        <v>1633</v>
      </c>
      <c r="X23" s="681"/>
      <c r="Y23" s="407" t="s">
        <v>1028</v>
      </c>
      <c r="Z23" s="408">
        <v>0</v>
      </c>
      <c r="AA23" s="674" t="s">
        <v>1626</v>
      </c>
      <c r="AB23" s="675"/>
      <c r="AC23" s="432" t="s">
        <v>1028</v>
      </c>
      <c r="AD23" s="431">
        <v>0</v>
      </c>
    </row>
    <row r="24" spans="3:30">
      <c r="C24" s="401"/>
      <c r="W24" s="680" t="s">
        <v>1651</v>
      </c>
      <c r="X24" s="681"/>
      <c r="Y24" s="407" t="s">
        <v>1028</v>
      </c>
      <c r="Z24" s="408">
        <v>1</v>
      </c>
      <c r="AA24" s="682" t="s">
        <v>1655</v>
      </c>
      <c r="AB24" s="683"/>
      <c r="AC24" s="432" t="s">
        <v>1028</v>
      </c>
      <c r="AD24" s="431">
        <v>1</v>
      </c>
    </row>
    <row r="25" spans="3:30">
      <c r="C25" s="401"/>
      <c r="W25" s="672" t="s">
        <v>1514</v>
      </c>
      <c r="X25" s="673"/>
      <c r="Y25" s="409" t="s">
        <v>1028</v>
      </c>
      <c r="Z25" s="410">
        <v>3</v>
      </c>
      <c r="AA25" s="674" t="s">
        <v>1627</v>
      </c>
      <c r="AB25" s="675"/>
      <c r="AC25" s="432" t="s">
        <v>1628</v>
      </c>
      <c r="AD25" s="431">
        <v>0</v>
      </c>
    </row>
    <row r="26" spans="3:30">
      <c r="C26" s="401"/>
      <c r="W26" s="672" t="s">
        <v>1629</v>
      </c>
      <c r="X26" s="673"/>
      <c r="Y26" s="407" t="s">
        <v>1628</v>
      </c>
      <c r="Z26" s="408">
        <v>0</v>
      </c>
      <c r="AA26" s="674" t="s">
        <v>1625</v>
      </c>
      <c r="AB26" s="675"/>
      <c r="AC26" s="432" t="s">
        <v>1028</v>
      </c>
      <c r="AD26" s="431">
        <v>0</v>
      </c>
    </row>
    <row r="27" spans="3:30">
      <c r="C27" s="401"/>
      <c r="W27" s="676" t="s">
        <v>1652</v>
      </c>
      <c r="X27" s="677"/>
      <c r="Y27" s="407" t="s">
        <v>1634</v>
      </c>
      <c r="Z27" s="408">
        <v>2</v>
      </c>
      <c r="AA27" s="678"/>
      <c r="AB27" s="679"/>
      <c r="AC27" s="432"/>
      <c r="AD27" s="431"/>
    </row>
    <row r="28" spans="3:30">
      <c r="C28" s="401"/>
      <c r="W28" s="680" t="s">
        <v>1635</v>
      </c>
      <c r="X28" s="681"/>
      <c r="Y28" s="407" t="s">
        <v>1028</v>
      </c>
      <c r="Z28" s="408">
        <v>2</v>
      </c>
      <c r="AA28" s="678"/>
      <c r="AB28" s="679"/>
      <c r="AC28" s="432"/>
      <c r="AD28" s="431"/>
    </row>
    <row r="29" spans="3:30">
      <c r="C29" s="401"/>
      <c r="W29" s="676" t="s">
        <v>1653</v>
      </c>
      <c r="X29" s="684"/>
      <c r="Y29" s="407" t="s">
        <v>1028</v>
      </c>
      <c r="Z29" s="408">
        <v>1</v>
      </c>
      <c r="AA29" s="678"/>
      <c r="AB29" s="679"/>
      <c r="AC29" s="432"/>
      <c r="AD29" s="431"/>
    </row>
    <row r="30" spans="3:30" ht="11.25" customHeight="1">
      <c r="C30" s="401"/>
      <c r="W30" s="676" t="s">
        <v>1636</v>
      </c>
      <c r="X30" s="684"/>
      <c r="Y30" s="407" t="s">
        <v>1028</v>
      </c>
      <c r="Z30" s="408">
        <v>2</v>
      </c>
      <c r="AA30" s="678"/>
      <c r="AB30" s="679"/>
      <c r="AC30" s="432"/>
      <c r="AD30" s="431"/>
    </row>
    <row r="31" spans="3:30">
      <c r="C31" s="401"/>
      <c r="U31" s="411"/>
      <c r="W31" s="676" t="s">
        <v>1637</v>
      </c>
      <c r="X31" s="684"/>
      <c r="Y31" s="407" t="s">
        <v>1028</v>
      </c>
      <c r="Z31" s="408">
        <v>2</v>
      </c>
      <c r="AA31" s="678"/>
      <c r="AB31" s="679"/>
      <c r="AC31" s="432"/>
      <c r="AD31" s="431"/>
    </row>
    <row r="32" spans="3:30">
      <c r="C32" s="401"/>
      <c r="U32" s="411"/>
      <c r="W32" s="676" t="s">
        <v>1638</v>
      </c>
      <c r="X32" s="684"/>
      <c r="Y32" s="407" t="s">
        <v>1028</v>
      </c>
      <c r="Z32" s="408">
        <v>0</v>
      </c>
      <c r="AA32" s="678"/>
      <c r="AB32" s="679"/>
      <c r="AC32" s="432"/>
      <c r="AD32" s="431"/>
    </row>
    <row r="33" spans="3:30">
      <c r="C33" s="401"/>
      <c r="W33" s="672" t="s">
        <v>1639</v>
      </c>
      <c r="X33" s="673"/>
      <c r="Y33" s="407" t="s">
        <v>1028</v>
      </c>
      <c r="Z33" s="410">
        <v>0</v>
      </c>
      <c r="AA33" s="678"/>
      <c r="AB33" s="679"/>
      <c r="AC33" s="432"/>
      <c r="AD33" s="431"/>
    </row>
    <row r="34" spans="3:30">
      <c r="C34" s="401"/>
      <c r="W34" s="676" t="s">
        <v>1640</v>
      </c>
      <c r="X34" s="677"/>
      <c r="Y34" s="407" t="s">
        <v>1028</v>
      </c>
      <c r="Z34" s="408">
        <v>0</v>
      </c>
      <c r="AA34" s="678"/>
      <c r="AB34" s="679"/>
      <c r="AC34" s="432"/>
      <c r="AD34" s="431"/>
    </row>
    <row r="35" spans="3:30">
      <c r="C35" s="401"/>
      <c r="W35" s="676" t="s">
        <v>1641</v>
      </c>
      <c r="X35" s="677"/>
      <c r="Y35" s="407" t="s">
        <v>1028</v>
      </c>
      <c r="Z35" s="408">
        <v>0</v>
      </c>
      <c r="AA35" s="678"/>
      <c r="AB35" s="679"/>
      <c r="AC35" s="432"/>
      <c r="AD35" s="431"/>
    </row>
    <row r="36" spans="3:30">
      <c r="C36" s="401"/>
      <c r="W36" s="691" t="s">
        <v>1642</v>
      </c>
      <c r="X36" s="692"/>
      <c r="Y36" s="407" t="s">
        <v>1628</v>
      </c>
      <c r="Z36" s="410">
        <v>100</v>
      </c>
      <c r="AA36" s="693"/>
      <c r="AB36" s="679"/>
      <c r="AC36" s="432"/>
      <c r="AD36" s="431"/>
    </row>
    <row r="37" spans="3:30" ht="12.75" customHeight="1">
      <c r="C37" s="401"/>
      <c r="W37" s="685" t="s">
        <v>1643</v>
      </c>
      <c r="X37" s="686"/>
      <c r="Y37" s="407" t="s">
        <v>1644</v>
      </c>
      <c r="Z37" s="410">
        <v>16</v>
      </c>
      <c r="AA37" s="694"/>
      <c r="AB37" s="695"/>
      <c r="AC37" s="428"/>
      <c r="AD37" s="427"/>
    </row>
    <row r="38" spans="3:30" ht="12.75" customHeight="1">
      <c r="C38" s="401"/>
      <c r="W38" s="685" t="s">
        <v>1645</v>
      </c>
      <c r="X38" s="686"/>
      <c r="Y38" s="407" t="s">
        <v>1644</v>
      </c>
      <c r="Z38" s="410">
        <v>3</v>
      </c>
      <c r="AA38" s="430"/>
      <c r="AB38" s="429"/>
      <c r="AC38" s="428"/>
      <c r="AD38" s="427"/>
    </row>
    <row r="39" spans="3:30" ht="12" customHeight="1">
      <c r="C39" s="401"/>
      <c r="W39" s="685" t="s">
        <v>1646</v>
      </c>
      <c r="X39" s="686"/>
      <c r="Y39" s="407" t="s">
        <v>1644</v>
      </c>
      <c r="Z39" s="412">
        <v>1</v>
      </c>
      <c r="AA39" s="687"/>
      <c r="AB39" s="688"/>
      <c r="AC39" s="428"/>
      <c r="AD39" s="427"/>
    </row>
    <row r="40" spans="3:30" ht="12" customHeight="1">
      <c r="C40" s="401"/>
      <c r="W40" s="680" t="s">
        <v>1649</v>
      </c>
      <c r="X40" s="681"/>
      <c r="Y40" s="409" t="s">
        <v>1628</v>
      </c>
      <c r="Z40" s="412">
        <v>100</v>
      </c>
      <c r="AA40" s="438"/>
      <c r="AB40" s="426"/>
      <c r="AC40" s="428"/>
      <c r="AD40" s="427"/>
    </row>
    <row r="41" spans="3:30" ht="12" customHeight="1">
      <c r="C41" s="401"/>
      <c r="W41" s="689" t="s">
        <v>1654</v>
      </c>
      <c r="X41" s="690"/>
      <c r="Y41" s="413" t="s">
        <v>1644</v>
      </c>
      <c r="Z41" s="414">
        <v>16</v>
      </c>
      <c r="AA41" s="687"/>
      <c r="AB41" s="688"/>
      <c r="AC41" s="428"/>
      <c r="AD41" s="427"/>
    </row>
    <row r="42" spans="3:30" ht="12" customHeight="1">
      <c r="C42" s="401"/>
      <c r="W42" s="701" t="s">
        <v>1650</v>
      </c>
      <c r="X42" s="702"/>
      <c r="Y42" s="702"/>
      <c r="Z42" s="702"/>
      <c r="AA42" s="702"/>
      <c r="AB42" s="702"/>
      <c r="AC42" s="702"/>
      <c r="AD42" s="703"/>
    </row>
    <row r="43" spans="3:30" ht="12" customHeight="1">
      <c r="C43" s="401"/>
      <c r="V43" s="415"/>
      <c r="W43" s="416"/>
      <c r="X43" s="417"/>
      <c r="Y43" s="417"/>
      <c r="Z43" s="417"/>
      <c r="AA43" s="417"/>
      <c r="AB43" s="417"/>
      <c r="AC43" s="417"/>
      <c r="AD43" s="418"/>
    </row>
    <row r="44" spans="3:30">
      <c r="C44" s="419"/>
      <c r="D44" s="420"/>
      <c r="E44" s="420"/>
      <c r="F44" s="420"/>
      <c r="G44" s="420"/>
      <c r="H44" s="420"/>
      <c r="I44" s="420"/>
      <c r="J44" s="420"/>
      <c r="K44" s="420"/>
      <c r="L44" s="420"/>
      <c r="M44" s="420"/>
      <c r="N44" s="420"/>
      <c r="O44" s="420"/>
      <c r="P44" s="420"/>
      <c r="Q44" s="420"/>
      <c r="R44" s="420"/>
      <c r="S44" s="420"/>
      <c r="T44" s="420"/>
      <c r="U44" s="420"/>
      <c r="V44" s="415"/>
      <c r="W44" s="696" t="s">
        <v>1608</v>
      </c>
      <c r="X44" s="697"/>
      <c r="Y44" s="659"/>
      <c r="Z44" s="659"/>
      <c r="AA44" s="659"/>
      <c r="AB44" s="659"/>
      <c r="AC44" s="659"/>
      <c r="AD44" s="660"/>
    </row>
    <row r="45" spans="3:30">
      <c r="C45" s="419"/>
      <c r="D45" s="420"/>
      <c r="E45" s="420"/>
      <c r="F45" s="420"/>
      <c r="G45" s="420"/>
      <c r="H45" s="420"/>
      <c r="I45" s="420"/>
      <c r="J45" s="420"/>
      <c r="K45" s="420"/>
      <c r="L45" s="420"/>
      <c r="M45" s="420"/>
      <c r="N45" s="420"/>
      <c r="O45" s="420"/>
      <c r="P45" s="420"/>
      <c r="Q45" s="420"/>
      <c r="R45" s="420"/>
      <c r="S45" s="420"/>
      <c r="T45" s="420"/>
      <c r="U45" s="420"/>
      <c r="V45" s="415"/>
      <c r="W45" s="696" t="s">
        <v>1609</v>
      </c>
      <c r="X45" s="697"/>
      <c r="Y45" s="659">
        <v>1</v>
      </c>
      <c r="Z45" s="659"/>
      <c r="AA45" s="659"/>
      <c r="AB45" s="659" t="s">
        <v>1610</v>
      </c>
      <c r="AC45" s="659"/>
      <c r="AD45" s="435" t="s">
        <v>1611</v>
      </c>
    </row>
    <row r="46" spans="3:30">
      <c r="C46" s="419"/>
      <c r="D46" s="420"/>
      <c r="E46" s="420"/>
      <c r="F46" s="420"/>
      <c r="G46" s="420"/>
      <c r="H46" s="420"/>
      <c r="I46" s="420"/>
      <c r="J46" s="420"/>
      <c r="K46" s="420"/>
      <c r="L46" s="420"/>
      <c r="M46" s="420"/>
      <c r="N46" s="420"/>
      <c r="O46" s="420"/>
      <c r="P46" s="420"/>
      <c r="Q46" s="420"/>
      <c r="R46" s="420"/>
      <c r="S46" s="420"/>
      <c r="T46" s="420"/>
      <c r="U46" s="420"/>
      <c r="V46" s="415"/>
      <c r="W46" s="696" t="s">
        <v>1612</v>
      </c>
      <c r="X46" s="697"/>
      <c r="Y46" s="698"/>
      <c r="Z46" s="698"/>
      <c r="AA46" s="698"/>
      <c r="AB46" s="659" t="s">
        <v>1613</v>
      </c>
      <c r="AC46" s="659"/>
      <c r="AD46" s="394"/>
    </row>
    <row r="47" spans="3:30">
      <c r="C47" s="419"/>
      <c r="D47" s="420"/>
      <c r="E47" s="420"/>
      <c r="F47" s="420"/>
      <c r="G47" s="420"/>
      <c r="H47" s="420"/>
      <c r="I47" s="420"/>
      <c r="J47" s="420"/>
      <c r="K47" s="420"/>
      <c r="L47" s="420"/>
      <c r="M47" s="420"/>
      <c r="N47" s="420"/>
      <c r="O47" s="420"/>
      <c r="P47" s="420"/>
      <c r="Q47" s="420"/>
      <c r="R47" s="420"/>
      <c r="S47" s="420"/>
      <c r="T47" s="420"/>
      <c r="U47" s="420"/>
      <c r="V47" s="415"/>
      <c r="W47" s="699" t="s">
        <v>1614</v>
      </c>
      <c r="X47" s="699"/>
      <c r="Y47" s="699"/>
      <c r="Z47" s="699"/>
      <c r="AA47" s="699"/>
      <c r="AB47" s="699"/>
      <c r="AC47" s="699"/>
      <c r="AD47" s="700"/>
    </row>
    <row r="48" spans="3:30" ht="12.75" customHeight="1">
      <c r="C48" s="419"/>
      <c r="D48" s="420"/>
      <c r="E48" s="420"/>
      <c r="F48" s="420"/>
      <c r="G48" s="420"/>
      <c r="H48" s="420"/>
      <c r="I48" s="420"/>
      <c r="J48" s="420"/>
      <c r="K48" s="420"/>
      <c r="L48" s="420"/>
      <c r="M48" s="420"/>
      <c r="N48" s="420"/>
      <c r="O48" s="420"/>
      <c r="P48" s="420"/>
      <c r="Q48" s="420"/>
      <c r="R48" s="420"/>
      <c r="S48" s="420"/>
      <c r="T48" s="420"/>
      <c r="U48" s="420"/>
      <c r="V48" s="415"/>
      <c r="W48" s="506" t="str">
        <f>RAB!G6</f>
        <v>PT AGUSTA JAYA BETON</v>
      </c>
      <c r="X48" s="506"/>
      <c r="Y48" s="506"/>
      <c r="Z48" s="506"/>
      <c r="AA48" s="506"/>
      <c r="AB48" s="506"/>
      <c r="AC48" s="506"/>
      <c r="AD48" s="507"/>
    </row>
    <row r="49" spans="3:30">
      <c r="C49" s="419"/>
      <c r="D49" s="420"/>
      <c r="E49" s="420"/>
      <c r="F49" s="420"/>
      <c r="G49" s="420"/>
      <c r="H49" s="420"/>
      <c r="I49" s="420"/>
      <c r="J49" s="420"/>
      <c r="K49" s="420"/>
      <c r="L49" s="420"/>
      <c r="M49" s="420"/>
      <c r="N49" s="420"/>
      <c r="O49" s="420"/>
      <c r="P49" s="420"/>
      <c r="Q49" s="420"/>
      <c r="R49" s="420"/>
      <c r="S49" s="420"/>
      <c r="T49" s="420"/>
      <c r="U49" s="420"/>
      <c r="V49" s="421"/>
      <c r="W49" s="506" t="str">
        <f>RAB!G7</f>
        <v>JL. RAYA SEMARANG-PURWODADI DESA GUBUG</v>
      </c>
      <c r="X49" s="506"/>
      <c r="Y49" s="506"/>
      <c r="Z49" s="506"/>
      <c r="AA49" s="506"/>
      <c r="AB49" s="506"/>
      <c r="AC49" s="506"/>
      <c r="AD49" s="507"/>
    </row>
    <row r="50" spans="3:30">
      <c r="C50" s="419"/>
      <c r="D50" s="420"/>
      <c r="E50" s="420"/>
      <c r="F50" s="420"/>
      <c r="G50" s="420"/>
      <c r="H50" s="420"/>
      <c r="I50" s="420"/>
      <c r="J50" s="420"/>
      <c r="K50" s="420"/>
      <c r="L50" s="420"/>
      <c r="M50" s="420"/>
      <c r="N50" s="420"/>
      <c r="O50" s="420"/>
      <c r="P50" s="420"/>
      <c r="Q50" s="420"/>
      <c r="R50" s="420"/>
      <c r="S50" s="420"/>
      <c r="T50" s="420"/>
      <c r="U50" s="420"/>
      <c r="V50" s="421"/>
      <c r="W50" s="506"/>
      <c r="X50" s="506"/>
      <c r="Y50" s="506"/>
      <c r="Z50" s="506"/>
      <c r="AA50" s="506"/>
      <c r="AB50" s="506"/>
      <c r="AC50" s="506"/>
      <c r="AD50" s="507"/>
    </row>
    <row r="51" spans="3:30" ht="19.5" customHeight="1">
      <c r="C51" s="419"/>
      <c r="D51" s="420"/>
      <c r="E51" s="420"/>
      <c r="F51" s="420"/>
      <c r="G51" s="420"/>
      <c r="H51" s="420"/>
      <c r="I51" s="420"/>
      <c r="J51" s="420"/>
      <c r="K51" s="420"/>
      <c r="L51" s="420"/>
      <c r="M51" s="420"/>
      <c r="N51" s="420"/>
      <c r="O51" s="420"/>
      <c r="P51" s="420"/>
      <c r="Q51" s="420"/>
      <c r="R51" s="420"/>
      <c r="S51" s="420"/>
      <c r="T51" s="420"/>
      <c r="U51" s="420"/>
      <c r="V51" s="421"/>
      <c r="W51" s="508"/>
      <c r="X51" s="508"/>
      <c r="Y51" s="508"/>
      <c r="Z51" s="508"/>
      <c r="AA51" s="508"/>
      <c r="AB51" s="508"/>
      <c r="AC51" s="508"/>
      <c r="AD51" s="509"/>
    </row>
    <row r="52" spans="3:30">
      <c r="C52" s="419"/>
      <c r="D52" s="420"/>
      <c r="E52" s="420"/>
      <c r="F52" s="420"/>
      <c r="G52" s="420"/>
      <c r="H52" s="420"/>
      <c r="I52" s="420"/>
      <c r="J52" s="420"/>
      <c r="K52" s="420"/>
      <c r="L52" s="420"/>
      <c r="M52" s="420"/>
      <c r="N52" s="420"/>
      <c r="O52" s="420"/>
      <c r="P52" s="420"/>
      <c r="Q52" s="420"/>
      <c r="R52" s="420"/>
      <c r="S52" s="420"/>
      <c r="T52" s="420"/>
      <c r="U52" s="420"/>
      <c r="V52" s="415"/>
      <c r="W52" s="696" t="s">
        <v>1615</v>
      </c>
      <c r="X52" s="697"/>
      <c r="Y52" s="659" t="s">
        <v>1616</v>
      </c>
      <c r="Z52" s="659"/>
      <c r="AA52" s="659"/>
      <c r="AB52" s="659"/>
      <c r="AC52" s="659"/>
      <c r="AD52" s="660"/>
    </row>
    <row r="53" spans="3:30">
      <c r="C53" s="419"/>
      <c r="D53" s="420"/>
      <c r="E53" s="420"/>
      <c r="F53" s="420"/>
      <c r="G53" s="420"/>
      <c r="H53" s="420"/>
      <c r="I53" s="420"/>
      <c r="J53" s="420"/>
      <c r="K53" s="420"/>
      <c r="L53" s="420"/>
      <c r="M53" s="420"/>
      <c r="N53" s="420"/>
      <c r="O53" s="420"/>
      <c r="P53" s="420"/>
      <c r="Q53" s="420"/>
      <c r="R53" s="420"/>
      <c r="S53" s="420"/>
      <c r="T53" s="420"/>
      <c r="V53" s="415"/>
      <c r="W53" s="696" t="s">
        <v>1617</v>
      </c>
      <c r="X53" s="697"/>
      <c r="Y53" s="659" t="s">
        <v>1647</v>
      </c>
      <c r="Z53" s="659"/>
      <c r="AA53" s="659"/>
      <c r="AB53" s="659"/>
      <c r="AC53" s="659"/>
      <c r="AD53" s="660"/>
    </row>
    <row r="54" spans="3:30">
      <c r="C54" s="419"/>
      <c r="D54" s="420"/>
      <c r="E54" s="420"/>
      <c r="F54" s="420"/>
      <c r="G54" s="420"/>
      <c r="H54" s="420"/>
      <c r="I54" s="420"/>
      <c r="J54" s="420"/>
      <c r="K54" s="420"/>
      <c r="L54" s="420"/>
      <c r="M54" s="420"/>
      <c r="N54" s="420"/>
      <c r="O54" s="420"/>
      <c r="P54" s="420"/>
      <c r="Q54" s="420"/>
      <c r="R54" s="420"/>
      <c r="S54" s="420"/>
      <c r="T54" s="420"/>
      <c r="V54" s="415"/>
      <c r="W54" s="696" t="s">
        <v>1618</v>
      </c>
      <c r="X54" s="697"/>
      <c r="Y54" s="659" t="s">
        <v>1619</v>
      </c>
      <c r="Z54" s="659"/>
      <c r="AA54" s="659"/>
      <c r="AB54" s="659"/>
      <c r="AC54" s="659"/>
      <c r="AD54" s="660"/>
    </row>
    <row r="55" spans="3:30" ht="12.75" thickBot="1">
      <c r="C55" s="422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  <c r="S55" s="423"/>
      <c r="T55" s="423"/>
      <c r="U55" s="424"/>
      <c r="V55" s="425"/>
      <c r="W55" s="704" t="s">
        <v>1620</v>
      </c>
      <c r="X55" s="705"/>
      <c r="Y55" s="706" t="s">
        <v>1621</v>
      </c>
      <c r="Z55" s="706"/>
      <c r="AA55" s="706"/>
      <c r="AB55" s="706"/>
      <c r="AC55" s="706"/>
      <c r="AD55" s="707"/>
    </row>
  </sheetData>
  <mergeCells count="120"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</mergeCells>
  <phoneticPr fontId="176" type="noConversion"/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3BBB9-07D4-4669-A45C-7368DE8181F3}">
  <sheetPr>
    <tabColor rgb="FF92D050"/>
  </sheetPr>
  <dimension ref="A1:AD120"/>
  <sheetViews>
    <sheetView view="pageBreakPreview" zoomScale="40" zoomScaleNormal="40" zoomScaleSheetLayoutView="40" workbookViewId="0">
      <selection activeCell="AI31" sqref="AI31"/>
    </sheetView>
  </sheetViews>
  <sheetFormatPr defaultColWidth="9.140625" defaultRowHeight="12.75"/>
  <cols>
    <col min="1" max="1" width="1.7109375" style="481" customWidth="1"/>
    <col min="2" max="2" width="10.7109375" style="481" customWidth="1"/>
    <col min="3" max="3" width="2.42578125" style="481" customWidth="1"/>
    <col min="4" max="20" width="9.140625" style="481"/>
    <col min="21" max="21" width="14.42578125" style="481" customWidth="1"/>
    <col min="22" max="22" width="3.140625" style="481" customWidth="1"/>
    <col min="23" max="26" width="9.140625" style="481"/>
    <col min="27" max="27" width="2.85546875" style="481" customWidth="1"/>
    <col min="28" max="30" width="4.7109375" style="481" customWidth="1"/>
    <col min="31" max="31" width="1.7109375" style="481" customWidth="1"/>
    <col min="32" max="16384" width="9.140625" style="481"/>
  </cols>
  <sheetData>
    <row r="1" spans="1:29">
      <c r="A1" s="440"/>
      <c r="B1" s="441"/>
      <c r="C1" s="441"/>
      <c r="D1" s="441"/>
      <c r="E1" s="441"/>
      <c r="F1" s="441"/>
      <c r="G1" s="441"/>
      <c r="H1" s="441"/>
      <c r="I1" s="441"/>
      <c r="J1" s="441"/>
      <c r="K1" s="441"/>
      <c r="L1" s="441"/>
      <c r="M1" s="441"/>
      <c r="N1" s="441"/>
      <c r="O1" s="441"/>
      <c r="P1" s="441"/>
      <c r="Q1" s="441"/>
      <c r="R1" s="441"/>
      <c r="S1" s="441"/>
      <c r="T1" s="441"/>
      <c r="U1" s="441"/>
      <c r="V1" s="441"/>
      <c r="W1" s="442"/>
    </row>
    <row r="2" spans="1:29">
      <c r="A2" s="443"/>
      <c r="W2" s="444"/>
    </row>
    <row r="3" spans="1:29" ht="12.75" customHeight="1">
      <c r="A3" s="443"/>
      <c r="C3" s="708" t="s">
        <v>1622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444"/>
      <c r="X3" s="492"/>
      <c r="Y3" s="492"/>
      <c r="Z3" s="492"/>
      <c r="AA3" s="492"/>
      <c r="AB3" s="492"/>
      <c r="AC3" s="482"/>
    </row>
    <row r="4" spans="1:29" ht="18.75" customHeight="1">
      <c r="A4" s="443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444"/>
      <c r="X4" s="492"/>
      <c r="Y4" s="492"/>
      <c r="Z4" s="492"/>
      <c r="AA4" s="492"/>
      <c r="AB4" s="492"/>
      <c r="AC4" s="482"/>
    </row>
    <row r="5" spans="1:29" ht="12.75" customHeight="1">
      <c r="A5" s="443"/>
      <c r="C5" s="483"/>
      <c r="W5" s="444"/>
    </row>
    <row r="6" spans="1:29" ht="12.75" customHeight="1">
      <c r="A6" s="443"/>
      <c r="C6" s="709" t="s">
        <v>1660</v>
      </c>
      <c r="D6" s="709"/>
      <c r="E6" s="709"/>
      <c r="F6" s="709"/>
      <c r="G6" s="709"/>
      <c r="H6" s="709"/>
      <c r="I6" s="709"/>
      <c r="J6" s="709"/>
      <c r="K6" s="709"/>
      <c r="L6" s="709"/>
      <c r="M6" s="709"/>
      <c r="W6" s="444"/>
      <c r="Y6" s="484"/>
      <c r="Z6" s="484"/>
      <c r="AA6" s="484"/>
      <c r="AB6" s="485"/>
      <c r="AC6" s="485"/>
    </row>
    <row r="7" spans="1:29" ht="18" customHeight="1">
      <c r="A7" s="443"/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W7" s="444"/>
      <c r="Y7" s="484"/>
      <c r="Z7" s="484"/>
      <c r="AA7" s="484"/>
      <c r="AB7" s="485"/>
      <c r="AC7" s="485"/>
    </row>
    <row r="8" spans="1:29">
      <c r="A8" s="443"/>
      <c r="W8" s="444"/>
    </row>
    <row r="9" spans="1:29">
      <c r="A9" s="443"/>
      <c r="W9" s="444"/>
    </row>
    <row r="10" spans="1:29">
      <c r="A10" s="443"/>
      <c r="W10" s="444"/>
    </row>
    <row r="11" spans="1:29">
      <c r="A11" s="443"/>
      <c r="W11" s="444"/>
    </row>
    <row r="12" spans="1:29">
      <c r="A12" s="443"/>
      <c r="D12" s="486"/>
      <c r="W12" s="444"/>
    </row>
    <row r="13" spans="1:29">
      <c r="A13" s="443"/>
      <c r="W13" s="444"/>
    </row>
    <row r="14" spans="1:29">
      <c r="A14" s="443"/>
      <c r="W14" s="444"/>
    </row>
    <row r="15" spans="1:29">
      <c r="A15" s="443"/>
      <c r="W15" s="444"/>
    </row>
    <row r="16" spans="1:29">
      <c r="A16" s="443"/>
      <c r="W16" s="444"/>
    </row>
    <row r="17" spans="1:23">
      <c r="A17" s="443"/>
      <c r="W17" s="444"/>
    </row>
    <row r="18" spans="1:23">
      <c r="A18" s="443"/>
      <c r="W18" s="444"/>
    </row>
    <row r="19" spans="1:23">
      <c r="A19" s="443"/>
      <c r="W19" s="444"/>
    </row>
    <row r="20" spans="1:23">
      <c r="A20" s="443"/>
      <c r="W20" s="444"/>
    </row>
    <row r="21" spans="1:23">
      <c r="A21" s="443"/>
      <c r="W21" s="444"/>
    </row>
    <row r="22" spans="1:23">
      <c r="A22" s="443"/>
      <c r="W22" s="444"/>
    </row>
    <row r="23" spans="1:23">
      <c r="A23" s="443"/>
      <c r="W23" s="444"/>
    </row>
    <row r="24" spans="1:23">
      <c r="A24" s="443"/>
      <c r="W24" s="444"/>
    </row>
    <row r="25" spans="1:23">
      <c r="A25" s="443"/>
      <c r="W25" s="444"/>
    </row>
    <row r="26" spans="1:23">
      <c r="A26" s="443"/>
      <c r="W26" s="444"/>
    </row>
    <row r="27" spans="1:23">
      <c r="A27" s="443"/>
      <c r="W27" s="444"/>
    </row>
    <row r="28" spans="1:23">
      <c r="A28" s="443"/>
      <c r="W28" s="444"/>
    </row>
    <row r="29" spans="1:23">
      <c r="A29" s="443"/>
      <c r="W29" s="444"/>
    </row>
    <row r="30" spans="1:23">
      <c r="A30" s="443"/>
      <c r="W30" s="444"/>
    </row>
    <row r="31" spans="1:23">
      <c r="A31" s="443"/>
      <c r="W31" s="444"/>
    </row>
    <row r="32" spans="1:23">
      <c r="A32" s="443"/>
      <c r="W32" s="444"/>
    </row>
    <row r="33" spans="1:23">
      <c r="A33" s="443"/>
      <c r="W33" s="444"/>
    </row>
    <row r="34" spans="1:23">
      <c r="A34" s="443"/>
      <c r="W34" s="444"/>
    </row>
    <row r="35" spans="1:23">
      <c r="A35" s="443"/>
      <c r="W35" s="444"/>
    </row>
    <row r="36" spans="1:23">
      <c r="A36" s="443"/>
      <c r="W36" s="444"/>
    </row>
    <row r="37" spans="1:23">
      <c r="A37" s="443"/>
      <c r="W37" s="444"/>
    </row>
    <row r="38" spans="1:23">
      <c r="A38" s="443"/>
      <c r="W38" s="444"/>
    </row>
    <row r="39" spans="1:23">
      <c r="A39" s="443"/>
      <c r="W39" s="444"/>
    </row>
    <row r="40" spans="1:23">
      <c r="A40" s="443"/>
      <c r="W40" s="444"/>
    </row>
    <row r="41" spans="1:23">
      <c r="A41" s="443"/>
      <c r="W41" s="444"/>
    </row>
    <row r="42" spans="1:23">
      <c r="A42" s="443"/>
      <c r="W42" s="444"/>
    </row>
    <row r="43" spans="1:23">
      <c r="A43" s="443"/>
      <c r="W43" s="444"/>
    </row>
    <row r="44" spans="1:23">
      <c r="A44" s="443"/>
      <c r="W44" s="444"/>
    </row>
    <row r="45" spans="1:23">
      <c r="A45" s="443"/>
      <c r="W45" s="444"/>
    </row>
    <row r="46" spans="1:23">
      <c r="A46" s="443"/>
      <c r="W46" s="444"/>
    </row>
    <row r="47" spans="1:23">
      <c r="A47" s="443"/>
      <c r="W47" s="444"/>
    </row>
    <row r="48" spans="1:23">
      <c r="A48" s="443"/>
      <c r="W48" s="444"/>
    </row>
    <row r="49" spans="1:30">
      <c r="A49" s="443"/>
      <c r="W49" s="444"/>
    </row>
    <row r="50" spans="1:30">
      <c r="A50" s="443"/>
      <c r="W50" s="444"/>
    </row>
    <row r="51" spans="1:30">
      <c r="A51" s="443"/>
      <c r="W51" s="444"/>
    </row>
    <row r="52" spans="1:30">
      <c r="A52" s="443"/>
      <c r="W52" s="444"/>
    </row>
    <row r="53" spans="1:30">
      <c r="A53" s="443"/>
      <c r="W53" s="444"/>
    </row>
    <row r="54" spans="1:30">
      <c r="A54" s="443"/>
      <c r="R54" s="487"/>
      <c r="S54" s="487"/>
      <c r="T54" s="487"/>
      <c r="U54" s="488"/>
      <c r="V54" s="488"/>
      <c r="W54" s="445"/>
      <c r="X54" s="488"/>
      <c r="Y54" s="488"/>
      <c r="Z54" s="488"/>
      <c r="AA54" s="488"/>
      <c r="AB54" s="488"/>
      <c r="AC54" s="488"/>
      <c r="AD54" s="488"/>
    </row>
    <row r="55" spans="1:30" ht="13.5" thickBot="1">
      <c r="A55" s="446"/>
      <c r="B55" s="447"/>
      <c r="C55" s="447"/>
      <c r="D55" s="447"/>
      <c r="E55" s="447"/>
      <c r="F55" s="447"/>
      <c r="G55" s="447"/>
      <c r="H55" s="447"/>
      <c r="I55" s="447"/>
      <c r="J55" s="447"/>
      <c r="K55" s="447"/>
      <c r="L55" s="447"/>
      <c r="M55" s="447"/>
      <c r="N55" s="447"/>
      <c r="O55" s="447"/>
      <c r="P55" s="447"/>
      <c r="Q55" s="447"/>
      <c r="R55" s="493"/>
      <c r="S55" s="494"/>
      <c r="T55" s="494"/>
      <c r="U55" s="448"/>
      <c r="V55" s="449"/>
      <c r="W55" s="450"/>
      <c r="X55" s="488"/>
      <c r="Y55" s="488"/>
      <c r="Z55" s="488"/>
      <c r="AA55" s="489"/>
      <c r="AB55" s="489"/>
      <c r="AC55" s="489"/>
      <c r="AD55" s="489"/>
    </row>
    <row r="56" spans="1:30">
      <c r="U56" s="488"/>
      <c r="V56" s="489"/>
      <c r="W56" s="488"/>
      <c r="X56" s="488"/>
      <c r="Y56" s="488"/>
      <c r="Z56" s="488"/>
      <c r="AA56" s="489"/>
      <c r="AB56" s="488"/>
      <c r="AC56" s="488"/>
      <c r="AD56" s="488"/>
    </row>
    <row r="57" spans="1:30">
      <c r="U57" s="488"/>
      <c r="V57" s="489"/>
      <c r="W57" s="488"/>
      <c r="X57" s="488"/>
      <c r="Y57" s="488"/>
      <c r="Z57" s="488"/>
      <c r="AA57" s="488"/>
      <c r="AB57" s="488"/>
      <c r="AC57" s="488"/>
      <c r="AD57" s="488"/>
    </row>
    <row r="58" spans="1:30">
      <c r="U58" s="488"/>
      <c r="V58" s="489"/>
      <c r="W58" s="488"/>
      <c r="X58" s="488"/>
      <c r="Y58" s="488"/>
      <c r="Z58" s="488"/>
      <c r="AA58" s="488"/>
      <c r="AB58" s="488"/>
      <c r="AC58" s="488"/>
      <c r="AD58" s="488"/>
    </row>
    <row r="59" spans="1:30">
      <c r="U59" s="488"/>
      <c r="V59" s="489"/>
      <c r="W59" s="488"/>
      <c r="X59" s="488"/>
      <c r="Y59" s="488"/>
      <c r="Z59" s="488"/>
      <c r="AA59" s="488"/>
      <c r="AB59" s="488"/>
      <c r="AC59" s="488"/>
      <c r="AD59" s="488"/>
    </row>
    <row r="60" spans="1:30">
      <c r="U60" s="488"/>
      <c r="V60" s="489"/>
      <c r="W60" s="488"/>
      <c r="X60" s="488"/>
      <c r="Y60" s="488"/>
      <c r="Z60" s="488"/>
      <c r="AA60" s="489"/>
      <c r="AB60" s="488"/>
      <c r="AC60" s="488"/>
      <c r="AD60" s="488"/>
    </row>
    <row r="61" spans="1:30">
      <c r="U61" s="488"/>
      <c r="V61" s="489"/>
      <c r="W61" s="488"/>
      <c r="X61" s="488"/>
      <c r="Y61" s="488"/>
      <c r="Z61" s="488"/>
      <c r="AA61" s="488"/>
      <c r="AB61" s="488"/>
      <c r="AC61" s="488"/>
      <c r="AD61" s="488"/>
    </row>
    <row r="62" spans="1:30">
      <c r="U62" s="488"/>
      <c r="V62" s="489"/>
      <c r="W62" s="488"/>
      <c r="X62" s="488"/>
      <c r="Y62" s="488"/>
      <c r="Z62" s="488"/>
      <c r="AA62" s="488"/>
      <c r="AB62" s="488"/>
      <c r="AC62" s="488"/>
      <c r="AD62" s="488"/>
    </row>
    <row r="63" spans="1:30">
      <c r="U63" s="488"/>
      <c r="V63" s="489"/>
      <c r="W63" s="488"/>
      <c r="X63" s="488"/>
      <c r="Y63" s="488"/>
      <c r="Z63" s="488"/>
      <c r="AA63" s="488"/>
      <c r="AB63" s="488"/>
      <c r="AC63" s="488"/>
      <c r="AD63" s="488"/>
    </row>
    <row r="64" spans="1:30">
      <c r="U64" s="488"/>
      <c r="V64" s="489"/>
      <c r="W64" s="488"/>
      <c r="X64" s="488"/>
      <c r="Y64" s="488"/>
      <c r="Z64" s="488"/>
      <c r="AA64" s="488"/>
      <c r="AB64" s="488"/>
      <c r="AC64" s="488"/>
      <c r="AD64" s="488"/>
    </row>
    <row r="65" spans="5:30">
      <c r="U65" s="488"/>
      <c r="V65" s="489"/>
      <c r="W65" s="488"/>
      <c r="X65" s="488"/>
      <c r="Y65" s="488"/>
      <c r="Z65" s="488"/>
      <c r="AA65" s="488"/>
      <c r="AB65" s="488"/>
      <c r="AC65" s="488"/>
      <c r="AD65" s="488"/>
    </row>
    <row r="66" spans="5:30" ht="6" customHeight="1"/>
    <row r="73" spans="5:30">
      <c r="M73" s="490"/>
    </row>
    <row r="74" spans="5:30" ht="15" customHeight="1">
      <c r="E74" s="491"/>
      <c r="M74" s="490"/>
    </row>
    <row r="75" spans="5:30" ht="15" customHeight="1">
      <c r="E75" s="491"/>
      <c r="M75" s="490"/>
    </row>
    <row r="76" spans="5:30" ht="15" customHeight="1">
      <c r="E76" s="491"/>
      <c r="M76" s="490"/>
    </row>
    <row r="77" spans="5:30" ht="15" customHeight="1">
      <c r="E77" s="491"/>
      <c r="M77" s="490"/>
    </row>
    <row r="78" spans="5:30" ht="15" customHeight="1">
      <c r="E78" s="491"/>
      <c r="M78" s="490"/>
    </row>
    <row r="79" spans="5:30" ht="15" customHeight="1">
      <c r="E79" s="491"/>
      <c r="M79" s="490"/>
    </row>
    <row r="80" spans="5:30" ht="15" customHeight="1">
      <c r="E80" s="491"/>
      <c r="M80" s="490"/>
    </row>
    <row r="81" spans="5:13" ht="15" customHeight="1">
      <c r="E81" s="491"/>
      <c r="M81" s="490"/>
    </row>
    <row r="82" spans="5:13" ht="15" customHeight="1">
      <c r="E82" s="491"/>
      <c r="M82" s="490"/>
    </row>
    <row r="83" spans="5:13" ht="15" customHeight="1">
      <c r="E83" s="491"/>
      <c r="M83" s="490"/>
    </row>
    <row r="84" spans="5:13" ht="15" customHeight="1">
      <c r="E84" s="491"/>
      <c r="M84" s="490"/>
    </row>
    <row r="85" spans="5:13" ht="15" customHeight="1">
      <c r="E85" s="491"/>
      <c r="M85" s="490"/>
    </row>
    <row r="86" spans="5:13" ht="15" customHeight="1">
      <c r="E86" s="491"/>
      <c r="M86" s="490"/>
    </row>
    <row r="87" spans="5:13" ht="15" customHeight="1">
      <c r="E87" s="491"/>
      <c r="M87" s="490"/>
    </row>
    <row r="88" spans="5:13" ht="15" customHeight="1">
      <c r="E88" s="491"/>
      <c r="M88" s="490"/>
    </row>
    <row r="89" spans="5:13" ht="15" customHeight="1">
      <c r="E89" s="491"/>
      <c r="M89" s="490"/>
    </row>
    <row r="90" spans="5:13" ht="15" customHeight="1">
      <c r="E90" s="491"/>
      <c r="M90" s="490"/>
    </row>
    <row r="91" spans="5:13" ht="15" customHeight="1">
      <c r="E91" s="491"/>
      <c r="M91" s="490"/>
    </row>
    <row r="92" spans="5:13" ht="15" customHeight="1">
      <c r="E92" s="491"/>
      <c r="M92" s="490"/>
    </row>
    <row r="93" spans="5:13" ht="15" customHeight="1">
      <c r="E93" s="491"/>
      <c r="M93" s="490"/>
    </row>
    <row r="94" spans="5:13" ht="15" customHeight="1">
      <c r="E94" s="491"/>
      <c r="M94" s="490"/>
    </row>
    <row r="95" spans="5:13" ht="15" customHeight="1">
      <c r="E95" s="491"/>
      <c r="M95" s="490"/>
    </row>
    <row r="96" spans="5:13" ht="15" customHeight="1">
      <c r="E96" s="491"/>
    </row>
    <row r="97" spans="5:5" ht="15" customHeight="1">
      <c r="E97" s="491"/>
    </row>
    <row r="98" spans="5:5" ht="15" customHeight="1">
      <c r="E98" s="491"/>
    </row>
    <row r="99" spans="5:5" ht="15" customHeight="1">
      <c r="E99" s="491"/>
    </row>
    <row r="100" spans="5:5" ht="15" customHeight="1">
      <c r="E100" s="491"/>
    </row>
    <row r="101" spans="5:5" ht="15" customHeight="1">
      <c r="E101" s="491"/>
    </row>
    <row r="102" spans="5:5" ht="15" customHeight="1">
      <c r="E102" s="491"/>
    </row>
    <row r="103" spans="5:5" ht="15" customHeight="1">
      <c r="E103" s="491"/>
    </row>
    <row r="104" spans="5:5" ht="15" customHeight="1">
      <c r="E104" s="491"/>
    </row>
    <row r="105" spans="5:5" ht="15" customHeight="1">
      <c r="E105" s="491"/>
    </row>
    <row r="106" spans="5:5" ht="15" customHeight="1">
      <c r="E106" s="491"/>
    </row>
    <row r="107" spans="5:5" ht="15" customHeight="1">
      <c r="E107" s="491"/>
    </row>
    <row r="108" spans="5:5" ht="15" customHeight="1">
      <c r="E108" s="491"/>
    </row>
    <row r="109" spans="5:5" ht="15" customHeight="1">
      <c r="E109" s="491"/>
    </row>
    <row r="110" spans="5:5" ht="15" customHeight="1">
      <c r="E110" s="491"/>
    </row>
    <row r="111" spans="5:5" ht="15" customHeight="1">
      <c r="E111" s="491"/>
    </row>
    <row r="112" spans="5:5" ht="15" customHeight="1">
      <c r="E112" s="491"/>
    </row>
    <row r="113" spans="5:5" ht="15" customHeight="1">
      <c r="E113" s="491"/>
    </row>
    <row r="114" spans="5:5" ht="15" customHeight="1">
      <c r="E114" s="491"/>
    </row>
    <row r="115" spans="5:5" ht="15" customHeight="1">
      <c r="E115" s="491"/>
    </row>
    <row r="116" spans="5:5" ht="15" customHeight="1">
      <c r="E116" s="491"/>
    </row>
    <row r="117" spans="5:5" ht="15" customHeight="1">
      <c r="E117" s="491"/>
    </row>
    <row r="118" spans="5:5" ht="15" customHeight="1">
      <c r="E118" s="491"/>
    </row>
    <row r="119" spans="5:5" ht="15" customHeight="1">
      <c r="E119" s="491"/>
    </row>
    <row r="120" spans="5:5">
      <c r="E120" s="491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582FC-4E08-42C1-91EF-22FAC09FC13A}">
  <sheetPr>
    <tabColor rgb="FF92D050"/>
  </sheetPr>
  <dimension ref="B1:AF68"/>
  <sheetViews>
    <sheetView view="pageBreakPreview" topLeftCell="A25" zoomScale="55" zoomScaleNormal="55" zoomScaleSheetLayoutView="55" workbookViewId="0">
      <selection activeCell="AG41" sqref="AG41"/>
    </sheetView>
  </sheetViews>
  <sheetFormatPr defaultColWidth="9.140625" defaultRowHeight="12.75"/>
  <cols>
    <col min="1" max="1" width="1.7109375" style="452" customWidth="1"/>
    <col min="2" max="2" width="1.42578125" style="452" customWidth="1"/>
    <col min="3" max="3" width="10.7109375" style="452" customWidth="1"/>
    <col min="4" max="4" width="2.42578125" style="452" customWidth="1"/>
    <col min="5" max="21" width="9.140625" style="452"/>
    <col min="22" max="22" width="14.42578125" style="452" customWidth="1"/>
    <col min="23" max="23" width="3.140625" style="452" customWidth="1"/>
    <col min="24" max="27" width="9.140625" style="452"/>
    <col min="28" max="28" width="2.85546875" style="452" customWidth="1"/>
    <col min="29" max="31" width="4.7109375" style="452" customWidth="1"/>
    <col min="32" max="32" width="1.7109375" style="452" customWidth="1"/>
    <col min="33" max="16384" width="9.140625" style="452"/>
  </cols>
  <sheetData>
    <row r="1" spans="2:32" ht="13.5" thickBot="1"/>
    <row r="2" spans="2:32" ht="6" customHeight="1" thickBot="1">
      <c r="B2" s="453"/>
      <c r="C2" s="454"/>
      <c r="D2" s="454"/>
      <c r="E2" s="454"/>
      <c r="F2" s="454"/>
      <c r="G2" s="454"/>
      <c r="H2" s="454"/>
      <c r="I2" s="454"/>
      <c r="J2" s="454"/>
      <c r="K2" s="454"/>
      <c r="L2" s="454"/>
      <c r="M2" s="454"/>
      <c r="N2" s="454"/>
      <c r="O2" s="454"/>
      <c r="P2" s="454"/>
      <c r="Q2" s="454"/>
      <c r="R2" s="454"/>
      <c r="S2" s="454"/>
      <c r="T2" s="454"/>
      <c r="U2" s="454"/>
      <c r="V2" s="454"/>
      <c r="W2" s="454"/>
      <c r="X2" s="454"/>
      <c r="Y2" s="454"/>
      <c r="Z2" s="454"/>
      <c r="AA2" s="454"/>
      <c r="AB2" s="454"/>
      <c r="AC2" s="454"/>
      <c r="AD2" s="454"/>
      <c r="AE2" s="454"/>
      <c r="AF2" s="455"/>
    </row>
    <row r="3" spans="2:32" ht="13.5" thickBot="1">
      <c r="B3" s="456"/>
      <c r="C3" s="453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454"/>
      <c r="Z3" s="454"/>
      <c r="AA3" s="454"/>
      <c r="AB3" s="454"/>
      <c r="AC3" s="454"/>
      <c r="AD3" s="454"/>
      <c r="AE3" s="455"/>
      <c r="AF3" s="457"/>
    </row>
    <row r="4" spans="2:32" ht="12.75" customHeight="1">
      <c r="B4" s="456"/>
      <c r="C4" s="456"/>
      <c r="D4" s="710" t="s">
        <v>1623</v>
      </c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2"/>
      <c r="AD4" s="458"/>
      <c r="AE4" s="457"/>
      <c r="AF4" s="457"/>
    </row>
    <row r="5" spans="2:32" ht="13.5" customHeight="1">
      <c r="B5" s="456"/>
      <c r="C5" s="456"/>
      <c r="D5" s="713"/>
      <c r="E5" s="708"/>
      <c r="F5" s="708"/>
      <c r="G5" s="708"/>
      <c r="H5" s="708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  <c r="U5" s="708"/>
      <c r="V5" s="708"/>
      <c r="W5" s="708"/>
      <c r="X5" s="708"/>
      <c r="Y5" s="708"/>
      <c r="Z5" s="708"/>
      <c r="AA5" s="708"/>
      <c r="AB5" s="708"/>
      <c r="AC5" s="714"/>
      <c r="AD5" s="458"/>
      <c r="AE5" s="457"/>
      <c r="AF5" s="457"/>
    </row>
    <row r="6" spans="2:32" ht="12.75" customHeight="1">
      <c r="B6" s="456"/>
      <c r="C6" s="456"/>
      <c r="D6" s="713"/>
      <c r="E6" s="708"/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14"/>
      <c r="AE6" s="457"/>
      <c r="AF6" s="457"/>
    </row>
    <row r="7" spans="2:32" ht="12.75" customHeight="1" thickBot="1">
      <c r="B7" s="456"/>
      <c r="C7" s="456"/>
      <c r="D7" s="715"/>
      <c r="E7" s="716"/>
      <c r="F7" s="716"/>
      <c r="G7" s="716"/>
      <c r="H7" s="716"/>
      <c r="I7" s="716"/>
      <c r="J7" s="716"/>
      <c r="K7" s="716"/>
      <c r="L7" s="716"/>
      <c r="M7" s="716"/>
      <c r="N7" s="716"/>
      <c r="O7" s="716"/>
      <c r="P7" s="716"/>
      <c r="Q7" s="716"/>
      <c r="R7" s="716"/>
      <c r="S7" s="716"/>
      <c r="T7" s="716"/>
      <c r="U7" s="716"/>
      <c r="V7" s="716"/>
      <c r="W7" s="716"/>
      <c r="X7" s="716"/>
      <c r="Y7" s="716"/>
      <c r="Z7" s="716"/>
      <c r="AA7" s="716"/>
      <c r="AB7" s="716"/>
      <c r="AC7" s="717"/>
      <c r="AD7" s="460"/>
      <c r="AE7" s="457"/>
      <c r="AF7" s="457"/>
    </row>
    <row r="8" spans="2:32" ht="12.75" customHeight="1">
      <c r="B8" s="456"/>
      <c r="C8" s="456"/>
      <c r="Z8" s="459"/>
      <c r="AA8" s="459"/>
      <c r="AB8" s="459"/>
      <c r="AC8" s="460"/>
      <c r="AD8" s="460"/>
      <c r="AE8" s="457"/>
      <c r="AF8" s="457"/>
    </row>
    <row r="9" spans="2:32" ht="12.75" customHeight="1">
      <c r="B9" s="456"/>
      <c r="C9" s="456"/>
      <c r="AE9" s="457"/>
      <c r="AF9" s="457"/>
    </row>
    <row r="10" spans="2:32" ht="12.75" customHeight="1">
      <c r="B10" s="456"/>
      <c r="C10" s="456"/>
      <c r="AE10" s="457"/>
      <c r="AF10" s="457"/>
    </row>
    <row r="11" spans="2:32">
      <c r="B11" s="456"/>
      <c r="C11" s="456"/>
      <c r="D11" s="462"/>
      <c r="AE11" s="457"/>
      <c r="AF11" s="457"/>
    </row>
    <row r="12" spans="2:32">
      <c r="B12" s="456"/>
      <c r="C12" s="456"/>
      <c r="AE12" s="457"/>
      <c r="AF12" s="457"/>
    </row>
    <row r="13" spans="2:32">
      <c r="B13" s="456"/>
      <c r="C13" s="456"/>
      <c r="AE13" s="457"/>
      <c r="AF13" s="457"/>
    </row>
    <row r="14" spans="2:32">
      <c r="B14" s="456"/>
      <c r="C14" s="456"/>
      <c r="AE14" s="457"/>
      <c r="AF14" s="457"/>
    </row>
    <row r="15" spans="2:32">
      <c r="B15" s="456"/>
      <c r="C15" s="456"/>
      <c r="E15" s="461"/>
      <c r="AE15" s="457"/>
      <c r="AF15" s="457"/>
    </row>
    <row r="16" spans="2:32">
      <c r="B16" s="456"/>
      <c r="C16" s="456"/>
      <c r="AE16" s="457"/>
      <c r="AF16" s="457"/>
    </row>
    <row r="17" spans="2:32">
      <c r="B17" s="456"/>
      <c r="C17" s="456"/>
      <c r="AE17" s="457"/>
      <c r="AF17" s="457"/>
    </row>
    <row r="18" spans="2:32">
      <c r="B18" s="456"/>
      <c r="C18" s="456"/>
      <c r="AE18" s="457"/>
      <c r="AF18" s="457"/>
    </row>
    <row r="19" spans="2:32">
      <c r="B19" s="456"/>
      <c r="C19" s="456"/>
      <c r="AE19" s="457"/>
      <c r="AF19" s="457"/>
    </row>
    <row r="20" spans="2:32">
      <c r="B20" s="456"/>
      <c r="C20" s="456"/>
      <c r="AE20" s="457"/>
      <c r="AF20" s="457"/>
    </row>
    <row r="21" spans="2:32">
      <c r="B21" s="456"/>
      <c r="C21" s="456"/>
      <c r="AE21" s="457"/>
      <c r="AF21" s="457"/>
    </row>
    <row r="22" spans="2:32">
      <c r="B22" s="456"/>
      <c r="C22" s="456"/>
      <c r="AE22" s="457"/>
      <c r="AF22" s="457"/>
    </row>
    <row r="23" spans="2:32">
      <c r="B23" s="456"/>
      <c r="C23" s="456"/>
      <c r="AE23" s="457"/>
      <c r="AF23" s="457"/>
    </row>
    <row r="24" spans="2:32">
      <c r="B24" s="456"/>
      <c r="C24" s="456"/>
      <c r="AE24" s="457"/>
      <c r="AF24" s="457"/>
    </row>
    <row r="25" spans="2:32">
      <c r="B25" s="456"/>
      <c r="C25" s="456"/>
      <c r="AE25" s="457"/>
      <c r="AF25" s="457"/>
    </row>
    <row r="26" spans="2:32">
      <c r="B26" s="456"/>
      <c r="C26" s="456"/>
      <c r="AE26" s="457"/>
      <c r="AF26" s="457"/>
    </row>
    <row r="27" spans="2:32">
      <c r="B27" s="456"/>
      <c r="C27" s="456"/>
      <c r="AE27" s="457"/>
      <c r="AF27" s="457"/>
    </row>
    <row r="28" spans="2:32">
      <c r="B28" s="456"/>
      <c r="C28" s="456"/>
      <c r="AE28" s="457"/>
      <c r="AF28" s="457"/>
    </row>
    <row r="29" spans="2:32">
      <c r="B29" s="456"/>
      <c r="C29" s="456"/>
      <c r="AE29" s="457"/>
      <c r="AF29" s="457"/>
    </row>
    <row r="30" spans="2:32">
      <c r="B30" s="456"/>
      <c r="C30" s="456"/>
      <c r="AE30" s="457"/>
      <c r="AF30" s="457"/>
    </row>
    <row r="31" spans="2:32">
      <c r="B31" s="456"/>
      <c r="C31" s="456"/>
      <c r="AE31" s="457"/>
      <c r="AF31" s="457"/>
    </row>
    <row r="32" spans="2:32">
      <c r="B32" s="456"/>
      <c r="C32" s="456"/>
      <c r="AE32" s="457"/>
      <c r="AF32" s="457"/>
    </row>
    <row r="33" spans="2:32">
      <c r="B33" s="456"/>
      <c r="C33" s="456"/>
      <c r="AE33" s="457"/>
      <c r="AF33" s="457"/>
    </row>
    <row r="34" spans="2:32">
      <c r="B34" s="456"/>
      <c r="C34" s="456"/>
      <c r="AE34" s="457"/>
      <c r="AF34" s="457"/>
    </row>
    <row r="35" spans="2:32">
      <c r="B35" s="456"/>
      <c r="C35" s="456"/>
      <c r="AE35" s="457"/>
      <c r="AF35" s="457"/>
    </row>
    <row r="36" spans="2:32">
      <c r="B36" s="456"/>
      <c r="C36" s="456"/>
      <c r="AE36" s="457"/>
      <c r="AF36" s="457"/>
    </row>
    <row r="37" spans="2:32">
      <c r="B37" s="456"/>
      <c r="C37" s="456"/>
      <c r="AE37" s="457"/>
      <c r="AF37" s="457"/>
    </row>
    <row r="38" spans="2:32">
      <c r="B38" s="456"/>
      <c r="C38" s="456"/>
      <c r="AE38" s="457"/>
      <c r="AF38" s="457"/>
    </row>
    <row r="39" spans="2:32">
      <c r="B39" s="456"/>
      <c r="C39" s="456"/>
      <c r="AE39" s="457"/>
      <c r="AF39" s="457"/>
    </row>
    <row r="40" spans="2:32">
      <c r="B40" s="456"/>
      <c r="C40" s="456"/>
      <c r="AE40" s="457"/>
      <c r="AF40" s="457"/>
    </row>
    <row r="41" spans="2:32">
      <c r="B41" s="456"/>
      <c r="C41" s="456"/>
      <c r="AE41" s="457"/>
      <c r="AF41" s="457"/>
    </row>
    <row r="42" spans="2:32">
      <c r="B42" s="456"/>
      <c r="C42" s="456"/>
      <c r="AE42" s="457"/>
      <c r="AF42" s="457"/>
    </row>
    <row r="43" spans="2:32">
      <c r="B43" s="456"/>
      <c r="C43" s="456"/>
      <c r="AE43" s="457"/>
      <c r="AF43" s="457"/>
    </row>
    <row r="44" spans="2:32">
      <c r="B44" s="456"/>
      <c r="C44" s="456"/>
      <c r="AE44" s="457"/>
      <c r="AF44" s="457"/>
    </row>
    <row r="45" spans="2:32">
      <c r="B45" s="456"/>
      <c r="C45" s="456"/>
      <c r="AE45" s="457"/>
      <c r="AF45" s="457"/>
    </row>
    <row r="46" spans="2:32">
      <c r="B46" s="456"/>
      <c r="C46" s="456"/>
      <c r="AE46" s="457"/>
      <c r="AF46" s="457"/>
    </row>
    <row r="47" spans="2:32">
      <c r="B47" s="456"/>
      <c r="C47" s="456"/>
      <c r="AE47" s="457"/>
      <c r="AF47" s="457"/>
    </row>
    <row r="48" spans="2:32">
      <c r="B48" s="456"/>
      <c r="C48" s="456"/>
      <c r="AE48" s="457"/>
      <c r="AF48" s="457"/>
    </row>
    <row r="49" spans="2:32">
      <c r="B49" s="456"/>
      <c r="C49" s="456"/>
      <c r="AE49" s="457"/>
      <c r="AF49" s="457"/>
    </row>
    <row r="50" spans="2:32">
      <c r="B50" s="456"/>
      <c r="C50" s="456"/>
      <c r="AE50" s="457"/>
      <c r="AF50" s="457"/>
    </row>
    <row r="51" spans="2:32">
      <c r="B51" s="456"/>
      <c r="C51" s="456"/>
      <c r="AE51" s="457"/>
      <c r="AF51" s="457"/>
    </row>
    <row r="52" spans="2:32">
      <c r="B52" s="456"/>
      <c r="C52" s="456"/>
      <c r="AE52" s="457"/>
      <c r="AF52" s="457"/>
    </row>
    <row r="53" spans="2:32">
      <c r="B53" s="456"/>
      <c r="C53" s="456"/>
      <c r="AE53" s="457"/>
      <c r="AF53" s="457"/>
    </row>
    <row r="54" spans="2:32">
      <c r="B54" s="456"/>
      <c r="C54" s="456"/>
      <c r="AE54" s="457"/>
      <c r="AF54" s="457"/>
    </row>
    <row r="55" spans="2:32">
      <c r="B55" s="456"/>
      <c r="C55" s="456"/>
      <c r="AE55" s="457"/>
      <c r="AF55" s="457"/>
    </row>
    <row r="56" spans="2:32">
      <c r="B56" s="456"/>
      <c r="C56" s="456"/>
      <c r="AE56" s="457"/>
      <c r="AF56" s="457"/>
    </row>
    <row r="57" spans="2:32">
      <c r="B57" s="456"/>
      <c r="C57" s="456"/>
      <c r="S57" s="462"/>
      <c r="T57" s="462"/>
      <c r="U57" s="462"/>
      <c r="V57" s="463"/>
      <c r="W57" s="463"/>
      <c r="X57" s="463"/>
      <c r="Y57" s="463"/>
      <c r="Z57" s="463"/>
      <c r="AA57" s="463"/>
      <c r="AB57" s="463"/>
      <c r="AC57" s="463"/>
      <c r="AD57" s="463"/>
      <c r="AE57" s="464"/>
      <c r="AF57" s="457"/>
    </row>
    <row r="58" spans="2:32">
      <c r="B58" s="456"/>
      <c r="C58" s="456"/>
      <c r="S58" s="465"/>
      <c r="T58" s="462"/>
      <c r="U58" s="462"/>
      <c r="V58" s="463"/>
      <c r="W58" s="466"/>
      <c r="X58" s="463"/>
      <c r="Y58" s="463"/>
      <c r="Z58" s="463"/>
      <c r="AA58" s="463"/>
      <c r="AB58" s="466"/>
      <c r="AC58" s="466"/>
      <c r="AD58" s="466"/>
      <c r="AE58" s="467"/>
      <c r="AF58" s="457"/>
    </row>
    <row r="59" spans="2:32">
      <c r="B59" s="456"/>
      <c r="C59" s="456"/>
      <c r="V59" s="463"/>
      <c r="W59" s="466"/>
      <c r="X59" s="463"/>
      <c r="Y59" s="463"/>
      <c r="Z59" s="463"/>
      <c r="AA59" s="463"/>
      <c r="AB59" s="466"/>
      <c r="AC59" s="463"/>
      <c r="AD59" s="463"/>
      <c r="AE59" s="464"/>
      <c r="AF59" s="457"/>
    </row>
    <row r="60" spans="2:32">
      <c r="B60" s="456"/>
      <c r="C60" s="456"/>
      <c r="V60" s="463"/>
      <c r="W60" s="466"/>
      <c r="X60" s="463"/>
      <c r="Y60" s="463"/>
      <c r="Z60" s="463"/>
      <c r="AA60" s="463"/>
      <c r="AB60" s="463"/>
      <c r="AC60" s="463"/>
      <c r="AD60" s="463"/>
      <c r="AE60" s="464"/>
      <c r="AF60" s="457"/>
    </row>
    <row r="61" spans="2:32">
      <c r="B61" s="456"/>
      <c r="C61" s="456"/>
      <c r="V61" s="468"/>
      <c r="W61" s="468"/>
      <c r="X61" s="468"/>
      <c r="Y61" s="468"/>
      <c r="Z61" s="468"/>
      <c r="AA61" s="468"/>
      <c r="AB61" s="468"/>
      <c r="AC61" s="468"/>
      <c r="AD61" s="468"/>
      <c r="AE61" s="469"/>
      <c r="AF61" s="457"/>
    </row>
    <row r="62" spans="2:32">
      <c r="B62" s="456"/>
      <c r="C62" s="456"/>
      <c r="V62" s="463"/>
      <c r="W62" s="463"/>
      <c r="X62" s="463"/>
      <c r="Y62" s="463"/>
      <c r="Z62" s="463"/>
      <c r="AA62" s="463"/>
      <c r="AB62" s="463"/>
      <c r="AC62" s="463"/>
      <c r="AD62" s="463"/>
      <c r="AE62" s="464"/>
      <c r="AF62" s="457"/>
    </row>
    <row r="63" spans="2:32">
      <c r="B63" s="456"/>
      <c r="C63" s="456"/>
      <c r="V63" s="463"/>
      <c r="W63" s="466"/>
      <c r="X63" s="463"/>
      <c r="Y63" s="463"/>
      <c r="Z63" s="463"/>
      <c r="AA63" s="463"/>
      <c r="AB63" s="463"/>
      <c r="AC63" s="463"/>
      <c r="AD63" s="463"/>
      <c r="AE63" s="464"/>
      <c r="AF63" s="457"/>
    </row>
    <row r="64" spans="2:32">
      <c r="B64" s="456"/>
      <c r="C64" s="456"/>
      <c r="V64" s="463"/>
      <c r="W64" s="466"/>
      <c r="X64" s="463"/>
      <c r="Y64" s="463"/>
      <c r="Z64" s="463"/>
      <c r="AA64" s="463"/>
      <c r="AB64" s="463"/>
      <c r="AC64" s="463"/>
      <c r="AD64" s="463"/>
      <c r="AE64" s="464"/>
      <c r="AF64" s="457"/>
    </row>
    <row r="65" spans="2:32">
      <c r="B65" s="456"/>
      <c r="C65" s="456"/>
      <c r="V65" s="463"/>
      <c r="W65" s="466"/>
      <c r="X65" s="463"/>
      <c r="Y65" s="463"/>
      <c r="Z65" s="463"/>
      <c r="AA65" s="463"/>
      <c r="AB65" s="463"/>
      <c r="AC65" s="463"/>
      <c r="AD65" s="463"/>
      <c r="AE65" s="464"/>
      <c r="AF65" s="457"/>
    </row>
    <row r="66" spans="2:32">
      <c r="B66" s="456"/>
      <c r="C66" s="456"/>
      <c r="V66" s="463"/>
      <c r="W66" s="466"/>
      <c r="X66" s="463"/>
      <c r="Y66" s="463"/>
      <c r="Z66" s="463"/>
      <c r="AA66" s="463"/>
      <c r="AB66" s="463"/>
      <c r="AC66" s="463"/>
      <c r="AD66" s="463"/>
      <c r="AE66" s="464"/>
      <c r="AF66" s="457"/>
    </row>
    <row r="67" spans="2:32" ht="13.5" thickBot="1">
      <c r="B67" s="456"/>
      <c r="C67" s="470"/>
      <c r="D67" s="471"/>
      <c r="E67" s="471"/>
      <c r="F67" s="471"/>
      <c r="G67" s="471"/>
      <c r="H67" s="471"/>
      <c r="I67" s="471"/>
      <c r="J67" s="471"/>
      <c r="K67" s="471"/>
      <c r="L67" s="471"/>
      <c r="M67" s="471"/>
      <c r="N67" s="471"/>
      <c r="O67" s="471"/>
      <c r="P67" s="471"/>
      <c r="Q67" s="471"/>
      <c r="R67" s="471"/>
      <c r="S67" s="471"/>
      <c r="T67" s="471"/>
      <c r="U67" s="471"/>
      <c r="V67" s="472"/>
      <c r="W67" s="473"/>
      <c r="X67" s="472"/>
      <c r="Y67" s="472"/>
      <c r="Z67" s="472"/>
      <c r="AA67" s="472"/>
      <c r="AB67" s="472"/>
      <c r="AC67" s="472"/>
      <c r="AD67" s="472"/>
      <c r="AE67" s="474"/>
      <c r="AF67" s="457"/>
    </row>
    <row r="68" spans="2:32" ht="6" customHeight="1" thickBot="1">
      <c r="B68" s="470"/>
      <c r="C68" s="471"/>
      <c r="D68" s="471"/>
      <c r="E68" s="471"/>
      <c r="F68" s="471"/>
      <c r="G68" s="471"/>
      <c r="H68" s="471"/>
      <c r="I68" s="471"/>
      <c r="J68" s="471"/>
      <c r="K68" s="471"/>
      <c r="L68" s="471"/>
      <c r="M68" s="471"/>
      <c r="N68" s="471"/>
      <c r="O68" s="471"/>
      <c r="P68" s="471"/>
      <c r="Q68" s="471"/>
      <c r="R68" s="471"/>
      <c r="S68" s="471"/>
      <c r="T68" s="471"/>
      <c r="U68" s="471"/>
      <c r="V68" s="471"/>
      <c r="W68" s="471"/>
      <c r="X68" s="471"/>
      <c r="Y68" s="471"/>
      <c r="Z68" s="471"/>
      <c r="AA68" s="471"/>
      <c r="AB68" s="471"/>
      <c r="AC68" s="471"/>
      <c r="AD68" s="471"/>
      <c r="AE68" s="471"/>
      <c r="AF68" s="475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ColWidth="8.85546875"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3">
        <v>1</v>
      </c>
    </row>
    <row r="2" spans="1:11" ht="48" customHeight="1">
      <c r="A2" s="363">
        <v>3</v>
      </c>
    </row>
    <row r="4" spans="1:11" ht="48" customHeight="1">
      <c r="C4" s="363">
        <v>1</v>
      </c>
    </row>
    <row r="5" spans="1:11" ht="48" customHeight="1">
      <c r="C5" s="363">
        <v>3</v>
      </c>
    </row>
    <row r="7" spans="1:11" ht="48" customHeight="1">
      <c r="E7" s="363">
        <v>1</v>
      </c>
    </row>
    <row r="8" spans="1:11" ht="48" customHeight="1">
      <c r="E8" s="363">
        <v>3</v>
      </c>
    </row>
    <row r="10" spans="1:11" ht="48" customHeight="1">
      <c r="G10" s="363">
        <v>3</v>
      </c>
    </row>
    <row r="11" spans="1:11" ht="48" customHeight="1">
      <c r="G11" s="363">
        <v>1</v>
      </c>
    </row>
    <row r="13" spans="1:11" ht="48" customHeight="1">
      <c r="I13" s="363">
        <v>3</v>
      </c>
    </row>
    <row r="14" spans="1:11" ht="48" customHeight="1">
      <c r="I14" s="363">
        <v>1</v>
      </c>
    </row>
    <row r="16" spans="1:11" ht="48" customHeight="1">
      <c r="K16" s="363">
        <v>3</v>
      </c>
    </row>
    <row r="17" spans="11:21" ht="48" customHeight="1">
      <c r="K17" s="363">
        <v>1</v>
      </c>
    </row>
    <row r="19" spans="11:21" ht="48" customHeight="1">
      <c r="M19" s="363">
        <v>3</v>
      </c>
    </row>
    <row r="20" spans="11:21" ht="48" customHeight="1">
      <c r="M20" s="363">
        <v>1</v>
      </c>
    </row>
    <row r="22" spans="11:21" ht="48" customHeight="1">
      <c r="O22" s="363">
        <v>3</v>
      </c>
    </row>
    <row r="23" spans="11:21" ht="48" customHeight="1">
      <c r="O23" s="363">
        <v>1</v>
      </c>
    </row>
    <row r="25" spans="11:21" ht="57" customHeight="1">
      <c r="Q25" s="363">
        <v>3</v>
      </c>
    </row>
    <row r="26" spans="11:21" ht="57" customHeight="1">
      <c r="Q26" s="363">
        <v>1</v>
      </c>
    </row>
    <row r="28" spans="11:21" ht="57" customHeight="1">
      <c r="S28" s="363">
        <v>3</v>
      </c>
    </row>
    <row r="29" spans="11:21" ht="57" customHeight="1">
      <c r="S29" s="363">
        <v>1</v>
      </c>
    </row>
    <row r="31" spans="11:21" ht="57" customHeight="1">
      <c r="U31" s="363">
        <v>3</v>
      </c>
    </row>
    <row r="32" spans="11:21" ht="57" customHeight="1">
      <c r="U32" s="36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junjunbahe@outlook.com</cp:lastModifiedBy>
  <cp:lastPrinted>2023-02-27T08:00:50Z</cp:lastPrinted>
  <dcterms:created xsi:type="dcterms:W3CDTF">2011-02-06T11:57:38Z</dcterms:created>
  <dcterms:modified xsi:type="dcterms:W3CDTF">2023-11-03T03:15:08Z</dcterms:modified>
</cp:coreProperties>
</file>