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5B4BF7A1-840C-4566-B193-274CCC65B7DD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F65" i="11" l="1"/>
  <c r="F64" i="11"/>
  <c r="F63" i="11"/>
  <c r="F62" i="11"/>
  <c r="F36" i="11"/>
  <c r="F35" i="11"/>
  <c r="F34" i="11"/>
  <c r="F33" i="11"/>
  <c r="F32" i="11"/>
  <c r="F31" i="11"/>
  <c r="F30" i="11"/>
  <c r="F29" i="11"/>
  <c r="F28" i="11"/>
  <c r="F27" i="11"/>
  <c r="F25" i="11"/>
  <c r="D14" i="59"/>
  <c r="G58" i="11"/>
  <c r="E58" i="11"/>
  <c r="D58" i="11"/>
  <c r="G57" i="11"/>
  <c r="E57" i="11"/>
  <c r="D57" i="11"/>
  <c r="J57" i="11" s="1"/>
  <c r="A57" i="11"/>
  <c r="G70" i="11"/>
  <c r="G71" i="11"/>
  <c r="E70" i="11"/>
  <c r="E71" i="11"/>
  <c r="D70" i="11"/>
  <c r="H70" i="11" s="1"/>
  <c r="D71" i="11"/>
  <c r="H71" i="11" s="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F49" i="11"/>
  <c r="F48" i="11"/>
  <c r="F47" i="11"/>
  <c r="F46" i="11"/>
  <c r="F45" i="11"/>
  <c r="F44" i="11"/>
  <c r="F43" i="11"/>
  <c r="F42" i="11"/>
  <c r="F41" i="11"/>
  <c r="E44" i="11"/>
  <c r="E45" i="11"/>
  <c r="E46" i="11"/>
  <c r="E47" i="11"/>
  <c r="E48" i="11"/>
  <c r="E49" i="11"/>
  <c r="E50" i="11"/>
  <c r="E51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E38" i="11"/>
  <c r="E39" i="11"/>
  <c r="E40" i="11"/>
  <c r="E41" i="11"/>
  <c r="E42" i="11"/>
  <c r="E43" i="11"/>
  <c r="J58" i="11" l="1"/>
  <c r="H58" i="11"/>
  <c r="H57" i="11"/>
  <c r="I58" i="11"/>
  <c r="I57" i="11"/>
  <c r="J71" i="11"/>
  <c r="J70" i="11"/>
  <c r="I71" i="11"/>
  <c r="I70" i="11"/>
  <c r="K58" i="11" l="1"/>
  <c r="K57" i="11"/>
  <c r="K71" i="11"/>
  <c r="K70" i="11"/>
  <c r="E25" i="11" l="1"/>
  <c r="E26" i="11"/>
  <c r="A50" i="11"/>
  <c r="I49" i="11"/>
  <c r="A49" i="11"/>
  <c r="I48" i="11"/>
  <c r="A48" i="11"/>
  <c r="A47" i="11"/>
  <c r="A46" i="11"/>
  <c r="A45" i="11"/>
  <c r="I44" i="11"/>
  <c r="A44" i="11"/>
  <c r="H42" i="11"/>
  <c r="A42" i="11"/>
  <c r="J41" i="11"/>
  <c r="A41" i="11"/>
  <c r="J40" i="11"/>
  <c r="A40" i="11"/>
  <c r="J39" i="11"/>
  <c r="A39" i="11"/>
  <c r="J38" i="11"/>
  <c r="A38" i="11"/>
  <c r="D24" i="11"/>
  <c r="D25" i="11"/>
  <c r="D26" i="11"/>
  <c r="D27" i="11"/>
  <c r="D28" i="11"/>
  <c r="D29" i="11"/>
  <c r="D30" i="11"/>
  <c r="D31" i="11"/>
  <c r="H51" i="11"/>
  <c r="A51" i="11"/>
  <c r="I45" i="11" l="1"/>
  <c r="I47" i="11"/>
  <c r="H46" i="11"/>
  <c r="J46" i="11"/>
  <c r="H38" i="11"/>
  <c r="H40" i="11"/>
  <c r="H47" i="11"/>
  <c r="J47" i="11"/>
  <c r="I38" i="11"/>
  <c r="I40" i="11"/>
  <c r="J42" i="11"/>
  <c r="I42" i="11"/>
  <c r="H44" i="11"/>
  <c r="J44" i="11"/>
  <c r="H48" i="11"/>
  <c r="J48" i="11"/>
  <c r="I39" i="11"/>
  <c r="I41" i="11"/>
  <c r="H50" i="11"/>
  <c r="J50" i="11"/>
  <c r="H39" i="11"/>
  <c r="H41" i="11"/>
  <c r="H45" i="11"/>
  <c r="J45" i="11"/>
  <c r="I46" i="11"/>
  <c r="H49" i="11"/>
  <c r="J49" i="11"/>
  <c r="I50" i="11"/>
  <c r="J51" i="11"/>
  <c r="I51" i="11"/>
  <c r="K51" i="11" l="1"/>
  <c r="K48" i="11"/>
  <c r="K42" i="11"/>
  <c r="K41" i="11"/>
  <c r="K47" i="11"/>
  <c r="K45" i="11"/>
  <c r="K49" i="11"/>
  <c r="K40" i="11"/>
  <c r="K38" i="11"/>
  <c r="K46" i="11"/>
  <c r="K39" i="11"/>
  <c r="K50" i="11"/>
  <c r="K44" i="11"/>
  <c r="G35" i="11" l="1"/>
  <c r="E35" i="11"/>
  <c r="D35" i="11"/>
  <c r="J35" i="11" s="1"/>
  <c r="A35" i="11"/>
  <c r="G34" i="11"/>
  <c r="E34" i="11"/>
  <c r="D34" i="11"/>
  <c r="J34" i="11" s="1"/>
  <c r="A34" i="11"/>
  <c r="G33" i="11"/>
  <c r="E33" i="11"/>
  <c r="D33" i="11"/>
  <c r="J33" i="11" s="1"/>
  <c r="A33" i="11"/>
  <c r="G32" i="11"/>
  <c r="E32" i="11"/>
  <c r="D32" i="11"/>
  <c r="J32" i="11" s="1"/>
  <c r="A32" i="11"/>
  <c r="H31" i="11"/>
  <c r="G31" i="11"/>
  <c r="E31" i="11"/>
  <c r="J31" i="11"/>
  <c r="A31" i="11"/>
  <c r="G30" i="11"/>
  <c r="E30" i="11"/>
  <c r="J30" i="11"/>
  <c r="A30" i="11"/>
  <c r="G29" i="11"/>
  <c r="E29" i="11"/>
  <c r="J29" i="11"/>
  <c r="A29" i="11"/>
  <c r="G28" i="11"/>
  <c r="E28" i="11"/>
  <c r="J28" i="11"/>
  <c r="A28" i="11"/>
  <c r="G27" i="11"/>
  <c r="E27" i="11"/>
  <c r="J27" i="11"/>
  <c r="A27" i="11"/>
  <c r="D36" i="11"/>
  <c r="D37" i="11"/>
  <c r="G17" i="11"/>
  <c r="E17" i="11"/>
  <c r="D17" i="11"/>
  <c r="A17" i="11"/>
  <c r="G16" i="11"/>
  <c r="E16" i="11"/>
  <c r="D16" i="11"/>
  <c r="J16" i="11" s="1"/>
  <c r="A16" i="11"/>
  <c r="G19" i="11"/>
  <c r="E19" i="11"/>
  <c r="D19" i="11"/>
  <c r="A19" i="11"/>
  <c r="G18" i="11"/>
  <c r="E18" i="11"/>
  <c r="D18" i="11"/>
  <c r="J18" i="11" s="1"/>
  <c r="A18" i="11"/>
  <c r="W48" i="91"/>
  <c r="H27" i="11" l="1"/>
  <c r="H30" i="11"/>
  <c r="H34" i="11"/>
  <c r="H35" i="11"/>
  <c r="H28" i="11"/>
  <c r="H32" i="11"/>
  <c r="H29" i="11"/>
  <c r="H33" i="11"/>
  <c r="I27" i="11"/>
  <c r="I28" i="11"/>
  <c r="I29" i="11"/>
  <c r="I30" i="11"/>
  <c r="I31" i="11"/>
  <c r="K31" i="11" s="1"/>
  <c r="I32" i="11"/>
  <c r="K32" i="11" s="1"/>
  <c r="I33" i="11"/>
  <c r="I34" i="11"/>
  <c r="I35" i="11"/>
  <c r="J19" i="11"/>
  <c r="J17" i="11"/>
  <c r="H16" i="11"/>
  <c r="H17" i="11"/>
  <c r="I16" i="11"/>
  <c r="I17" i="11"/>
  <c r="H18" i="11"/>
  <c r="H19" i="11"/>
  <c r="I18" i="11"/>
  <c r="I19" i="11"/>
  <c r="K27" i="11" l="1"/>
  <c r="K30" i="11"/>
  <c r="K29" i="11"/>
  <c r="K34" i="11"/>
  <c r="K35" i="11"/>
  <c r="K33" i="11"/>
  <c r="K16" i="11"/>
  <c r="K28" i="11"/>
  <c r="K19" i="11"/>
  <c r="K17" i="11"/>
  <c r="K18" i="11"/>
  <c r="W49" i="91" l="1"/>
  <c r="G6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74" i="11"/>
  <c r="D74" i="11"/>
  <c r="H74" i="11" s="1"/>
  <c r="E73" i="11"/>
  <c r="D73" i="11"/>
  <c r="A73" i="11"/>
  <c r="E72" i="11"/>
  <c r="D72" i="11"/>
  <c r="A71" i="11"/>
  <c r="E69" i="11"/>
  <c r="D69" i="11"/>
  <c r="A69" i="11"/>
  <c r="E68" i="11"/>
  <c r="D68" i="11"/>
  <c r="J68" i="11" s="1"/>
  <c r="A68" i="11"/>
  <c r="E67" i="11"/>
  <c r="D67" i="11"/>
  <c r="E66" i="11"/>
  <c r="D66" i="11"/>
  <c r="A66" i="11"/>
  <c r="E65" i="11"/>
  <c r="D65" i="11"/>
  <c r="E64" i="11"/>
  <c r="D64" i="11"/>
  <c r="J64" i="11" s="1"/>
  <c r="A64" i="11"/>
  <c r="E63" i="11"/>
  <c r="E37" i="11"/>
  <c r="A37" i="11"/>
  <c r="G36" i="11"/>
  <c r="I36" i="11" s="1"/>
  <c r="E36" i="11"/>
  <c r="G26" i="11"/>
  <c r="A26" i="11"/>
  <c r="G25" i="11"/>
  <c r="I25" i="11"/>
  <c r="A25" i="11"/>
  <c r="G62" i="11"/>
  <c r="E62" i="11"/>
  <c r="D62" i="11"/>
  <c r="J62" i="11" s="1"/>
  <c r="A62" i="11"/>
  <c r="E61" i="11"/>
  <c r="D61" i="11"/>
  <c r="A61" i="11"/>
  <c r="E60" i="11"/>
  <c r="D60" i="11"/>
  <c r="H60" i="11" s="1"/>
  <c r="E59" i="11"/>
  <c r="D59" i="11"/>
  <c r="H59" i="11" s="1"/>
  <c r="A59" i="11"/>
  <c r="E56" i="11"/>
  <c r="D56" i="11"/>
  <c r="H56" i="11" s="1"/>
  <c r="E55" i="11"/>
  <c r="D55" i="11"/>
  <c r="J55" i="11" s="1"/>
  <c r="A55" i="11"/>
  <c r="G54" i="11"/>
  <c r="E54" i="11"/>
  <c r="D54" i="11"/>
  <c r="J54" i="11" s="1"/>
  <c r="D75" i="11"/>
  <c r="J75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53" i="11"/>
  <c r="D53" i="11"/>
  <c r="H53" i="11" s="1"/>
  <c r="A53" i="11"/>
  <c r="E52" i="11"/>
  <c r="H52" i="11"/>
  <c r="A52" i="11"/>
  <c r="G75" i="11"/>
  <c r="E75" i="11"/>
  <c r="E20" i="11"/>
  <c r="D20" i="11"/>
  <c r="J20" i="11" s="1"/>
  <c r="A20" i="11"/>
  <c r="G24" i="11"/>
  <c r="E24" i="11"/>
  <c r="J24" i="11"/>
  <c r="A24" i="11"/>
  <c r="G23" i="11"/>
  <c r="E23" i="11"/>
  <c r="D23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21" i="11"/>
  <c r="D21" i="11"/>
  <c r="A21" i="11"/>
  <c r="D22" i="11"/>
  <c r="H22" i="11" s="1"/>
  <c r="E22" i="11"/>
  <c r="D77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22" i="11"/>
  <c r="G76" i="11"/>
  <c r="E76" i="11"/>
  <c r="D76" i="11"/>
  <c r="H76" i="11" s="1"/>
  <c r="E77" i="11"/>
  <c r="D78" i="11"/>
  <c r="H78" i="11" s="1"/>
  <c r="E78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 s="1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7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67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G60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65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74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66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69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61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55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73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68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72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53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21" i="11"/>
  <c r="G56" i="11"/>
  <c r="G37" i="11"/>
  <c r="G64" i="11"/>
  <c r="N1362" i="10"/>
  <c r="N1357" i="10"/>
  <c r="N1349" i="10"/>
  <c r="N1332" i="10"/>
  <c r="N1316" i="10"/>
  <c r="N1309" i="10"/>
  <c r="N1258" i="10"/>
  <c r="G77" i="11"/>
  <c r="G2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59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H73" i="11" l="1"/>
  <c r="I73" i="11"/>
  <c r="J73" i="11"/>
  <c r="H72" i="11"/>
  <c r="I72" i="11"/>
  <c r="J72" i="11"/>
  <c r="J63" i="11"/>
  <c r="I63" i="11"/>
  <c r="H63" i="11"/>
  <c r="C65" i="39"/>
  <c r="D65" i="39" s="1"/>
  <c r="E65" i="39" s="1"/>
  <c r="C70" i="39"/>
  <c r="D70" i="39" s="1"/>
  <c r="E70" i="39" s="1"/>
  <c r="C68" i="39"/>
  <c r="D68" i="39" s="1"/>
  <c r="E68" i="39" s="1"/>
  <c r="C63" i="39"/>
  <c r="D63" i="39" s="1"/>
  <c r="E63" i="39" s="1"/>
  <c r="C67" i="39"/>
  <c r="D67" i="39" s="1"/>
  <c r="E67" i="39" s="1"/>
  <c r="C66" i="39"/>
  <c r="D66" i="39" s="1"/>
  <c r="E66" i="39" s="1"/>
  <c r="C72" i="39"/>
  <c r="D72" i="39" s="1"/>
  <c r="E72" i="39" s="1"/>
  <c r="C71" i="39"/>
  <c r="D71" i="39" s="1"/>
  <c r="E71" i="39" s="1"/>
  <c r="C73" i="39"/>
  <c r="D73" i="39" s="1"/>
  <c r="E73" i="39" s="1"/>
  <c r="C64" i="39"/>
  <c r="D64" i="39" s="1"/>
  <c r="E64" i="39" s="1"/>
  <c r="C76" i="39"/>
  <c r="D76" i="39" s="1"/>
  <c r="E76" i="39" s="1"/>
  <c r="C69" i="39"/>
  <c r="D69" i="39" s="1"/>
  <c r="E69" i="39" s="1"/>
  <c r="C74" i="39"/>
  <c r="D74" i="39" s="1"/>
  <c r="E74" i="39" s="1"/>
  <c r="C75" i="39"/>
  <c r="D75" i="39" s="1"/>
  <c r="E75" i="39" s="1"/>
  <c r="H67" i="11"/>
  <c r="J65" i="11"/>
  <c r="H61" i="11"/>
  <c r="K9" i="60"/>
  <c r="K16" i="60" s="1"/>
  <c r="K20" i="60" s="1"/>
  <c r="C8" i="54"/>
  <c r="I8" i="54" s="1"/>
  <c r="C7" i="54"/>
  <c r="I7" i="54" s="1"/>
  <c r="D9" i="60"/>
  <c r="E858" i="41"/>
  <c r="E241" i="29"/>
  <c r="H68" i="11"/>
  <c r="E862" i="41"/>
  <c r="E831" i="41"/>
  <c r="F58" i="39"/>
  <c r="E761" i="41"/>
  <c r="E751" i="41"/>
  <c r="E757" i="41"/>
  <c r="I67" i="11"/>
  <c r="I52" i="11"/>
  <c r="E717" i="41"/>
  <c r="E866" i="41"/>
  <c r="I74" i="11"/>
  <c r="J74" i="11"/>
  <c r="F811" i="41"/>
  <c r="E842" i="41"/>
  <c r="I65" i="11"/>
  <c r="H64" i="11"/>
  <c r="I64" i="11"/>
  <c r="F834" i="41"/>
  <c r="E269" i="29"/>
  <c r="F352" i="29"/>
  <c r="J36" i="39"/>
  <c r="E748" i="41"/>
  <c r="E351" i="29"/>
  <c r="F806" i="41"/>
  <c r="I60" i="11"/>
  <c r="H36" i="11"/>
  <c r="H37" i="11"/>
  <c r="I68" i="11"/>
  <c r="H65" i="11"/>
  <c r="J36" i="11"/>
  <c r="E743" i="41"/>
  <c r="F304" i="29"/>
  <c r="I66" i="11"/>
  <c r="H75" i="11"/>
  <c r="F762" i="41"/>
  <c r="E766" i="41"/>
  <c r="E823" i="41"/>
  <c r="E845" i="41"/>
  <c r="E840" i="41"/>
  <c r="F744" i="41"/>
  <c r="F827" i="41"/>
  <c r="E732" i="41"/>
  <c r="E795" i="41"/>
  <c r="F289" i="29"/>
  <c r="E796" i="41"/>
  <c r="F752" i="41"/>
  <c r="I37" i="11"/>
  <c r="F237" i="29"/>
  <c r="H62" i="11"/>
  <c r="F353" i="29"/>
  <c r="E319" i="29"/>
  <c r="F225" i="29"/>
  <c r="E1227" i="41"/>
  <c r="I78" i="1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E793" i="41"/>
  <c r="E917" i="41"/>
  <c r="E1146" i="41"/>
  <c r="E754" i="41"/>
  <c r="E1147" i="41"/>
  <c r="E882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59" i="1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H25" i="11"/>
  <c r="E1082" i="41"/>
  <c r="E868" i="41"/>
  <c r="E734" i="41"/>
  <c r="E872" i="41"/>
  <c r="E1103" i="4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I61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22" i="11"/>
  <c r="J22" i="11"/>
  <c r="H20" i="11"/>
  <c r="F242" i="29"/>
  <c r="F298" i="29"/>
  <c r="E276" i="29"/>
  <c r="J78" i="11"/>
  <c r="F798" i="41"/>
  <c r="E1235" i="41"/>
  <c r="E1289" i="41"/>
  <c r="E1045" i="41"/>
  <c r="F737" i="41"/>
  <c r="F305" i="29"/>
  <c r="E851" i="41"/>
  <c r="E1171" i="41"/>
  <c r="E794" i="41"/>
  <c r="E740" i="41"/>
  <c r="E1216" i="41"/>
  <c r="E819" i="41"/>
  <c r="E778" i="41"/>
  <c r="F760" i="41"/>
  <c r="F59" i="39"/>
  <c r="I20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67" i="11"/>
  <c r="F769" i="41"/>
  <c r="E1101" i="41"/>
  <c r="E1079" i="41"/>
  <c r="E1249" i="41"/>
  <c r="F745" i="41"/>
  <c r="F801" i="41"/>
  <c r="F782" i="41"/>
  <c r="I55" i="11"/>
  <c r="E861" i="41"/>
  <c r="E1150" i="41"/>
  <c r="E1040" i="41"/>
  <c r="F812" i="41"/>
  <c r="F730" i="41"/>
  <c r="F61" i="39"/>
  <c r="E315" i="29"/>
  <c r="F738" i="41"/>
  <c r="E1064" i="41"/>
  <c r="E332" i="29"/>
  <c r="F324" i="29"/>
  <c r="E278" i="29"/>
  <c r="F843" i="41"/>
  <c r="E1030" i="41"/>
  <c r="F821" i="41"/>
  <c r="F847" i="41"/>
  <c r="E776" i="41"/>
  <c r="E1066" i="41"/>
  <c r="E1168" i="41"/>
  <c r="E790" i="41"/>
  <c r="F772" i="41"/>
  <c r="E735" i="41"/>
  <c r="E971" i="41"/>
  <c r="J59" i="1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I53" i="11"/>
  <c r="J37" i="11"/>
  <c r="J53" i="11"/>
  <c r="I54" i="11"/>
  <c r="I56" i="11"/>
  <c r="H55" i="11"/>
  <c r="F240" i="29"/>
  <c r="H54" i="11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H23" i="11"/>
  <c r="J23" i="11"/>
  <c r="I23" i="11"/>
  <c r="F339" i="29"/>
  <c r="E255" i="2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21" i="11"/>
  <c r="H21" i="11"/>
  <c r="I69" i="11"/>
  <c r="H69" i="11"/>
  <c r="E328" i="29"/>
  <c r="F328" i="29"/>
  <c r="E226" i="29"/>
  <c r="E295" i="29"/>
  <c r="F295" i="29"/>
  <c r="I26" i="11"/>
  <c r="J26" i="11"/>
  <c r="H26" i="11"/>
  <c r="E340" i="29"/>
  <c r="E252" i="29"/>
  <c r="F270" i="29"/>
  <c r="E280" i="29"/>
  <c r="I62" i="11"/>
  <c r="F286" i="29"/>
  <c r="E246" i="29"/>
  <c r="F266" i="29"/>
  <c r="F60" i="39"/>
  <c r="J69" i="11"/>
  <c r="H24" i="11"/>
  <c r="E327" i="29"/>
  <c r="E342" i="29"/>
  <c r="F321" i="29"/>
  <c r="H15" i="11"/>
  <c r="I21" i="11"/>
  <c r="J56" i="11"/>
  <c r="J25" i="11"/>
  <c r="E239" i="29"/>
  <c r="I36" i="39"/>
  <c r="J52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E336" i="29"/>
  <c r="F341" i="29"/>
  <c r="E341" i="29"/>
  <c r="F354" i="29"/>
  <c r="E354" i="29"/>
  <c r="F231" i="29"/>
  <c r="E231" i="29"/>
  <c r="F36" i="39"/>
  <c r="E251" i="29"/>
  <c r="F251" i="29"/>
  <c r="F236" i="29"/>
  <c r="E236" i="29"/>
  <c r="F267" i="29"/>
  <c r="E229" i="29"/>
  <c r="F229" i="29"/>
  <c r="F306" i="29"/>
  <c r="F62" i="39"/>
  <c r="E287" i="29"/>
  <c r="F287" i="29"/>
  <c r="F260" i="29"/>
  <c r="E260" i="29"/>
  <c r="E300" i="29"/>
  <c r="E232" i="29"/>
  <c r="F232" i="29"/>
  <c r="F357" i="29"/>
  <c r="E325" i="29"/>
  <c r="F325" i="29"/>
  <c r="E372" i="29"/>
  <c r="E323" i="29"/>
  <c r="F299" i="29"/>
  <c r="E299" i="29"/>
  <c r="E303" i="29"/>
  <c r="F303" i="29"/>
  <c r="F265" i="29"/>
  <c r="E265" i="29"/>
  <c r="F301" i="29"/>
  <c r="F271" i="29"/>
  <c r="E250" i="29"/>
  <c r="F250" i="29"/>
  <c r="E244" i="29"/>
  <c r="F343" i="2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I15" i="11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J76" i="11"/>
  <c r="I76" i="11"/>
  <c r="H66" i="11"/>
  <c r="J66" i="11"/>
  <c r="E313" i="29"/>
  <c r="J61" i="11"/>
  <c r="I24" i="11"/>
  <c r="I75" i="11"/>
  <c r="J60" i="11"/>
  <c r="K72" i="11" l="1"/>
  <c r="K73" i="11"/>
  <c r="F841" i="41"/>
  <c r="F323" i="29"/>
  <c r="F351" i="29"/>
  <c r="F813" i="41"/>
  <c r="F826" i="41"/>
  <c r="F336" i="29"/>
  <c r="F334" i="29"/>
  <c r="F824" i="41"/>
  <c r="F805" i="41"/>
  <c r="F315" i="29"/>
  <c r="K63" i="11"/>
  <c r="F783" i="41"/>
  <c r="F293" i="29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67" i="11"/>
  <c r="H7" i="54"/>
  <c r="D7" i="54"/>
  <c r="H8" i="54"/>
  <c r="D8" i="54"/>
  <c r="E8" i="54" s="1"/>
  <c r="C9" i="54"/>
  <c r="K68" i="11"/>
  <c r="F373" i="29"/>
  <c r="F1089" i="41"/>
  <c r="F65" i="39"/>
  <c r="F69" i="39"/>
  <c r="F372" i="29"/>
  <c r="F1158" i="41"/>
  <c r="F1052" i="41"/>
  <c r="F371" i="29"/>
  <c r="F940" i="41"/>
  <c r="F369" i="29"/>
  <c r="K52" i="11"/>
  <c r="K74" i="11"/>
  <c r="K65" i="11"/>
  <c r="K64" i="11"/>
  <c r="K36" i="39"/>
  <c r="F852" i="41"/>
  <c r="K25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36" i="11"/>
  <c r="K60" i="11"/>
  <c r="K75" i="11"/>
  <c r="K62" i="11"/>
  <c r="K53" i="11"/>
  <c r="K37" i="11"/>
  <c r="K20" i="11"/>
  <c r="K55" i="11"/>
  <c r="K61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78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4" i="11"/>
  <c r="K59" i="11"/>
  <c r="K56" i="11"/>
  <c r="K22" i="11"/>
  <c r="K54" i="11"/>
  <c r="F338" i="29"/>
  <c r="F837" i="41"/>
  <c r="K21" i="11"/>
  <c r="K66" i="11"/>
  <c r="K69" i="11"/>
  <c r="K26" i="11"/>
  <c r="K76" i="11"/>
  <c r="F347" i="29"/>
  <c r="K23" i="11"/>
  <c r="H80" i="11"/>
  <c r="F828" i="41"/>
  <c r="F802" i="41"/>
  <c r="F312" i="29"/>
  <c r="F233" i="29"/>
  <c r="I80" i="11"/>
  <c r="K1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B26" i="39" s="1"/>
  <c r="E26" i="39" s="1"/>
  <c r="C22" i="39"/>
  <c r="G22" i="39" s="1"/>
  <c r="C34" i="39"/>
  <c r="B34" i="39" s="1"/>
  <c r="E34" i="39" s="1"/>
  <c r="C13" i="41"/>
  <c r="L13" i="41" s="1"/>
  <c r="F29" i="39"/>
  <c r="C30" i="39"/>
  <c r="D30" i="39" s="1"/>
  <c r="J30" i="39" s="1"/>
  <c r="F35" i="39"/>
  <c r="C33" i="39"/>
  <c r="D33" i="39" s="1"/>
  <c r="C24" i="39"/>
  <c r="G24" i="39" s="1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G27" i="39" s="1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L614" i="41" s="1"/>
  <c r="F126" i="41"/>
  <c r="C171" i="41"/>
  <c r="G171" i="41" s="1"/>
  <c r="F62" i="41"/>
  <c r="C86" i="29"/>
  <c r="G86" i="29" s="1"/>
  <c r="F18" i="41"/>
  <c r="F63" i="29"/>
  <c r="F33" i="29"/>
  <c r="C83" i="29"/>
  <c r="B83" i="29" s="1"/>
  <c r="E83" i="29" s="1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B191" i="41" s="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F89" i="29"/>
  <c r="B24" i="39"/>
  <c r="E24" i="39" s="1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81" i="11"/>
  <c r="H82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I81" i="11"/>
  <c r="I82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C17" i="29"/>
  <c r="G20" i="39"/>
  <c r="J77" i="11"/>
  <c r="F20" i="29"/>
  <c r="C93" i="29"/>
  <c r="C442" i="41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D614" i="41" l="1"/>
  <c r="D513" i="41"/>
  <c r="L495" i="41"/>
  <c r="D26" i="39"/>
  <c r="I26" i="39" s="1"/>
  <c r="G25" i="39"/>
  <c r="G26" i="39"/>
  <c r="D380" i="41"/>
  <c r="D24" i="39"/>
  <c r="J24" i="39" s="1"/>
  <c r="D83" i="29"/>
  <c r="I83" i="29" s="1"/>
  <c r="B27" i="39"/>
  <c r="E27" i="39" s="1"/>
  <c r="G614" i="41"/>
  <c r="L191" i="41"/>
  <c r="G34" i="39"/>
  <c r="D27" i="39"/>
  <c r="H27" i="39" s="1"/>
  <c r="B614" i="41"/>
  <c r="I614" i="41" s="1"/>
  <c r="G83" i="29"/>
  <c r="G191" i="41"/>
  <c r="D34" i="39"/>
  <c r="J34" i="39" s="1"/>
  <c r="D191" i="41"/>
  <c r="G19" i="39"/>
  <c r="B339" i="41"/>
  <c r="I339" i="41" s="1"/>
  <c r="D48" i="29"/>
  <c r="I48" i="29" s="1"/>
  <c r="B16" i="29"/>
  <c r="E16" i="29" s="1"/>
  <c r="D43" i="29"/>
  <c r="J43" i="29" s="1"/>
  <c r="L496" i="41"/>
  <c r="B13" i="41"/>
  <c r="K13" i="41" s="1"/>
  <c r="G35" i="39"/>
  <c r="B412" i="41"/>
  <c r="E412" i="41" s="1"/>
  <c r="D339" i="41"/>
  <c r="G546" i="41"/>
  <c r="L412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K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77" i="11"/>
  <c r="K80" i="11" s="1"/>
  <c r="J80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J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I495" i="41"/>
  <c r="J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J26" i="39" l="1"/>
  <c r="H26" i="39"/>
  <c r="H24" i="39"/>
  <c r="K339" i="41"/>
  <c r="H83" i="29"/>
  <c r="J83" i="29"/>
  <c r="H13" i="41"/>
  <c r="I27" i="39"/>
  <c r="K27" i="39" s="1"/>
  <c r="H34" i="39"/>
  <c r="K614" i="41"/>
  <c r="H495" i="41"/>
  <c r="E614" i="41"/>
  <c r="H614" i="41"/>
  <c r="I43" i="29"/>
  <c r="E202" i="41"/>
  <c r="E339" i="41"/>
  <c r="J339" i="41"/>
  <c r="H339" i="41"/>
  <c r="I106" i="29"/>
  <c r="J106" i="29"/>
  <c r="H412" i="41"/>
  <c r="J412" i="41"/>
  <c r="K412" i="41"/>
  <c r="I412" i="41"/>
  <c r="K133" i="41"/>
  <c r="H43" i="29"/>
  <c r="I608" i="41"/>
  <c r="I86" i="29"/>
  <c r="J86" i="29"/>
  <c r="E495" i="41"/>
  <c r="E13" i="41"/>
  <c r="J13" i="41"/>
  <c r="H327" i="41"/>
  <c r="H426" i="41"/>
  <c r="I13" i="41"/>
  <c r="E164" i="41"/>
  <c r="H61" i="29"/>
  <c r="K61" i="29" s="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81" i="11"/>
  <c r="J82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81" i="11"/>
  <c r="K82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43" i="29" l="1"/>
  <c r="K106" i="29"/>
  <c r="K86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83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J27" i="54" s="1"/>
  <c r="S17" i="54"/>
  <c r="Q18" i="54"/>
  <c r="T18" i="54" s="1"/>
  <c r="N26" i="54" l="1"/>
  <c r="P26" i="54" s="1"/>
  <c r="N27" i="54"/>
  <c r="P27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<sst xmlns="http://schemas.openxmlformats.org/spreadsheetml/2006/main" count="4788" uniqueCount="1665">
  <si>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</si>
  <si>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</si>
  <si>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</si>
  <si>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</si>
  <si>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</si>
  <si>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</si>
  <si>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</si>
  <si>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</si>
  <si>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</si>
  <si>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</si>
  <si>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</si>
  <si>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</si>
  <si>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</si>
  <si>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</si>
  <si>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</si>
  <si>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</si>
  <si>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</si>
  <si>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</si>
  <si>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</si>
  <si>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</si>
  <si>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</si>
  <si>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</si>
  <si>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</si>
  <si>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</si>
  <si>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</si>
  <si>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</si>
  <si>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</si>
  <si>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</si>
  <si>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</si>
  <si>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</si>
  <si>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</si>
  <si>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</si>
  <si>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</si>
  <si>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</si>
  <si>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</si>
  <si>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</si>
  <si>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</si>
  <si>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</si>
  <si>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</si>
  <si>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</si>
  <si>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</si>
  <si>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</si>
  <si>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</si>
  <si>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</si>
  <si>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</si>
  <si>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</si>
  <si>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</si>
  <si>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</si>
  <si>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</si>
  <si>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</si>
  <si>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</si>
  <si>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</si>
  <si>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</si>
  <si>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</si>
  <si>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</si>
  <si>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</si>
  <si>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</si>
  <si>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</si>
  <si>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</si>
  <si>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</si>
  <si>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</si>
  <si>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</si>
  <si>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</si>
  <si>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</si>
  <si>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</si>
  <si>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</si>
  <si>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</si>
  <si>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</si>
  <si>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</si>
  <si>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</si>
  <si>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</si>
  <si>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</si>
  <si>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</si>
  <si>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</si>
  <si>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</si>
  <si>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</si>
  <si>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</si>
  <si>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</si>
  <si>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</si>
  <si>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</si>
  <si>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</si>
  <si>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</si>
  <si>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</si>
  <si>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</si>
  <si>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</si>
  <si>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</si>
  <si>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</si>
  <si>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</si>
  <si>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</si>
  <si>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</si>
  <si>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</si>
  <si>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</si>
  <si>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</si>
  <si>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</si>
  <si>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</si>
  <si>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</si>
  <si>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</si>
  <si>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</si>
  <si>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</si>
  <si>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</si>
  <si>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</si>
  <si>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</si>
  <si>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</si>
  <si>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</si>
  <si>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</si>
  <si>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</si>
  <si>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</si>
  <si>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</si>
  <si>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</si>
  <si>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</si>
  <si>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</si>
  <si>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</si>
  <si>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</si>
  <si>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</si>
  <si>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</si>
  <si>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</si>
  <si>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</si>
  <si>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</si>
  <si>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</si>
  <si>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</si>
  <si>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</si>
  <si>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</si>
  <si>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</si>
  <si>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</si>
  <si>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</si>
  <si>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</si>
  <si>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</si>
  <si>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</si>
  <si>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</si>
  <si>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</si>
  <si>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</si>
  <si>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</si>
  <si>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</si>
  <si>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</si>
  <si>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</si>
  <si>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</si>
  <si>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</si>
  <si>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</si>
  <si>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</si>
  <si>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</si>
  <si>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</si>
  <si>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</si>
  <si>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</si>
  <si>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</si>
  <si>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</si>
  <si>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</si>
  <si>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</si>
  <si>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</si>
  <si>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</si>
  <si>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</si>
  <si>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</si>
  <si>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</si>
  <si>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</si>
  <si>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</si>
  <si>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</si>
  <si>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</si>
  <si>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</si>
  <si>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</si>
  <si>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</si>
  <si>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</si>
  <si>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</si>
  <si>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</si>
  <si>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</si>
  <si>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</si>
  <si>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</si>
  <si>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</si>
  <si>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</si>
  <si>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</si>
  <si>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</si>
  <si>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</si>
  <si>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</si>
  <si>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</si>
  <si>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</si>
  <si>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</si>
  <si>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</si>
  <si>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</si>
  <si>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</si>
  <si>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</si>
  <si>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</si>
  <si>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</si>
  <si>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</si>
  <si>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</si>
  <si>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</si>
  <si>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</si>
  <si>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</si>
  <si>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</si>
  <si>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</si>
  <si>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</si>
  <si>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</si>
  <si>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</si>
  <si>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</si>
  <si>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</si>
  <si>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</si>
  <si>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</si>
  <si>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</si>
  <si>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</si>
  <si>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</si>
  <si>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</si>
  <si>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</si>
  <si>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</si>
  <si>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</si>
  <si>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</si>
  <si>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</si>
  <si>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</si>
  <si>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</si>
  <si>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</si>
  <si>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</si>
  <si>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</si>
  <si>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</si>
  <si>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</si>
  <si>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</si>
  <si>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</si>
  <si>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</si>
  <si>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</si>
  <si>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</si>
  <si>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</si>
  <si>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</si>
  <si>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</si>
  <si>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</si>
  <si>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</si>
  <si>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</si>
  <si>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</si>
  <si>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</si>
  <si>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</si>
  <si>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</si>
  <si>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</si>
  <si>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</si>
  <si>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</si>
  <si>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</si>
  <si>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</si>
  <si>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</si>
  <si>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</si>
  <si>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</si>
  <si>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</si>
  <si>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</si>
  <si>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</si>
  <si>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</si>
  <si>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</si>
  <si>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</si>
  <si>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</si>
  <si>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</si>
  <si>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</si>
  <si>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</si>
  <si>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</si>
  <si>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</si>
  <si>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</si>
  <si>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</si>
  <si>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</si>
  <si>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</si>
  <si>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</si>
  <si>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</si>
  <si>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</si>
  <si>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</si>
  <si>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</si>
  <si>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</si>
  <si>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</si>
  <si>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</si>
  <si>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</si>
  <si>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</si>
  <si>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</si>
  <si>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</si>
  <si>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</si>
  <si>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</si>
  <si>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</si>
  <si>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</si>
  <si>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</si>
  <si>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</si>
  <si>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</si>
  <si>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</si>
  <si>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</si>
  <si>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</si>
  <si>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</si>
  <si>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</si>
  <si>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</si>
  <si>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</si>
  <si>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</si>
  <si>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</si>
  <si>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</si>
  <si>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</si>
  <si>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</si>
  <si>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</si>
  <si>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</si>
  <si>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</si>
  <si>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</si>
  <si>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</si>
  <si>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</si>
  <si>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</si>
  <si>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</si>
  <si>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</si>
  <si>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</si>
  <si>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</si>
  <si>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</si>
  <si>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</si>
  <si>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</si>
  <si>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</si>
  <si>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</si>
  <si>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</si>
  <si>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</si>
  <si>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</si>
  <si>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</si>
  <si>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</si>
  <si>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</si>
  <si>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</si>
  <si>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</si>
  <si>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</si>
  <si>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</si>
  <si>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</si>
  <si>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</si>
  <si>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</si>
  <si>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</si>
  <si>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</si>
  <si>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</si>
  <si>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</si>
  <si>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</si>
  <si>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</si>
  <si>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</si>
  <si>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</si>
  <si>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</si>
  <si>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</si>
  <si>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</si>
  <si>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</si>
  <si>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</si>
  <si>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</si>
  <si>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</si>
  <si>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</si>
  <si>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</si>
  <si>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</si>
  <si>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</si>
  <si>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</si>
  <si>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</si>
  <si>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</si>
  <si>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</si>
  <si>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</si>
  <si>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</si>
  <si>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</si>
  <si>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</si>
  <si>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</si>
  <si>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</si>
  <si>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</si>
  <si>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</si>
  <si>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</si>
  <si>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</si>
  <si>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</si>
  <si>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</si>
  <si>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</si>
  <si>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</si>
  <si>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</si>
  <si>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</si>
  <si>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</si>
  <si>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</si>
  <si>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</si>
  <si>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</si>
  <si>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</si>
  <si>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</si>
  <si>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</si>
  <si>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</si>
  <si>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</si>
  <si>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</si>
  <si>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</si>
  <si>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</si>
  <si>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</si>
  <si>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</si>
  <si>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</si>
  <si>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</si>
  <si>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</si>
  <si>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</si>
  <si>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</si>
  <si>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</si>
  <si>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</si>
  <si>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</si>
  <si>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</si>
  <si>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</si>
  <si>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</si>
  <si>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</si>
  <si>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</si>
  <si>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</si>
  <si>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</si>
  <si>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</si>
  <si>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</si>
  <si>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</si>
  <si>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</si>
  <si>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</si>
  <si>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</si>
  <si>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</si>
  <si>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</si>
  <si>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</si>
  <si>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</si>
  <si>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</si>
  <si>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</si>
  <si>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</si>
  <si>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</si>
  <si>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</si>
  <si>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</si>
  <si>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</si>
  <si>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</si>
  <si>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</si>
  <si>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</si>
  <si>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</si>
  <si>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</si>
  <si>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</si>
  <si>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</si>
  <si>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</si>
  <si>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</si>
  <si>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</si>
  <si>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</si>
  <si>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</si>
  <si>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</si>
  <si>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</si>
  <si>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</si>
  <si>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</si>
  <si>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</si>
  <si>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</si>
  <si>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</si>
  <si>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</si>
  <si>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</si>
  <si>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</si>
  <si>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</si>
  <si>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</si>
  <si>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</si>
  <si>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</si>
  <si>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</si>
  <si>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</si>
  <si>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</si>
  <si>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</si>
  <si>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</si>
  <si>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</si>
  <si>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</si>
  <si>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</si>
  <si>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</si>
  <si>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</si>
  <si>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</si>
  <si>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</si>
  <si>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</si>
  <si>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</si>
  <si>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</si>
  <si>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</si>
  <si>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</si>
  <si>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</si>
  <si>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</si>
  <si>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</si>
  <si>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</si>
  <si>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</si>
  <si>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</si>
  <si>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</si>
  <si>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</si>
  <si>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</si>
  <si>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</si>
  <si>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</si>
  <si>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</si>
  <si>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</si>
  <si>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</si>
  <si>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</si>
  <si>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</si>
  <si>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</si>
  <si>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</si>
  <si>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</si>
  <si>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</si>
  <si>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</si>
  <si>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</si>
  <si>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</si>
  <si>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</si>
  <si>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</si>
  <si>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</si>
  <si>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</si>
  <si>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</si>
  <si>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</si>
  <si>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</si>
  <si>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</si>
  <si>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</si>
  <si>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</si>
  <si>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</si>
  <si>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</si>
  <si>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</si>
  <si>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</si>
  <si>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</si>
  <si>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</si>
  <si>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</si>
  <si>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</si>
  <si>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</si>
  <si>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</si>
  <si>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</si>
  <si>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</si>
  <si>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</si>
  <si>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</si>
  <si>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</si>
  <si>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</si>
  <si>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</si>
  <si>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</si>
  <si>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</si>
  <si>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</si>
  <si>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</si>
  <si>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</si>
  <si>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</si>
  <si>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</si>
  <si>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</si>
  <si>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</si>
  <si>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</si>
  <si>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</si>
  <si>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</si>
  <si>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</si>
  <si>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</si>
  <si>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</si>
  <si>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</si>
  <si>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</si>
  <si>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</si>
  <si>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</si>
  <si>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</si>
  <si>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</si>
  <si>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</si>
  <si>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</si>
  <si>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</si>
  <si>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</si>
  <si>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</si>
  <si>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</si>
  <si>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</si>
  <si>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</si>
  <si>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</si>
  <si>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</si>
  <si>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</si>
  <si>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</si>
  <si>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</si>
  <si>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</si>
  <si>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</si>
  <si>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</si>
  <si>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</si>
  <si>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</si>
  <si>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</si>
  <si>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</si>
  <si>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</si>
  <si>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</si>
  <si>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</si>
  <si>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</si>
  <si>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</si>
  <si>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</si>
  <si>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</si>
  <si>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</si>
  <si>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</si>
  <si>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</si>
  <si>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</si>
  <si>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</si>
  <si>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</si>
  <si>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</si>
  <si>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</si>
  <si>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</si>
  <si>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</si>
  <si>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</si>
  <si>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</si>
  <si>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</si>
  <si>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</si>
  <si>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</si>
  <si>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</si>
  <si>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</si>
  <si>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</si>
  <si>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</si>
  <si>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</si>
  <si>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</si>
  <si>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</si>
  <si>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</si>
  <si>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</si>
  <si>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</si>
  <si>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</si>
  <si>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</si>
  <si>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</si>
  <si>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</si>
  <si>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</si>
  <si>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</si>
  <si>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</si>
  <si>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</si>
  <si>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</si>
  <si>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</si>
  <si>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</si>
  <si>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</si>
  <si>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</si>
  <si>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</si>
  <si>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</si>
  <si>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</si>
  <si>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</si>
  <si>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</si>
  <si>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</si>
  <si>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</si>
  <si>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</si>
  <si>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</si>
  <si>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</si>
  <si>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</si>
  <si>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</si>
  <si>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</si>
  <si>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</si>
  <si>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</si>
  <si>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</si>
  <si>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</si>
  <si>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</si>
  <si>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</si>
  <si>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</si>
  <si>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</si>
  <si>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</si>
  <si>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</si>
  <si>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</si>
  <si>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</si>
  <si>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</si>
  <si>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</si>
  <si>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</si>
  <si>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</si>
  <si>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</si>
  <si>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</si>
  <si>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</si>
  <si>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</si>
  <si>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</si>
  <si>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</si>
  <si>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</si>
  <si>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</si>
  <si>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</si>
  <si>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</si>
  <si>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</si>
  <si>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</si>
  <si>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</si>
  <si>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</si>
  <si>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</si>
  <si>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</si>
  <si>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</si>
  <si>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</si>
  <si>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</si>
  <si>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</si>
  <si>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</si>
  <si>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</si>
  <si>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</si>
  <si>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</si>
  <si>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</si>
  <si>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</si>
  <si>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</si>
  <si>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</si>
  <si>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</si>
  <si>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</si>
  <si>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</si>
  <si>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</si>
  <si>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</si>
  <si>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</si>
  <si>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</si>
  <si>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</si>
  <si>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</si>
  <si>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</si>
  <si>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</si>
  <si>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</si>
  <si>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</si>
  <si>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</si>
  <si>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</si>
  <si>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</si>
  <si>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</si>
  <si>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</si>
  <si>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</si>
  <si>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</si>
  <si>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</si>
  <si>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</si>
  <si>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</si>
  <si>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</si>
  <si>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</si>
  <si>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</si>
  <si>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</si>
  <si>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</si>
  <si>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</si>
  <si>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</si>
  <si>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</si>
  <si>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</si>
  <si>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</si>
  <si>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</si>
  <si>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</si>
  <si>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</si>
  <si>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</si>
  <si>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</si>
  <si>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</si>
  <si>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</si>
  <si>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</si>
  <si>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</si>
  <si>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</si>
  <si>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</si>
  <si>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</si>
  <si>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</si>
  <si>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</si>
  <si>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</si>
  <si>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</si>
  <si>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</si>
  <si>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</si>
  <si>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</si>
  <si>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</si>
  <si>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</si>
  <si>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</si>
  <si>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</si>
  <si>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</si>
  <si>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</si>
  <si>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</si>
  <si>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</si>
  <si>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</si>
  <si>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</si>
  <si>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</si>
  <si>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</si>
  <si>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</si>
  <si>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</si>
  <si>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</si>
  <si>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</si>
  <si>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</si>
  <si>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</si>
  <si>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</si>
  <si>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</si>
  <si>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</si>
  <si>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</si>
  <si>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</si>
  <si>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</si>
  <si>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</si>
  <si>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</si>
  <si>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</si>
  <si>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</si>
  <si>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</si>
  <si>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</si>
  <si>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</si>
  <si>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</si>
  <si>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</si>
  <si>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</si>
  <si>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</si>
  <si>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</si>
  <si>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</si>
  <si>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</si>
  <si>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</si>
  <si>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</si>
  <si>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</si>
  <si>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</si>
  <si>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</si>
  <si>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</si>
  <si>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</si>
  <si>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</si>
  <si>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</si>
  <si>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</si>
  <si>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</si>
  <si>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</si>
  <si>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</si>
  <si>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</si>
  <si>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</si>
  <si>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</si>
  <si>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</si>
  <si>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</si>
  <si>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</si>
  <si>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</si>
  <si>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</si>
  <si>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</si>
  <si>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</si>
  <si>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</si>
  <si>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</si>
  <si>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</si>
  <si>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</si>
  <si>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</si>
  <si>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</si>
  <si>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</si>
  <si>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</si>
  <si>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</si>
  <si>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</si>
  <si>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</si>
  <si>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</si>
  <si>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</si>
  <si>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</si>
  <si>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</si>
  <si>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</si>
  <si>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</si>
  <si>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</si>
  <si>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</si>
  <si>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</si>
  <si>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</si>
  <si>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</si>
  <si>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</si>
  <si>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</si>
  <si>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</si>
  <si>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</si>
  <si>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</si>
  <si>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</si>
  <si>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</si>
  <si>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</si>
  <si>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</si>
  <si>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</si>
  <si>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</si>
  <si>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</si>
  <si>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</si>
  <si>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</si>
  <si>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</si>
  <si>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</si>
  <si>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</si>
  <si>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</si>
  <si>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</si>
  <si>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</si>
  <si>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</si>
  <si>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</si>
  <si>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</si>
  <si>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</si>
  <si>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</si>
  <si>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</si>
  <si>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</si>
  <si>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</si>
  <si>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</si>
  <si>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</si>
  <si>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</si>
  <si>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</si>
  <si>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</si>
  <si>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</si>
  <si>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</si>
  <si>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</si>
  <si>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</si>
  <si>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</si>
  <si>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</si>
  <si>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</si>
  <si>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</si>
  <si>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</si>
  <si>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</si>
  <si>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</si>
  <si>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</si>
  <si>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</si>
  <si>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</si>
  <si>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</si>
  <si>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</si>
  <si>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</si>
  <si>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</si>
  <si>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</si>
  <si>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</si>
  <si>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</si>
  <si>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</si>
  <si>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</si>
  <si>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</si>
  <si>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</si>
  <si>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</si>
  <si>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</si>
  <si>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</si>
  <si>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</si>
  <si>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</si>
  <si>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</si>
  <si>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</si>
  <si>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</si>
  <si>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</si>
  <si>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</si>
  <si>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</si>
  <si>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</si>
  <si>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</si>
  <si>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</si>
  <si>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</si>
  <si>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</si>
  <si>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</si>
  <si>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</si>
  <si>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</si>
  <si>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</si>
  <si>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</si>
  <si>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</si>
  <si>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</si>
  <si>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</si>
  <si>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</si>
  <si>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</si>
  <si>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</si>
  <si>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</si>
  <si>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</si>
  <si>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</si>
  <si>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</si>
  <si>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</si>
  <si>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</si>
  <si>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</si>
  <si>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</si>
  <si>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</si>
  <si>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</si>
  <si>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</si>
  <si>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</si>
  <si>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</si>
  <si>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</si>
  <si>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</si>
  <si>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</si>
  <si>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</si>
  <si>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</si>
  <si>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</si>
  <si>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</si>
  <si>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</si>
  <si>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</si>
  <si>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</si>
  <si>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</si>
  <si>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</si>
  <si>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</si>
  <si>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</si>
  <si>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</si>
  <si>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</si>
  <si>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</si>
  <si>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</si>
  <si>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</si>
  <si>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</si>
  <si>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</si>
  <si>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</si>
  <si>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</si>
  <si>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</si>
  <si>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</si>
  <si>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</si>
  <si>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</si>
  <si>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</si>
  <si>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</si>
  <si>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</si>
  <si>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</si>
  <si>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</si>
  <si>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</si>
  <si>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</si>
  <si>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</si>
  <si>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</si>
  <si>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</si>
  <si>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</si>
  <si>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</si>
  <si>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</si>
  <si>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</si>
  <si>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</si>
  <si>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</si>
  <si>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</si>
  <si>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</si>
  <si>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</si>
  <si>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</si>
  <si>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</si>
  <si>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</si>
  <si>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</si>
  <si>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</si>
  <si>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</si>
  <si>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</si>
  <si>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</si>
  <si>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</si>
  <si>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</si>
  <si>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</si>
  <si>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</si>
  <si>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</si>
  <si>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</si>
  <si>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</si>
  <si>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</si>
  <si>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</si>
  <si>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</si>
  <si>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</si>
  <si>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</si>
  <si>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</si>
  <si>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</si>
  <si>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</si>
  <si>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</si>
  <si>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</si>
  <si>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</si>
  <si>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</si>
  <si>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</si>
  <si>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</si>
  <si>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</si>
  <si>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</si>
  <si>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</si>
  <si>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</si>
  <si>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</si>
  <si>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</si>
  <si>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</si>
  <si>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</si>
  <si>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</si>
  <si>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</si>
  <si>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</si>
  <si>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</si>
  <si>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</si>
  <si>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</si>
  <si>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</si>
  <si>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</si>
  <si>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</si>
  <si>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</si>
  <si>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</si>
  <si>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</si>
  <si>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</si>
  <si>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</si>
  <si>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</si>
  <si>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</si>
  <si>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</si>
  <si>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</si>
  <si>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</si>
  <si>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</si>
  <si>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</si>
  <si>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</si>
  <si>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</si>
  <si>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</si>
  <si>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</si>
  <si>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</si>
  <si>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</si>
  <si>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</si>
  <si>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</si>
  <si>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</si>
  <si>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</si>
  <si>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</si>
  <si>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</si>
  <si>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</si>
  <si>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</si>
  <si>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</si>
  <si>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</si>
  <si>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</si>
  <si>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</si>
  <si>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</si>
  <si>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</si>
  <si>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</si>
  <si>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</si>
  <si>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</si>
  <si>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</si>
  <si>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</si>
  <si>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</si>
  <si>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</si>
  <si>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</si>
  <si>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</si>
  <si>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</si>
  <si>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</si>
  <si>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</si>
  <si>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</si>
  <si>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</si>
  <si>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</si>
  <si>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</si>
  <si>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</si>
  <si>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</si>
  <si>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</si>
  <si>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</si>
  <si>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</si>
  <si>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</si>
  <si>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</si>
  <si>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</si>
  <si>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</si>
  <si>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</si>
  <si>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</si>
  <si>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</si>
  <si>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</si>
  <si>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</si>
  <si>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</si>
  <si>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</si>
  <si>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</si>
  <si>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</si>
  <si>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</si>
  <si>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</si>
  <si>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</si>
  <si>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</si>
  <si>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</si>
  <si>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</si>
  <si>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</si>
  <si>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</si>
  <si>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</si>
  <si>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</si>
  <si>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</si>
  <si>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</si>
  <si>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</si>
  <si>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</si>
  <si>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</si>
  <si>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</si>
  <si>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</si>
  <si>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</si>
  <si>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</si>
  <si>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</si>
  <si>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</si>
  <si>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</si>
  <si>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</si>
  <si>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</si>
  <si>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</si>
  <si>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</si>
  <si>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</si>
  <si>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</si>
  <si>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</si>
  <si>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</si>
  <si>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</si>
  <si>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</si>
  <si>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</si>
  <si>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</si>
  <si>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</si>
  <si>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</si>
  <si>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</si>
  <si>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</si>
  <si>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</si>
  <si>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</si>
  <si>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</si>
  <si>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</si>
  <si>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</si>
  <si>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</si>
  <si>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</si>
  <si>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</si>
  <si>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</si>
  <si>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</si>
  <si>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</si>
  <si>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</si>
  <si>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</si>
  <si>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</si>
  <si>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</si>
  <si>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</si>
  <si>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</si>
  <si>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</si>
  <si>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</si>
  <si>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</si>
  <si>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</si>
  <si>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</si>
  <si>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</si>
  <si>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</si>
  <si>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</si>
  <si>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</si>
  <si>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</si>
  <si>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</si>
  <si>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</si>
  <si>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</si>
  <si>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</si>
  <si>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</si>
  <si>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</si>
  <si>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</si>
  <si>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</si>
  <si>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</si>
  <si>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</si>
  <si>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</si>
  <si>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</si>
  <si>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</si>
  <si>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</si>
  <si>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</si>
  <si>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</si>
  <si>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</si>
  <si>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</si>
  <si>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</si>
  <si>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</si>
  <si>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</si>
  <si>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</si>
  <si>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</si>
  <si>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</si>
  <si>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</si>
  <si>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</si>
  <si>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</si>
  <si>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</si>
  <si>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</si>
  <si>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</si>
  <si>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</si>
  <si>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</si>
  <si>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</si>
  <si>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</si>
  <si>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</si>
  <si>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</si>
  <si>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</si>
  <si>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</si>
  <si>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</si>
  <si>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</si>
  <si>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</si>
  <si>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</si>
  <si>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</si>
  <si>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</si>
  <si>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</si>
  <si>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</si>
  <si>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</si>
  <si>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</si>
  <si>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</si>
  <si>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</si>
  <si>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</si>
  <si>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</si>
  <si>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</si>
  <si>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</si>
  <si>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</si>
  <si>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</si>
  <si>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</si>
  <si>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</si>
  <si>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</si>
  <si>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</si>
  <si>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</si>
  <si>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</si>
  <si>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</si>
  <si>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</si>
  <si>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</si>
  <si>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</si>
  <si>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</si>
  <si>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</si>
  <si>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</si>
  <si>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</si>
  <si>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</si>
  <si>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</si>
  <si>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</si>
  <si>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</si>
  <si>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</si>
  <si>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</si>
  <si>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</si>
  <si>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</si>
  <si>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</si>
  <si>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</si>
  <si>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</si>
  <si>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</si>
  <si>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</si>
  <si>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</si>
  <si>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</si>
  <si>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</si>
  <si>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</si>
  <si>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</si>
  <si>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</si>
  <si>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</si>
  <si>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</si>
  <si>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</si>
  <si>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</si>
  <si>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</si>
  <si>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</si>
  <si>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</si>
  <si>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</si>
  <si>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</si>
  <si>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</si>
  <si>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</si>
  <si>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</si>
  <si>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</si>
  <si>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</si>
  <si>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</si>
  <si>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</si>
  <si>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</si>
  <si>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</si>
  <si>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</si>
  <si>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</si>
  <si>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</si>
  <si>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</si>
  <si>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</si>
  <si>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</si>
  <si>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</si>
  <si>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</si>
  <si>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</si>
  <si>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</si>
  <si>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</si>
  <si>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</si>
  <si>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</si>
  <si>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</si>
  <si>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</si>
  <si>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</si>
  <si>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</si>
  <si>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</si>
  <si>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</si>
  <si>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</si>
  <si>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</si>
  <si>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</si>
  <si>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</si>
  <si>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</si>
  <si>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</si>
  <si>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</si>
  <si>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</si>
  <si>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</si>
  <si>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</si>
  <si>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</si>
  <si>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</si>
  <si>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</si>
  <si>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</si>
  <si>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</si>
  <si>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</si>
  <si>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</si>
  <si>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</si>
  <si>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</si>
  <si>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</si>
  <si>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</si>
  <si>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</si>
  <si>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</si>
  <si>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</si>
  <si>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</si>
  <si>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</si>
  <si>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</si>
  <si>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</si>
  <si>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</si>
  <si>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</si>
  <si>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</si>
  <si>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</si>
  <si>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</si>
  <si>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</si>
  <si>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</si>
  <si>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</si>
  <si>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</si>
  <si>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</si>
  <si>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</si>
  <si>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</si>
  <si>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</si>
  <si>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</si>
  <si>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</si>
  <si>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</si>
  <si>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</si>
  <si>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</si>
  <si>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</si>
  <si>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</si>
  <si>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</si>
  <si>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</si>
  <si>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</si>
  <si>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</si>
  <si>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</si>
  <si>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</si>
  <si>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</si>
  <si>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</si>
  <si>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</si>
  <si>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</si>
  <si>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</si>
  <si>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</si>
  <si>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</si>
  <si>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</si>
  <si>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</si>
  <si>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</si>
  <si>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</si>
  <si>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</si>
  <si>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</si>
  <si>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</si>
  <si>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</si>
  <si>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</si>
  <si>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</si>
  <si>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</si>
  <si>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</si>
  <si>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</si>
  <si>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</si>
  <si>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</si>
  <si>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</si>
  <si>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</si>
  <si>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</si>
  <si>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</si>
  <si>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</si>
  <si>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</si>
  <si>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</si>
  <si>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</si>
  <si>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</si>
  <si>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</si>
  <si>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</si>
  <si>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</si>
  <si>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</si>
  <si>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</si>
  <si>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</si>
  <si>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</si>
  <si>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</si>
  <si>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</si>
  <si>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</si>
  <si>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</si>
  <si>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</si>
  <si>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</si>
  <si>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</si>
  <si>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</si>
  <si>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</si>
  <si>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</si>
  <si>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</si>
  <si>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</si>
  <si>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</si>
  <si>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</si>
  <si>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</si>
  <si>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</si>
  <si>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</si>
  <si>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</si>
  <si>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</si>
  <si>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</si>
  <si>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</si>
  <si>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</si>
  <si>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</si>
  <si>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</si>
  <si>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</si>
  <si>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</si>
  <si>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</si>
  <si>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</si>
  <si>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</si>
  <si>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</si>
  <si>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</si>
  <si>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</si>
  <si>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</si>
  <si>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</si>
  <si>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</si>
  <si>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</si>
  <si>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</si>
  <si>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</si>
  <si>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</si>
  <si>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</si>
  <si>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</si>
  <si>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</si>
  <si>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</si>
  <si>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</si>
  <si>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</si>
  <si>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</si>
  <si>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</si>
  <si>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</si>
  <si>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</si>
  <si>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</si>
  <si>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</si>
  <si>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</si>
  <si>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</si>
  <si>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</si>
  <si>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</si>
  <si>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</si>
  <si>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</si>
  <si>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</si>
  <si>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</si>
  <si>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</si>
  <si>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</si>
  <si>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</si>
  <si>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</si>
  <si>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</si>
  <si>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</si>
  <si>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</si>
  <si>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</si>
  <si>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</si>
  <si>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</si>
  <si>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</si>
  <si>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</si>
  <si>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</si>
  <si>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</si>
  <si>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</si>
  <si>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</si>
  <si>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</si>
  <si>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</si>
  <si>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</si>
  <si>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</si>
  <si>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</si>
  <si>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</si>
  <si>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</si>
  <si>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</si>
  <si>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</si>
  <si>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</si>
  <si>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</si>
  <si>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</si>
  <si>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</si>
  <si>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</si>
  <si>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</si>
  <si>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</si>
  <si>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</si>
  <si>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</si>
  <si>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</si>
  <si>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</si>
  <si>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</si>
  <si>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</si>
  <si>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</si>
  <si>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</si>
  <si>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</si>
  <si>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</si>
  <si>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</si>
  <si>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</si>
  <si>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</si>
  <si>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</si>
  <si>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</si>
  <si>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</si>
  <si>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</si>
  <si>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</si>
  <si>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</si>
  <si>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</si>
  <si>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</si>
  <si>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</si>
  <si>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</si>
  <si>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</si>
  <si>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</si>
  <si>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</si>
  <si>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</si>
  <si>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</si>
  <si>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</si>
  <si>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</si>
  <si>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</si>
  <si>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</si>
  <si>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</si>
  <si>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</si>
  <si>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</si>
  <si>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</si>
  <si>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</si>
  <si>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</si>
  <si>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</si>
  <si>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</si>
  <si>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</si>
  <si>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</si>
  <si>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</si>
  <si>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</si>
  <si>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</si>
  <si>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</si>
  <si>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</si>
  <si>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</si>
  <si>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</si>
  <si>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</si>
  <si>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</si>
  <si>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</si>
  <si>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</si>
  <si>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</si>
  <si>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</si>
  <si>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</si>
  <si>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</si>
  <si>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</si>
  <si>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</si>
  <si>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</si>
  <si>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</si>
  <si>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</si>
  <si>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</si>
  <si>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</si>
  <si>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</si>
  <si>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</si>
  <si>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</si>
  <si>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</si>
  <si>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</si>
  <si>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</si>
  <si>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</si>
  <si>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</si>
  <si>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</si>
  <si>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</si>
  <si>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</si>
  <si>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</si>
  <si>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</si>
  <si>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</si>
  <si>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</si>
  <si>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</si>
  <si>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</si>
  <si>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</si>
  <si>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</si>
  <si>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</si>
  <si>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</si>
  <si>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</si>
  <si>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</si>
  <si>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</si>
  <si>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</si>
  <si>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</si>
  <si>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</si>
  <si>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</si>
  <si>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</si>
  <si>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</si>
  <si>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</si>
  <si>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</si>
  <si>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</si>
  <si>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</si>
  <si>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</si>
  <si>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</si>
  <si>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</si>
  <si>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</si>
  <si>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</si>
  <si>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</si>
  <si>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</si>
  <si>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</si>
  <si>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</si>
  <si>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</si>
  <si>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</si>
  <si>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</si>
  <si>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</si>
  <si>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</si>
  <si>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</si>
  <si>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</si>
  <si>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</si>
  <si>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</si>
  <si>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</si>
  <si>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</si>
  <si>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</si>
  <si>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</si>
  <si>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</si>
  <si>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</si>
  <si>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</si>
  <si>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</si>
  <si>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</si>
  <si>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</si>
  <si>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</si>
  <si>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</si>
  <si>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</si>
  <si>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</si>
  <si>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</si>
  <si>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</si>
  <si>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</si>
  <si>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</si>
  <si>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</si>
  <si>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</si>
  <si>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</si>
  <si>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</si>
  <si>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</si>
  <si>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</si>
  <si>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</si>
  <si>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</si>
  <si>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</si>
  <si>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</si>
  <si>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</si>
  <si>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</si>
  <si>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</si>
  <si>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</si>
  <si>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</si>
  <si>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</si>
  <si>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</si>
  <si>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</si>
  <si>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</si>
  <si>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</si>
  <si>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</si>
  <si>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</si>
  <si>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</si>
  <si>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</si>
  <si>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</si>
  <si>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</si>
  <si>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</si>
  <si>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</si>
  <si>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</si>
  <si>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</si>
  <si>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</si>
  <si>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</si>
  <si>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</si>
  <si>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</si>
  <si>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</si>
  <si>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</si>
  <si>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</si>
  <si>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</si>
  <si>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</si>
  <si>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</si>
  <si>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</si>
  <si>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</si>
  <si>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</si>
  <si>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</si>
  <si>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</si>
  <si>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</si>
  <si>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</si>
  <si>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</si>
  <si>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</si>
  <si>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</si>
  <si>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</si>
  <si>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</si>
  <si>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</si>
  <si>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</si>
  <si>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</si>
  <si>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</si>
  <si>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</si>
  <si>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</si>
  <si>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</si>
  <si>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</si>
  <si>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</si>
  <si>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</si>
  <si>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</si>
  <si>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</si>
  <si>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</si>
  <si>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</si>
  <si>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</si>
  <si>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</si>
  <si>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</si>
  <si>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</si>
  <si>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</si>
  <si>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</si>
  <si>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</si>
  <si>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</si>
  <si>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</si>
  <si>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</si>
  <si>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</si>
  <si>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</si>
  <si>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</si>
  <si>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</si>
  <si>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</si>
  <si>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</si>
  <si>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</si>
  <si>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</si>
  <si>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</si>
  <si>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</si>
  <si>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</si>
  <si>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</si>
  <si>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</si>
  <si>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</si>
  <si>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</si>
  <si>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</si>
  <si>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</si>
  <si>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</si>
  <si>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</si>
  <si>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CJ6-T</t>
  </si>
  <si>
    <t>APP 53KVA</t>
  </si>
  <si>
    <t>APP 41,5KVA</t>
  </si>
  <si>
    <t>LVTC 3X35+35</t>
  </si>
  <si>
    <t>MTR</t>
  </si>
  <si>
    <t>LVTC 3X70+70</t>
  </si>
  <si>
    <t>MGN02</t>
  </si>
  <si>
    <t>MANAGER ULP TEGOWANU</t>
  </si>
  <si>
    <t>HARY PRATAMA</t>
  </si>
  <si>
    <t>ATB</t>
  </si>
  <si>
    <t>SJ6</t>
  </si>
  <si>
    <t>C14-350E</t>
  </si>
  <si>
    <t>BTG</t>
  </si>
  <si>
    <t>CC7</t>
  </si>
  <si>
    <t>CC8-AN</t>
  </si>
  <si>
    <t>CM5-5</t>
  </si>
  <si>
    <t>CM2-12</t>
  </si>
  <si>
    <t>CM2-12A</t>
  </si>
  <si>
    <t>CE1-2</t>
  </si>
  <si>
    <t>F1-3</t>
  </si>
  <si>
    <t>CM8-A1</t>
  </si>
  <si>
    <t>NYY 1X70 mm2</t>
  </si>
  <si>
    <t>CCO 70-70</t>
  </si>
  <si>
    <t>BH</t>
  </si>
  <si>
    <t>CCO 240-70</t>
  </si>
  <si>
    <t>CCO 150-70</t>
  </si>
  <si>
    <t>TL. Teknik</t>
  </si>
  <si>
    <t>AAAC 70 mm2</t>
  </si>
  <si>
    <t>Tegowanu, Oktober 2023</t>
  </si>
  <si>
    <t>DC MGN01-67 MGN06-73</t>
  </si>
  <si>
    <t>CG-106 50 KVA</t>
  </si>
  <si>
    <t>CG-106 25KVA</t>
  </si>
  <si>
    <t>Keterangan Tambahan : '-7.007125,110.514075</t>
  </si>
  <si>
    <t>SMA N 1 MRANGGEN</t>
  </si>
  <si>
    <t>MENUR NGEMPLAK MRANGGEN</t>
  </si>
  <si>
    <t>Trafo 1 Fasa CSP 50 KVA (G105, G106, G136)</t>
  </si>
  <si>
    <t>NFA2X-T 2 x 70 + N 50 mm²</t>
  </si>
  <si>
    <t>Sepatu Kabel AL/CU Ring-70 mm²</t>
  </si>
  <si>
    <t>Daya 11.000 VA</t>
  </si>
  <si>
    <t>KOORDINAT LOKASI :  '-7.007125,110.514075</t>
  </si>
  <si>
    <t>Hasil Ukur Trafo 3 Ph 25 KVA ( X ) di SYG5-227/27/3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</si>
</sst>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5" fontId="102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5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6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6" fontId="21" fillId="0" borderId="0" applyFont="0" applyFill="0" applyBorder="0" applyAlignment="0" applyProtection="0"/>
    <xf numFmtId="166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09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67" fillId="0" borderId="0"/>
    <xf numFmtId="0" fontId="34" fillId="0" borderId="0"/>
    <xf numFmtId="0" fontId="109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09" fillId="0" borderId="0"/>
    <xf numFmtId="0" fontId="10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09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09" fillId="0" borderId="0"/>
    <xf numFmtId="0" fontId="109" fillId="0" borderId="0"/>
    <xf numFmtId="0" fontId="109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09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111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1" fillId="0" borderId="0"/>
    <xf numFmtId="0" fontId="110" fillId="0" borderId="0"/>
    <xf numFmtId="0" fontId="6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41" fillId="0" borderId="0" applyFont="0" applyFill="0" applyBorder="0" applyAlignment="0" applyProtection="0"/>
    <xf numFmtId="41" fontId="15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13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4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4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4" fontId="43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5" fontId="51" fillId="0" borderId="0" xfId="1652" applyNumberFormat="1" applyFont="1"/>
    <xf numFmtId="0" fontId="109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5" fontId="42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5" fontId="42" fillId="0" borderId="0" xfId="1615" applyNumberFormat="1" applyFont="1" applyAlignment="1">
      <alignment horizontal="left" vertical="center"/>
    </xf>
    <xf numFmtId="165" fontId="51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4" fontId="93" fillId="0" borderId="0" xfId="1448" applyNumberFormat="1" applyFont="1" applyAlignment="1">
      <alignment wrapText="1"/>
    </xf>
    <xf numFmtId="164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4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15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18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5" fontId="114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6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8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4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18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left" vertical="center"/>
    </xf>
    <xf numFmtId="0" fontId="126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right" vertical="center"/>
    </xf>
    <xf numFmtId="9" fontId="127" fillId="36" borderId="0" xfId="2671" applyFont="1" applyFill="1" applyBorder="1" applyAlignment="1" applyProtection="1">
      <alignment horizontal="right" vertical="center"/>
    </xf>
    <xf numFmtId="165" fontId="126" fillId="36" borderId="0" xfId="2672" applyFont="1" applyFill="1" applyBorder="1" applyAlignment="1" applyProtection="1">
      <alignment horizontal="right" vertical="center"/>
    </xf>
    <xf numFmtId="165" fontId="127" fillId="36" borderId="0" xfId="2672" applyFont="1" applyFill="1" applyBorder="1" applyAlignment="1" applyProtection="1">
      <alignment horizontal="right" vertical="center"/>
    </xf>
    <xf numFmtId="10" fontId="127" fillId="36" borderId="0" xfId="2671" applyNumberFormat="1" applyFont="1" applyFill="1" applyBorder="1" applyAlignment="1" applyProtection="1">
      <alignment horizontal="right" vertical="center"/>
    </xf>
    <xf numFmtId="169" fontId="126" fillId="36" borderId="0" xfId="2672" applyNumberFormat="1" applyFont="1" applyFill="1" applyBorder="1" applyAlignment="1" applyProtection="1">
      <alignment horizontal="right" vertical="center"/>
    </xf>
    <xf numFmtId="0" fontId="120" fillId="0" borderId="0" xfId="2670" applyFont="1" applyAlignment="1">
      <alignment horizontal="left" vertical="center"/>
    </xf>
    <xf numFmtId="0" fontId="123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0" fillId="0" borderId="0" xfId="1538"/>
    <xf numFmtId="165" fontId="110" fillId="0" borderId="0" xfId="1538" applyNumberFormat="1"/>
    <xf numFmtId="0" fontId="60" fillId="0" borderId="0" xfId="1538" applyFont="1"/>
    <xf numFmtId="0" fontId="113" fillId="0" borderId="0" xfId="1538" applyFont="1"/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0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5" fontId="0" fillId="0" borderId="3" xfId="1026" applyFont="1" applyFill="1" applyBorder="1" applyProtection="1"/>
    <xf numFmtId="165" fontId="110" fillId="0" borderId="3" xfId="1538" applyNumberFormat="1" applyBorder="1"/>
    <xf numFmtId="165" fontId="121" fillId="0" borderId="3" xfId="1026" applyFont="1" applyBorder="1" applyProtection="1"/>
    <xf numFmtId="165" fontId="0" fillId="0" borderId="3" xfId="1026" applyFont="1" applyBorder="1" applyProtection="1"/>
    <xf numFmtId="165" fontId="113" fillId="0" borderId="3" xfId="1538" applyNumberFormat="1" applyFont="1" applyBorder="1"/>
    <xf numFmtId="0" fontId="60" fillId="0" borderId="3" xfId="1538" applyFont="1" applyBorder="1"/>
    <xf numFmtId="164" fontId="110" fillId="0" borderId="3" xfId="1538" applyNumberFormat="1" applyBorder="1"/>
    <xf numFmtId="165" fontId="102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5" fontId="48" fillId="0" borderId="3" xfId="1538" applyNumberFormat="1" applyFont="1" applyBorder="1"/>
    <xf numFmtId="0" fontId="110" fillId="29" borderId="0" xfId="1538" applyFill="1"/>
    <xf numFmtId="0" fontId="48" fillId="0" borderId="0" xfId="1538" applyFont="1" applyAlignment="1">
      <alignment horizontal="center"/>
    </xf>
    <xf numFmtId="165" fontId="48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5" fontId="110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29" fillId="0" borderId="0" xfId="1614" applyFont="1" applyAlignment="1">
      <alignment horizontal="center"/>
    </xf>
    <xf numFmtId="0" fontId="130" fillId="0" borderId="0" xfId="1614" applyFont="1" applyAlignment="1">
      <alignment horizontal="center" vertical="center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2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3" fontId="129" fillId="0" borderId="0" xfId="1614" applyNumberFormat="1" applyFont="1" applyAlignment="1">
      <alignment horizontal="center"/>
    </xf>
    <xf numFmtId="0" fontId="134" fillId="0" borderId="0" xfId="1614" applyFont="1"/>
    <xf numFmtId="165" fontId="134" fillId="0" borderId="0" xfId="1652" applyNumberFormat="1" applyFont="1"/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left" vertical="center"/>
    </xf>
    <xf numFmtId="0" fontId="134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0" fontId="134" fillId="0" borderId="0" xfId="1614" applyFont="1" applyAlignment="1">
      <alignment horizontal="center" vertical="center" wrapText="1"/>
    </xf>
    <xf numFmtId="0" fontId="131" fillId="0" borderId="0" xfId="1614" applyFont="1" applyAlignment="1">
      <alignment horizontal="center" vertical="center" wrapText="1"/>
    </xf>
    <xf numFmtId="3" fontId="130" fillId="0" borderId="0" xfId="1614" applyNumberFormat="1" applyFont="1" applyAlignment="1">
      <alignment vertical="center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130" fillId="0" borderId="21" xfId="1614" applyFont="1" applyBorder="1" applyAlignment="1">
      <alignment horizontal="center" vertical="center" wrapText="1"/>
    </xf>
    <xf numFmtId="0" fontId="137" fillId="0" borderId="21" xfId="1614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0" fillId="0" borderId="21" xfId="1614" applyNumberFormat="1" applyFont="1" applyBorder="1" applyAlignment="1">
      <alignment horizontal="center" vertical="center"/>
    </xf>
    <xf numFmtId="3" fontId="130" fillId="0" borderId="22" xfId="1614" applyNumberFormat="1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/>
    </xf>
    <xf numFmtId="3" fontId="129" fillId="0" borderId="0" xfId="1614" applyNumberFormat="1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2" fillId="0" borderId="21" xfId="1653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0" fillId="0" borderId="21" xfId="1451" applyFont="1" applyBorder="1" applyAlignment="1">
      <alignment horizontal="left" vertical="center" wrapText="1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horizontal="center" vertical="center"/>
    </xf>
    <xf numFmtId="0" fontId="137" fillId="0" borderId="44" xfId="1652" applyFont="1" applyBorder="1" applyAlignment="1">
      <alignment horizontal="center" vertical="center"/>
    </xf>
    <xf numFmtId="0" fontId="137" fillId="0" borderId="3" xfId="1652" applyFont="1" applyBorder="1" applyAlignment="1">
      <alignment vertical="center" wrapText="1"/>
    </xf>
    <xf numFmtId="0" fontId="130" fillId="0" borderId="3" xfId="1614" applyFont="1" applyBorder="1" applyAlignment="1">
      <alignment horizontal="center" vertical="center" wrapText="1"/>
    </xf>
    <xf numFmtId="0" fontId="137" fillId="0" borderId="3" xfId="1614" applyFont="1" applyBorder="1" applyAlignment="1">
      <alignment horizontal="center" vertical="center"/>
    </xf>
    <xf numFmtId="0" fontId="137" fillId="0" borderId="3" xfId="1652" applyFont="1" applyBorder="1" applyAlignment="1">
      <alignment horizontal="center" vertical="center"/>
    </xf>
    <xf numFmtId="207" fontId="137" fillId="0" borderId="3" xfId="1614" applyNumberFormat="1" applyFont="1" applyBorder="1" applyAlignment="1">
      <alignment horizontal="center" vertical="center"/>
    </xf>
    <xf numFmtId="3" fontId="130" fillId="0" borderId="3" xfId="1614" applyNumberFormat="1" applyFont="1" applyBorder="1" applyAlignment="1">
      <alignment horizontal="center" vertical="center"/>
    </xf>
    <xf numFmtId="3" fontId="130" fillId="0" borderId="39" xfId="1614" applyNumberFormat="1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30" fillId="0" borderId="23" xfId="1614" applyFont="1" applyBorder="1" applyAlignment="1">
      <alignment horizontal="center" vertical="center"/>
    </xf>
    <xf numFmtId="0" fontId="130" fillId="0" borderId="24" xfId="1614" applyFont="1" applyBorder="1" applyAlignment="1">
      <alignment horizontal="left" vertical="center"/>
    </xf>
    <xf numFmtId="0" fontId="130" fillId="0" borderId="24" xfId="1614" applyFont="1" applyBorder="1" applyAlignment="1">
      <alignment vertical="center"/>
    </xf>
    <xf numFmtId="0" fontId="137" fillId="0" borderId="24" xfId="1614" applyFont="1" applyBorder="1" applyAlignment="1">
      <alignment horizontal="center" vertical="center"/>
    </xf>
    <xf numFmtId="3" fontId="130" fillId="0" borderId="24" xfId="1614" applyNumberFormat="1" applyFont="1" applyBorder="1" applyAlignment="1">
      <alignment horizontal="center" vertical="center"/>
    </xf>
    <xf numFmtId="3" fontId="130" fillId="0" borderId="25" xfId="1614" applyNumberFormat="1" applyFont="1" applyBorder="1" applyAlignment="1">
      <alignment horizontal="center" vertical="center"/>
    </xf>
    <xf numFmtId="0" fontId="132" fillId="0" borderId="26" xfId="1614" applyFont="1" applyBorder="1" applyAlignment="1">
      <alignment horizontal="center" vertical="center"/>
    </xf>
    <xf numFmtId="37" fontId="134" fillId="0" borderId="27" xfId="1614" applyNumberFormat="1" applyFont="1" applyBorder="1" applyAlignment="1">
      <alignment horizontal="center"/>
    </xf>
    <xf numFmtId="37" fontId="132" fillId="0" borderId="27" xfId="1614" applyNumberFormat="1" applyFont="1" applyBorder="1" applyAlignment="1">
      <alignment horizontal="center"/>
    </xf>
    <xf numFmtId="0" fontId="132" fillId="0" borderId="28" xfId="1614" applyFont="1" applyBorder="1" applyAlignment="1">
      <alignment horizontal="center" vertical="center"/>
    </xf>
    <xf numFmtId="37" fontId="134" fillId="0" borderId="29" xfId="1614" applyNumberFormat="1" applyFont="1" applyBorder="1" applyAlignment="1">
      <alignment horizontal="center"/>
    </xf>
    <xf numFmtId="37" fontId="132" fillId="0" borderId="29" xfId="1614" applyNumberFormat="1" applyFont="1" applyBorder="1" applyAlignment="1">
      <alignment horizontal="center"/>
    </xf>
    <xf numFmtId="37" fontId="138" fillId="0" borderId="30" xfId="1614" applyNumberFormat="1" applyFont="1" applyBorder="1" applyAlignment="1">
      <alignment horizontal="center"/>
    </xf>
    <xf numFmtId="37" fontId="138" fillId="0" borderId="32" xfId="1614" applyNumberFormat="1" applyFont="1" applyBorder="1" applyAlignment="1">
      <alignment horizontal="center"/>
    </xf>
    <xf numFmtId="0" fontId="138" fillId="0" borderId="34" xfId="1614" applyFont="1" applyBorder="1" applyAlignment="1">
      <alignment vertical="center"/>
    </xf>
    <xf numFmtId="0" fontId="132" fillId="0" borderId="19" xfId="1614" applyFont="1" applyBorder="1"/>
    <xf numFmtId="0" fontId="132" fillId="0" borderId="19" xfId="1614" applyFont="1" applyBorder="1" applyAlignment="1">
      <alignment horizontal="center"/>
    </xf>
    <xf numFmtId="0" fontId="132" fillId="0" borderId="19" xfId="1614" applyFont="1" applyBorder="1" applyAlignment="1">
      <alignment horizontal="right"/>
    </xf>
    <xf numFmtId="0" fontId="132" fillId="0" borderId="31" xfId="1614" applyFont="1" applyBorder="1" applyAlignment="1">
      <alignment horizontal="right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164" fontId="137" fillId="0" borderId="0" xfId="1652" applyNumberFormat="1" applyFont="1" applyAlignment="1">
      <alignment vertical="center"/>
    </xf>
    <xf numFmtId="0" fontId="132" fillId="0" borderId="0" xfId="1652" applyFont="1" applyAlignment="1">
      <alignment horizontal="right"/>
    </xf>
    <xf numFmtId="0" fontId="139" fillId="0" borderId="0" xfId="1644" applyFont="1" applyAlignment="1">
      <alignment horizontal="center" vertical="center"/>
    </xf>
    <xf numFmtId="0" fontId="137" fillId="0" borderId="0" xfId="1652" applyFont="1" applyAlignment="1">
      <alignment vertical="center"/>
    </xf>
    <xf numFmtId="0" fontId="140" fillId="39" borderId="59" xfId="2670" applyFont="1" applyFill="1" applyBorder="1" applyAlignment="1">
      <alignment horizontal="left" vertical="center"/>
    </xf>
    <xf numFmtId="0" fontId="140" fillId="39" borderId="60" xfId="2670" applyFont="1" applyFill="1" applyBorder="1" applyAlignment="1">
      <alignment horizontal="center" vertical="center"/>
    </xf>
    <xf numFmtId="0" fontId="140" fillId="39" borderId="62" xfId="2670" applyFont="1" applyFill="1" applyBorder="1" applyAlignment="1">
      <alignment horizontal="left" vertical="center"/>
    </xf>
    <xf numFmtId="0" fontId="140" fillId="39" borderId="58" xfId="2670" applyFont="1" applyFill="1" applyBorder="1" applyAlignment="1">
      <alignment horizontal="center" vertical="center"/>
    </xf>
    <xf numFmtId="0" fontId="140" fillId="39" borderId="64" xfId="2670" applyFont="1" applyFill="1" applyBorder="1" applyAlignment="1">
      <alignment horizontal="left" vertical="center"/>
    </xf>
    <xf numFmtId="0" fontId="140" fillId="39" borderId="65" xfId="2670" applyFont="1" applyFill="1" applyBorder="1" applyAlignment="1">
      <alignment horizontal="center" vertical="center"/>
    </xf>
    <xf numFmtId="165" fontId="122" fillId="40" borderId="61" xfId="2672" applyFont="1" applyFill="1" applyBorder="1" applyAlignment="1" applyProtection="1">
      <alignment horizontal="right" vertical="center" wrapText="1"/>
      <protection locked="0"/>
    </xf>
    <xf numFmtId="165" fontId="122" fillId="40" borderId="63" xfId="2672" applyFont="1" applyFill="1" applyBorder="1" applyAlignment="1" applyProtection="1">
      <alignment horizontal="right" vertical="center"/>
      <protection locked="0"/>
    </xf>
    <xf numFmtId="169" fontId="122" fillId="40" borderId="63" xfId="2672" applyNumberFormat="1" applyFont="1" applyFill="1" applyBorder="1" applyAlignment="1" applyProtection="1">
      <alignment horizontal="right" vertical="center"/>
      <protection locked="0"/>
    </xf>
    <xf numFmtId="169" fontId="122" fillId="40" borderId="66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51" xfId="2673" applyFont="1" applyBorder="1" applyAlignment="1">
      <alignment horizontal="center" vertical="center" wrapText="1"/>
    </xf>
    <xf numFmtId="0" fontId="143" fillId="0" borderId="0" xfId="2673" applyFont="1" applyAlignment="1">
      <alignment horizontal="center" vertical="center" wrapText="1"/>
    </xf>
    <xf numFmtId="0" fontId="144" fillId="0" borderId="0" xfId="2673" applyFont="1" applyAlignment="1">
      <alignment vertical="center" wrapText="1"/>
    </xf>
    <xf numFmtId="0" fontId="145" fillId="0" borderId="0" xfId="2673" applyFont="1" applyAlignment="1">
      <alignment vertical="center" wrapText="1"/>
    </xf>
    <xf numFmtId="0" fontId="128" fillId="35" borderId="70" xfId="2673" applyFont="1" applyFill="1" applyBorder="1" applyAlignment="1">
      <alignment vertical="center" wrapText="1"/>
    </xf>
    <xf numFmtId="0" fontId="128" fillId="43" borderId="70" xfId="2673" applyFont="1" applyFill="1" applyBorder="1" applyAlignment="1">
      <alignment vertical="center" wrapText="1"/>
    </xf>
    <xf numFmtId="0" fontId="142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7" fillId="35" borderId="32" xfId="2673" applyFont="1" applyFill="1" applyBorder="1" applyAlignment="1">
      <alignment vertical="center" wrapText="1"/>
    </xf>
    <xf numFmtId="0" fontId="117" fillId="43" borderId="32" xfId="2673" applyFont="1" applyFill="1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2" fontId="117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2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7" fillId="0" borderId="0" xfId="2675" applyFont="1" applyFill="1" applyBorder="1" applyAlignment="1">
      <alignment horizontal="center" vertical="center" wrapText="1"/>
    </xf>
    <xf numFmtId="1" fontId="117" fillId="0" borderId="45" xfId="2673" applyNumberFormat="1" applyFont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0" fillId="0" borderId="0" xfId="2673" applyFont="1" applyAlignment="1">
      <alignment horizontal="center" vertical="center" wrapText="1"/>
    </xf>
    <xf numFmtId="2" fontId="150" fillId="0" borderId="0" xfId="2673" applyNumberFormat="1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0" borderId="48" xfId="2673" applyFont="1" applyBorder="1" applyAlignment="1">
      <alignment horizontal="center" vertical="center" wrapText="1"/>
    </xf>
    <xf numFmtId="0" fontId="128" fillId="35" borderId="44" xfId="2673" applyFont="1" applyFill="1" applyBorder="1" applyAlignment="1">
      <alignment vertical="center" wrapText="1"/>
    </xf>
    <xf numFmtId="1" fontId="117" fillId="0" borderId="50" xfId="2673" applyNumberFormat="1" applyFont="1" applyBorder="1" applyAlignment="1">
      <alignment vertical="center" wrapText="1"/>
    </xf>
    <xf numFmtId="0" fontId="117" fillId="35" borderId="44" xfId="2673" applyFont="1" applyFill="1" applyBorder="1" applyAlignment="1">
      <alignment vertical="center" wrapText="1"/>
    </xf>
    <xf numFmtId="0" fontId="117" fillId="35" borderId="74" xfId="2673" applyFont="1" applyFill="1" applyBorder="1" applyAlignment="1">
      <alignment vertical="center" wrapText="1"/>
    </xf>
    <xf numFmtId="0" fontId="104" fillId="0" borderId="52" xfId="2673" applyFont="1" applyBorder="1" applyAlignment="1">
      <alignment horizontal="center"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44" xfId="2673" applyFont="1" applyBorder="1" applyAlignment="1">
      <alignment vertical="center" wrapText="1"/>
    </xf>
    <xf numFmtId="0" fontId="117" fillId="0" borderId="44" xfId="2673" applyFont="1" applyBorder="1" applyAlignment="1">
      <alignment vertical="center" wrapText="1"/>
    </xf>
    <xf numFmtId="0" fontId="117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3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3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26" fillId="47" borderId="0" xfId="2672" applyNumberFormat="1" applyFont="1" applyFill="1" applyBorder="1" applyAlignment="1" applyProtection="1">
      <alignment horizontal="right" vertical="center"/>
    </xf>
    <xf numFmtId="0" fontId="137" fillId="0" borderId="21" xfId="1615" applyFont="1" applyBorder="1" applyAlignment="1">
      <alignment horizontal="center" vertical="center"/>
    </xf>
    <xf numFmtId="20" fontId="154" fillId="33" borderId="101" xfId="0" applyNumberFormat="1" applyFont="1" applyFill="1" applyBorder="1" applyAlignment="1">
      <alignment horizont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horizontal="left" vertical="center" wrapText="1"/>
    </xf>
    <xf numFmtId="0" fontId="154" fillId="33" borderId="26" xfId="0" applyFont="1" applyFill="1" applyBorder="1" applyAlignment="1">
      <alignment horizontal="center"/>
    </xf>
    <xf numFmtId="0" fontId="154" fillId="33" borderId="36" xfId="0" applyFont="1" applyFill="1" applyBorder="1" applyAlignment="1">
      <alignment horizontal="center"/>
    </xf>
    <xf numFmtId="0" fontId="154" fillId="33" borderId="28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4" fillId="33" borderId="37" xfId="0" applyFont="1" applyFill="1" applyBorder="1" applyAlignment="1">
      <alignment horizontal="center"/>
    </xf>
    <xf numFmtId="0" fontId="157" fillId="33" borderId="0" xfId="0" applyFont="1" applyFill="1" applyAlignment="1">
      <alignment horizontal="center"/>
    </xf>
    <xf numFmtId="0" fontId="159" fillId="33" borderId="28" xfId="0" applyFont="1" applyFill="1" applyBorder="1" applyAlignment="1">
      <alignment horizontal="center"/>
    </xf>
    <xf numFmtId="0" fontId="159" fillId="33" borderId="0" xfId="0" applyFont="1" applyFill="1" applyAlignment="1">
      <alignment horizontal="center"/>
    </xf>
    <xf numFmtId="0" fontId="161" fillId="33" borderId="81" xfId="0" applyFont="1" applyFill="1" applyBorder="1" applyAlignment="1">
      <alignment horizontal="center" vertical="center"/>
    </xf>
    <xf numFmtId="0" fontId="161" fillId="33" borderId="82" xfId="0" applyFont="1" applyFill="1" applyBorder="1" applyAlignment="1">
      <alignment horizontal="center" vertical="center"/>
    </xf>
    <xf numFmtId="0" fontId="163" fillId="33" borderId="85" xfId="0" applyFont="1" applyFill="1" applyBorder="1" applyAlignment="1">
      <alignment horizontal="center" vertical="center"/>
    </xf>
    <xf numFmtId="0" fontId="161" fillId="33" borderId="86" xfId="0" applyFont="1" applyFill="1" applyBorder="1" applyAlignment="1">
      <alignment horizontal="center" vertical="center"/>
    </xf>
    <xf numFmtId="0" fontId="164" fillId="33" borderId="0" xfId="0" applyFont="1" applyFill="1" applyAlignment="1">
      <alignment horizontal="center"/>
    </xf>
    <xf numFmtId="0" fontId="163" fillId="33" borderId="91" xfId="0" applyFont="1" applyFill="1" applyBorder="1" applyAlignment="1">
      <alignment horizontal="center" vertical="center"/>
    </xf>
    <xf numFmtId="0" fontId="165" fillId="33" borderId="94" xfId="0" applyFont="1" applyFill="1" applyBorder="1" applyAlignment="1">
      <alignment horizontal="center" vertical="top" wrapText="1"/>
    </xf>
    <xf numFmtId="0" fontId="165" fillId="33" borderId="95" xfId="0" applyFont="1" applyFill="1" applyBorder="1" applyAlignment="1">
      <alignment horizontal="center" vertical="top" wrapText="1"/>
    </xf>
    <xf numFmtId="0" fontId="154" fillId="33" borderId="40" xfId="0" applyFont="1" applyFill="1" applyBorder="1" applyAlignment="1">
      <alignment horizontal="center"/>
    </xf>
    <xf numFmtId="0" fontId="154" fillId="33" borderId="41" xfId="0" applyFont="1" applyFill="1" applyBorder="1" applyAlignment="1">
      <alignment vertical="top" wrapText="1"/>
    </xf>
    <xf numFmtId="0" fontId="154" fillId="33" borderId="42" xfId="0" applyFont="1" applyFill="1" applyBorder="1" applyAlignment="1">
      <alignment vertical="top" wrapText="1"/>
    </xf>
    <xf numFmtId="0" fontId="154" fillId="33" borderId="77" xfId="0" applyFont="1" applyFill="1" applyBorder="1" applyAlignment="1">
      <alignment vertical="top" wrapText="1"/>
    </xf>
    <xf numFmtId="0" fontId="165" fillId="33" borderId="28" xfId="0" applyFont="1" applyFill="1" applyBorder="1" applyAlignment="1">
      <alignment horizontal="center"/>
    </xf>
    <xf numFmtId="0" fontId="165" fillId="33" borderId="0" xfId="0" applyFont="1" applyFill="1" applyAlignment="1">
      <alignment horizontal="center"/>
    </xf>
    <xf numFmtId="0" fontId="154" fillId="33" borderId="40" xfId="0" applyFont="1" applyFill="1" applyBorder="1" applyAlignment="1">
      <alignment horizontal="center" vertical="center" wrapText="1"/>
    </xf>
    <xf numFmtId="0" fontId="165" fillId="33" borderId="34" xfId="0" applyFont="1" applyFill="1" applyBorder="1" applyAlignment="1">
      <alignment horizontal="center"/>
    </xf>
    <xf numFmtId="0" fontId="165" fillId="33" borderId="19" xfId="0" applyFont="1" applyFill="1" applyBorder="1" applyAlignment="1">
      <alignment horizontal="center"/>
    </xf>
    <xf numFmtId="0" fontId="154" fillId="33" borderId="19" xfId="0" applyFont="1" applyFill="1" applyBorder="1" applyAlignment="1">
      <alignment horizontal="center"/>
    </xf>
    <xf numFmtId="0" fontId="154" fillId="33" borderId="96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vertical="top" wrapText="1"/>
    </xf>
    <xf numFmtId="0" fontId="154" fillId="33" borderId="100" xfId="0" applyFont="1" applyFill="1" applyBorder="1" applyAlignment="1">
      <alignment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49" fontId="154" fillId="33" borderId="102" xfId="0" applyNumberFormat="1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horizontal="center" vertical="center"/>
    </xf>
    <xf numFmtId="0" fontId="154" fillId="33" borderId="100" xfId="0" applyFont="1" applyFill="1" applyBorder="1" applyAlignment="1">
      <alignment horizontal="center" vertical="center"/>
    </xf>
    <xf numFmtId="0" fontId="154" fillId="33" borderId="100" xfId="0" applyFont="1" applyFill="1" applyBorder="1" applyAlignment="1">
      <alignment horizontal="left" vertical="center"/>
    </xf>
    <xf numFmtId="0" fontId="154" fillId="33" borderId="105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7" fillId="0" borderId="100" xfId="1450" applyFont="1" applyBorder="1" applyAlignment="1">
      <alignment horizontal="center"/>
    </xf>
    <xf numFmtId="0" fontId="154" fillId="33" borderId="102" xfId="0" applyFont="1" applyFill="1" applyBorder="1" applyAlignment="1">
      <alignment horizontal="center" vertical="top" wrapText="1"/>
    </xf>
    <xf numFmtId="0" fontId="38" fillId="0" borderId="0" xfId="1614" applyFont="1" applyAlignment="1">
      <alignment horizontal="center" vertical="center"/>
    </xf>
    <xf numFmtId="0" fontId="166" fillId="0" borderId="26" xfId="1451" applyFont="1" applyBorder="1"/>
    <xf numFmtId="0" fontId="166" fillId="0" borderId="36" xfId="1451" applyFont="1" applyBorder="1"/>
    <xf numFmtId="0" fontId="166" fillId="0" borderId="43" xfId="1451" applyFont="1" applyBorder="1"/>
    <xf numFmtId="0" fontId="166" fillId="0" borderId="28" xfId="1451" applyFont="1" applyBorder="1"/>
    <xf numFmtId="0" fontId="166" fillId="0" borderId="37" xfId="1451" applyFont="1" applyBorder="1"/>
    <xf numFmtId="0" fontId="158" fillId="0" borderId="37" xfId="1451" applyFont="1" applyBorder="1" applyAlignment="1">
      <alignment vertical="center"/>
    </xf>
    <xf numFmtId="0" fontId="166" fillId="0" borderId="34" xfId="1451" applyFont="1" applyBorder="1"/>
    <xf numFmtId="0" fontId="166" fillId="0" borderId="19" xfId="1451" applyFont="1" applyBorder="1"/>
    <xf numFmtId="0" fontId="158" fillId="0" borderId="19" xfId="1451" applyFont="1" applyBorder="1" applyAlignment="1">
      <alignment vertical="center"/>
    </xf>
    <xf numFmtId="0" fontId="158" fillId="0" borderId="19" xfId="1451" applyFont="1" applyBorder="1" applyAlignment="1">
      <alignment horizontal="center" vertical="center"/>
    </xf>
    <xf numFmtId="0" fontId="158" fillId="0" borderId="31" xfId="1451" applyFont="1" applyBorder="1" applyAlignment="1">
      <alignment vertical="center"/>
    </xf>
    <xf numFmtId="0" fontId="166" fillId="33" borderId="0" xfId="1451" applyFont="1" applyFill="1"/>
    <xf numFmtId="0" fontId="166" fillId="33" borderId="26" xfId="1451" applyFont="1" applyFill="1" applyBorder="1"/>
    <xf numFmtId="0" fontId="166" fillId="33" borderId="36" xfId="1451" applyFont="1" applyFill="1" applyBorder="1"/>
    <xf numFmtId="0" fontId="166" fillId="33" borderId="43" xfId="1451" applyFont="1" applyFill="1" applyBorder="1"/>
    <xf numFmtId="0" fontId="166" fillId="33" borderId="28" xfId="1451" applyFont="1" applyFill="1" applyBorder="1"/>
    <xf numFmtId="0" fontId="166" fillId="33" borderId="37" xfId="1451" applyFont="1" applyFill="1" applyBorder="1"/>
    <xf numFmtId="0" fontId="168" fillId="33" borderId="0" xfId="1451" applyFont="1" applyFill="1" applyAlignment="1">
      <alignment vertical="center"/>
    </xf>
    <xf numFmtId="0" fontId="167" fillId="33" borderId="0" xfId="1451" applyFont="1" applyFill="1" applyAlignment="1">
      <alignment vertical="center"/>
    </xf>
    <xf numFmtId="0" fontId="171" fillId="33" borderId="0" xfId="1451" applyFont="1" applyFill="1" applyAlignment="1">
      <alignment horizontal="center" vertical="center"/>
    </xf>
    <xf numFmtId="0" fontId="172" fillId="33" borderId="0" xfId="1451" applyFont="1" applyFill="1"/>
    <xf numFmtId="0" fontId="173" fillId="33" borderId="0" xfId="1451" applyFont="1" applyFill="1"/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73" fillId="33" borderId="0" xfId="1451" applyFont="1" applyFill="1" applyAlignment="1">
      <alignment horizont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74" fillId="33" borderId="0" xfId="1451" applyFont="1" applyFill="1" applyAlignment="1">
      <alignment vertical="center"/>
    </xf>
    <xf numFmtId="0" fontId="174" fillId="33" borderId="37" xfId="1451" applyFont="1" applyFill="1" applyBorder="1" applyAlignment="1">
      <alignment vertical="center"/>
    </xf>
    <xf numFmtId="0" fontId="166" fillId="33" borderId="34" xfId="1451" applyFont="1" applyFill="1" applyBorder="1"/>
    <xf numFmtId="0" fontId="166" fillId="33" borderId="19" xfId="1451" applyFont="1" applyFill="1" applyBorder="1"/>
    <xf numFmtId="0" fontId="158" fillId="33" borderId="19" xfId="1451" applyFont="1" applyFill="1" applyBorder="1" applyAlignment="1">
      <alignment vertical="center"/>
    </xf>
    <xf numFmtId="0" fontId="158" fillId="33" borderId="19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66" fillId="33" borderId="31" xfId="1451" applyFont="1" applyFill="1" applyBorder="1"/>
    <xf numFmtId="0" fontId="154" fillId="33" borderId="0" xfId="0" applyFont="1" applyFill="1" applyAlignment="1">
      <alignment horizontal="center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136" fillId="0" borderId="20" xfId="1653" applyFont="1" applyBorder="1" applyAlignment="1">
      <alignment horizontal="center" vertical="center"/>
    </xf>
    <xf numFmtId="0" fontId="132" fillId="0" borderId="20" xfId="1653" applyFont="1" applyBorder="1" applyAlignment="1">
      <alignment horizontal="center" vertical="center"/>
    </xf>
    <xf numFmtId="0" fontId="166" fillId="0" borderId="0" xfId="1451" applyFont="1"/>
    <xf numFmtId="0" fontId="168" fillId="0" borderId="0" xfId="1451" applyFont="1" applyAlignment="1">
      <alignment vertical="center"/>
    </xf>
    <xf numFmtId="0" fontId="169" fillId="0" borderId="0" xfId="1451" applyFont="1"/>
    <xf numFmtId="0" fontId="167" fillId="0" borderId="0" xfId="1451" applyFont="1" applyAlignment="1">
      <alignment vertical="center"/>
    </xf>
    <xf numFmtId="0" fontId="171" fillId="0" borderId="0" xfId="1451" applyFont="1" applyAlignment="1">
      <alignment horizontal="center" vertical="center"/>
    </xf>
    <xf numFmtId="0" fontId="172" fillId="0" borderId="0" xfId="1451" applyFont="1"/>
    <xf numFmtId="0" fontId="173" fillId="0" borderId="0" xfId="1451" applyFont="1"/>
    <xf numFmtId="0" fontId="158" fillId="0" borderId="0" xfId="1451" applyFont="1" applyAlignment="1">
      <alignment vertical="center"/>
    </xf>
    <xf numFmtId="0" fontId="158" fillId="0" borderId="0" xfId="1451" applyFont="1" applyAlignment="1">
      <alignment horizontal="center" vertical="center"/>
    </xf>
    <xf numFmtId="0" fontId="166" fillId="0" borderId="0" xfId="1451" applyFont="1" applyAlignment="1">
      <alignment horizontal="center" vertical="center"/>
    </xf>
    <xf numFmtId="0" fontId="166" fillId="0" borderId="0" xfId="1451" applyFont="1" applyAlignment="1">
      <alignment horizontal="center"/>
    </xf>
    <xf numFmtId="0" fontId="167" fillId="35" borderId="0" xfId="1451" applyFont="1" applyFill="1" applyAlignment="1">
      <alignment vertical="center"/>
    </xf>
    <xf numFmtId="0" fontId="173" fillId="0" borderId="19" xfId="1451" applyFont="1" applyBorder="1" applyAlignment="1">
      <alignment horizontal="center"/>
    </xf>
    <xf numFmtId="0" fontId="173" fillId="0" borderId="19" xfId="1451" applyFont="1" applyBorder="1"/>
    <xf numFmtId="0" fontId="156" fillId="0" borderId="0" xfId="2669" applyFont="1" applyAlignment="1">
      <alignment vertical="center"/>
    </xf>
    <xf numFmtId="0" fontId="157" fillId="0" borderId="0" xfId="1450" applyFont="1" applyAlignment="1">
      <alignment horizontal="center"/>
    </xf>
    <xf numFmtId="0" fontId="130" fillId="0" borderId="21" xfId="1615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32" fillId="33" borderId="21" xfId="1652" applyFont="1" applyFill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137" fillId="33" borderId="21" xfId="1615" applyFont="1" applyFill="1" applyBorder="1" applyAlignment="1">
      <alignment horizontal="center" vertical="center"/>
    </xf>
    <xf numFmtId="0" fontId="154" fillId="33" borderId="0" xfId="0" applyFont="1" applyFill="1" applyAlignment="1">
      <alignment vertical="center"/>
    </xf>
    <xf numFmtId="0" fontId="154" fillId="33" borderId="37" xfId="0" applyFont="1" applyFill="1" applyBorder="1" applyAlignment="1">
      <alignment vertical="center"/>
    </xf>
    <xf numFmtId="0" fontId="154" fillId="33" borderId="42" xfId="0" applyFont="1" applyFill="1" applyBorder="1" applyAlignment="1">
      <alignment vertical="center"/>
    </xf>
    <xf numFmtId="0" fontId="154" fillId="33" borderId="77" xfId="0" applyFont="1" applyFill="1" applyBorder="1" applyAlignment="1">
      <alignment vertical="center"/>
    </xf>
    <xf numFmtId="0" fontId="9" fillId="0" borderId="21" xfId="1614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2" fillId="0" borderId="0" xfId="2673" applyFont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54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0" xfId="1615" applyNumberFormat="1" applyFont="1" applyFill="1" applyBorder="1" applyAlignment="1">
      <alignment horizontal="center" vertical="center"/>
    </xf>
    <xf numFmtId="3" fontId="42" fillId="31" borderId="41" xfId="1615" applyNumberFormat="1" applyFont="1" applyFill="1" applyBorder="1" applyAlignment="1">
      <alignment horizontal="center" vertical="center"/>
    </xf>
    <xf numFmtId="3" fontId="42" fillId="31" borderId="55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3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9" fillId="0" borderId="46" xfId="1614" applyFont="1" applyBorder="1" applyAlignment="1">
      <alignment horizontal="center" vertical="center"/>
    </xf>
    <xf numFmtId="0" fontId="49" fillId="0" borderId="44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48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49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7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73" xfId="2673" applyBorder="1" applyAlignment="1">
      <alignment horizontal="center" vertical="center" wrapText="1"/>
    </xf>
    <xf numFmtId="9" fontId="150" fillId="0" borderId="0" xfId="2675" applyFont="1" applyFill="1" applyBorder="1" applyAlignment="1">
      <alignment horizontal="center" vertical="center" wrapText="1"/>
    </xf>
    <xf numFmtId="0" fontId="147" fillId="37" borderId="0" xfId="2673" applyFont="1" applyFill="1" applyAlignment="1">
      <alignment horizontal="left" vertical="center" wrapText="1"/>
    </xf>
    <xf numFmtId="43" fontId="128" fillId="35" borderId="7" xfId="2673" applyNumberFormat="1" applyFont="1" applyFill="1" applyBorder="1" applyAlignment="1">
      <alignment horizontal="center" vertical="center" wrapText="1"/>
    </xf>
    <xf numFmtId="0" fontId="128" fillId="35" borderId="50" xfId="2673" applyFont="1" applyFill="1" applyBorder="1" applyAlignment="1">
      <alignment horizontal="center" vertical="center" wrapText="1"/>
    </xf>
    <xf numFmtId="2" fontId="117" fillId="35" borderId="51" xfId="2673" applyNumberFormat="1" applyFont="1" applyFill="1" applyBorder="1" applyAlignment="1">
      <alignment horizontal="center" vertical="center" wrapText="1"/>
    </xf>
    <xf numFmtId="2" fontId="117" fillId="35" borderId="71" xfId="2673" applyNumberFormat="1" applyFont="1" applyFill="1" applyBorder="1" applyAlignment="1">
      <alignment horizontal="center" vertical="center" wrapText="1"/>
    </xf>
    <xf numFmtId="0" fontId="143" fillId="41" borderId="67" xfId="2673" applyFont="1" applyFill="1" applyBorder="1" applyAlignment="1">
      <alignment horizontal="center" vertical="center" wrapText="1"/>
    </xf>
    <xf numFmtId="0" fontId="143" fillId="41" borderId="68" xfId="2673" applyFont="1" applyFill="1" applyBorder="1" applyAlignment="1">
      <alignment horizontal="center" vertical="center" wrapText="1"/>
    </xf>
    <xf numFmtId="0" fontId="143" fillId="41" borderId="69" xfId="2673" applyFont="1" applyFill="1" applyBorder="1" applyAlignment="1">
      <alignment horizontal="center" vertical="center" wrapText="1"/>
    </xf>
    <xf numFmtId="0" fontId="117" fillId="35" borderId="7" xfId="2673" applyFont="1" applyFill="1" applyBorder="1" applyAlignment="1">
      <alignment horizontal="center" vertical="center" wrapText="1"/>
    </xf>
    <xf numFmtId="0" fontId="117" fillId="35" borderId="50" xfId="2673" applyFont="1" applyFill="1" applyBorder="1" applyAlignment="1">
      <alignment horizontal="center" vertical="center" wrapText="1"/>
    </xf>
    <xf numFmtId="1" fontId="128" fillId="35" borderId="7" xfId="2673" applyNumberFormat="1" applyFont="1" applyFill="1" applyBorder="1" applyAlignment="1">
      <alignment horizontal="center" vertical="center" wrapText="1"/>
    </xf>
    <xf numFmtId="1" fontId="128" fillId="35" borderId="50" xfId="2673" applyNumberFormat="1" applyFont="1" applyFill="1" applyBorder="1" applyAlignment="1">
      <alignment horizontal="center" vertical="center" wrapText="1"/>
    </xf>
    <xf numFmtId="43" fontId="128" fillId="0" borderId="48" xfId="2673" applyNumberFormat="1" applyFont="1" applyBorder="1" applyAlignment="1">
      <alignment horizontal="center" vertical="center" wrapText="1"/>
    </xf>
    <xf numFmtId="0" fontId="128" fillId="0" borderId="49" xfId="2673" applyFont="1" applyBorder="1" applyAlignment="1">
      <alignment horizontal="center" vertical="center" wrapText="1"/>
    </xf>
    <xf numFmtId="9" fontId="117" fillId="0" borderId="52" xfId="2675" applyFont="1" applyFill="1" applyBorder="1" applyAlignment="1">
      <alignment horizontal="center" vertical="center" wrapText="1"/>
    </xf>
    <xf numFmtId="9" fontId="117" fillId="0" borderId="53" xfId="2675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17" fillId="0" borderId="3" xfId="2673" applyNumberFormat="1" applyFont="1" applyBorder="1" applyAlignment="1">
      <alignment horizontal="center" vertical="center" wrapText="1"/>
    </xf>
    <xf numFmtId="2" fontId="117" fillId="0" borderId="39" xfId="2673" applyNumberFormat="1" applyFont="1" applyBorder="1" applyAlignment="1">
      <alignment horizontal="center" vertical="center" wrapText="1"/>
    </xf>
    <xf numFmtId="9" fontId="117" fillId="35" borderId="52" xfId="2675" applyFont="1" applyFill="1" applyBorder="1" applyAlignment="1">
      <alignment horizontal="center" vertical="center" wrapText="1"/>
    </xf>
    <xf numFmtId="9" fontId="117" fillId="35" borderId="53" xfId="2675" applyFont="1" applyFill="1" applyBorder="1" applyAlignment="1">
      <alignment horizontal="center" vertical="center" wrapText="1"/>
    </xf>
    <xf numFmtId="2" fontId="117" fillId="35" borderId="3" xfId="2673" applyNumberFormat="1" applyFont="1" applyFill="1" applyBorder="1" applyAlignment="1">
      <alignment horizontal="center" vertical="center" wrapText="1"/>
    </xf>
    <xf numFmtId="2" fontId="117" fillId="35" borderId="39" xfId="2673" applyNumberFormat="1" applyFont="1" applyFill="1" applyBorder="1" applyAlignment="1">
      <alignment horizontal="center" vertical="center" wrapText="1"/>
    </xf>
    <xf numFmtId="0" fontId="146" fillId="0" borderId="45" xfId="2673" applyFont="1" applyBorder="1" applyAlignment="1">
      <alignment horizontal="center" vertical="center" wrapText="1"/>
    </xf>
    <xf numFmtId="0" fontId="146" fillId="0" borderId="50" xfId="2673" applyFont="1" applyBorder="1" applyAlignment="1">
      <alignment horizontal="center" vertical="center" wrapText="1"/>
    </xf>
    <xf numFmtId="0" fontId="146" fillId="44" borderId="3" xfId="2673" applyFont="1" applyFill="1" applyBorder="1" applyAlignment="1">
      <alignment horizontal="center" vertical="center" wrapText="1"/>
    </xf>
    <xf numFmtId="0" fontId="146" fillId="44" borderId="39" xfId="2673" applyFont="1" applyFill="1" applyBorder="1" applyAlignment="1">
      <alignment horizontal="center" vertical="center" wrapText="1"/>
    </xf>
    <xf numFmtId="1" fontId="117" fillId="0" borderId="3" xfId="2673" applyNumberFormat="1" applyFont="1" applyBorder="1" applyAlignment="1">
      <alignment horizontal="center" vertical="center" wrapText="1"/>
    </xf>
    <xf numFmtId="1" fontId="117" fillId="0" borderId="39" xfId="2673" applyNumberFormat="1" applyFont="1" applyBorder="1" applyAlignment="1">
      <alignment horizontal="center" vertical="center" wrapText="1"/>
    </xf>
    <xf numFmtId="2" fontId="117" fillId="45" borderId="3" xfId="2673" applyNumberFormat="1" applyFont="1" applyFill="1" applyBorder="1" applyAlignment="1">
      <alignment horizontal="center" vertical="center" wrapText="1"/>
    </xf>
    <xf numFmtId="2" fontId="117" fillId="45" borderId="39" xfId="2673" applyNumberFormat="1" applyFont="1" applyFill="1" applyBorder="1" applyAlignment="1">
      <alignment horizontal="center" vertical="center" wrapText="1"/>
    </xf>
    <xf numFmtId="0" fontId="143" fillId="42" borderId="67" xfId="2673" applyFont="1" applyFill="1" applyBorder="1" applyAlignment="1">
      <alignment horizontal="center" vertical="center" wrapText="1"/>
    </xf>
    <xf numFmtId="0" fontId="143" fillId="42" borderId="68" xfId="2673" applyFont="1" applyFill="1" applyBorder="1" applyAlignment="1">
      <alignment horizontal="center" vertical="center" wrapText="1"/>
    </xf>
    <xf numFmtId="0" fontId="143" fillId="42" borderId="69" xfId="2673" applyFont="1" applyFill="1" applyBorder="1" applyAlignment="1">
      <alignment horizontal="center" vertical="center" wrapText="1"/>
    </xf>
    <xf numFmtId="43" fontId="128" fillId="43" borderId="7" xfId="2673" applyNumberFormat="1" applyFont="1" applyFill="1" applyBorder="1" applyAlignment="1">
      <alignment horizontal="center" vertical="center" wrapText="1"/>
    </xf>
    <xf numFmtId="0" fontId="128" fillId="43" borderId="50" xfId="2673" applyFont="1" applyFill="1" applyBorder="1" applyAlignment="1">
      <alignment horizontal="center" vertical="center" wrapText="1"/>
    </xf>
    <xf numFmtId="1" fontId="117" fillId="43" borderId="7" xfId="2673" applyNumberFormat="1" applyFont="1" applyFill="1" applyBorder="1" applyAlignment="1">
      <alignment horizontal="center" vertical="center" wrapText="1"/>
    </xf>
    <xf numFmtId="1" fontId="117" fillId="43" borderId="50" xfId="2673" applyNumberFormat="1" applyFont="1" applyFill="1" applyBorder="1" applyAlignment="1">
      <alignment horizontal="center" vertical="center" wrapText="1"/>
    </xf>
    <xf numFmtId="0" fontId="117" fillId="43" borderId="7" xfId="2673" applyFont="1" applyFill="1" applyBorder="1" applyAlignment="1">
      <alignment horizontal="center" vertical="center" wrapText="1"/>
    </xf>
    <xf numFmtId="0" fontId="117" fillId="43" borderId="50" xfId="2673" applyFont="1" applyFill="1" applyBorder="1" applyAlignment="1">
      <alignment horizontal="center" vertical="center" wrapText="1"/>
    </xf>
    <xf numFmtId="1" fontId="128" fillId="44" borderId="45" xfId="2673" applyNumberFormat="1" applyFont="1" applyFill="1" applyBorder="1" applyAlignment="1">
      <alignment horizontal="center" vertical="center" wrapText="1"/>
    </xf>
    <xf numFmtId="1" fontId="128" fillId="44" borderId="50" xfId="2673" applyNumberFormat="1" applyFont="1" applyFill="1" applyBorder="1" applyAlignment="1">
      <alignment horizontal="center" vertical="center" wrapText="1"/>
    </xf>
    <xf numFmtId="2" fontId="117" fillId="43" borderId="51" xfId="2673" applyNumberFormat="1" applyFont="1" applyFill="1" applyBorder="1" applyAlignment="1">
      <alignment horizontal="center" vertical="center" wrapText="1"/>
    </xf>
    <xf numFmtId="2" fontId="117" fillId="43" borderId="71" xfId="2673" applyNumberFormat="1" applyFont="1" applyFill="1" applyBorder="1" applyAlignment="1">
      <alignment horizontal="center" vertical="center" wrapText="1"/>
    </xf>
    <xf numFmtId="43" fontId="128" fillId="44" borderId="75" xfId="2673" applyNumberFormat="1" applyFont="1" applyFill="1" applyBorder="1" applyAlignment="1">
      <alignment horizontal="center" vertical="center" wrapText="1"/>
    </xf>
    <xf numFmtId="43" fontId="128" fillId="44" borderId="69" xfId="2673" applyNumberFormat="1" applyFont="1" applyFill="1" applyBorder="1" applyAlignment="1">
      <alignment horizontal="center" vertical="center" wrapText="1"/>
    </xf>
    <xf numFmtId="0" fontId="8" fillId="34" borderId="56" xfId="2670" applyFill="1" applyBorder="1" applyAlignment="1">
      <alignment horizontal="center" vertical="center"/>
    </xf>
    <xf numFmtId="0" fontId="120" fillId="0" borderId="57" xfId="2670" applyFont="1" applyBorder="1" applyAlignment="1">
      <alignment horizontal="left" vertical="center"/>
    </xf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34" fillId="30" borderId="3" xfId="1614" applyFont="1" applyFill="1" applyBorder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37" fontId="132" fillId="0" borderId="36" xfId="1614" applyNumberFormat="1" applyFont="1" applyBorder="1" applyAlignment="1">
      <alignment horizontal="center"/>
    </xf>
    <xf numFmtId="0" fontId="136" fillId="35" borderId="46" xfId="1614" applyFont="1" applyFill="1" applyBorder="1" applyAlignment="1">
      <alignment horizontal="center" vertical="center"/>
    </xf>
    <xf numFmtId="0" fontId="136" fillId="35" borderId="44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/>
    </xf>
    <xf numFmtId="0" fontId="136" fillId="35" borderId="21" xfId="1614" applyFont="1" applyFill="1" applyBorder="1" applyAlignment="1">
      <alignment horizontal="center" vertical="center"/>
    </xf>
    <xf numFmtId="0" fontId="136" fillId="35" borderId="33" xfId="1614" applyFont="1" applyFill="1" applyBorder="1" applyAlignment="1">
      <alignment horizontal="center" vertical="center"/>
    </xf>
    <xf numFmtId="0" fontId="136" fillId="35" borderId="48" xfId="1614" applyFont="1" applyFill="1" applyBorder="1" applyAlignment="1">
      <alignment horizontal="center" vertical="center"/>
    </xf>
    <xf numFmtId="0" fontId="136" fillId="35" borderId="3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 wrapText="1"/>
    </xf>
    <xf numFmtId="0" fontId="136" fillId="35" borderId="21" xfId="1614" applyFont="1" applyFill="1" applyBorder="1" applyAlignment="1">
      <alignment horizontal="center" vertical="center" wrapText="1"/>
    </xf>
    <xf numFmtId="0" fontId="136" fillId="35" borderId="33" xfId="1614" applyFont="1" applyFill="1" applyBorder="1" applyAlignment="1">
      <alignment horizontal="center" vertical="center" wrapText="1"/>
    </xf>
    <xf numFmtId="0" fontId="136" fillId="35" borderId="35" xfId="1652" applyFont="1" applyFill="1" applyBorder="1" applyAlignment="1">
      <alignment horizontal="center" vertical="center" wrapText="1"/>
    </xf>
    <xf numFmtId="0" fontId="136" fillId="35" borderId="33" xfId="1652" applyFont="1" applyFill="1" applyBorder="1" applyAlignment="1">
      <alignment horizontal="center" vertical="center" wrapText="1"/>
    </xf>
    <xf numFmtId="0" fontId="136" fillId="35" borderId="49" xfId="1614" applyFont="1" applyFill="1" applyBorder="1" applyAlignment="1">
      <alignment horizontal="center" vertical="center"/>
    </xf>
    <xf numFmtId="0" fontId="136" fillId="35" borderId="39" xfId="1614" applyFont="1" applyFill="1" applyBorder="1" applyAlignment="1">
      <alignment horizontal="center" vertical="center"/>
    </xf>
    <xf numFmtId="0" fontId="131" fillId="0" borderId="0" xfId="1644" applyFont="1" applyAlignment="1">
      <alignment horizontal="center" vertical="center"/>
    </xf>
    <xf numFmtId="37" fontId="138" fillId="0" borderId="19" xfId="1614" applyNumberFormat="1" applyFont="1" applyBorder="1" applyAlignment="1">
      <alignment horizontal="center"/>
    </xf>
    <xf numFmtId="37" fontId="132" fillId="0" borderId="0" xfId="1614" applyNumberFormat="1" applyFont="1" applyAlignment="1">
      <alignment horizontal="center"/>
    </xf>
    <xf numFmtId="0" fontId="152" fillId="0" borderId="26" xfId="1614" applyFont="1" applyBorder="1" applyAlignment="1">
      <alignment horizontal="left" vertical="center" wrapText="1"/>
    </xf>
    <xf numFmtId="0" fontId="152" fillId="0" borderId="36" xfId="1614" applyFont="1" applyBorder="1" applyAlignment="1">
      <alignment horizontal="left" vertical="center" wrapText="1"/>
    </xf>
    <xf numFmtId="0" fontId="152" fillId="0" borderId="43" xfId="1614" applyFont="1" applyBorder="1" applyAlignment="1">
      <alignment horizontal="left" vertical="center" wrapText="1"/>
    </xf>
    <xf numFmtId="0" fontId="152" fillId="0" borderId="28" xfId="1614" applyFont="1" applyBorder="1" applyAlignment="1">
      <alignment horizontal="left" vertical="center" wrapText="1"/>
    </xf>
    <xf numFmtId="0" fontId="152" fillId="0" borderId="0" xfId="1614" applyFont="1" applyAlignment="1">
      <alignment horizontal="left" vertical="center" wrapText="1"/>
    </xf>
    <xf numFmtId="0" fontId="152" fillId="0" borderId="37" xfId="1614" applyFont="1" applyBorder="1" applyAlignment="1">
      <alignment horizontal="left" vertical="center" wrapText="1"/>
    </xf>
    <xf numFmtId="0" fontId="137" fillId="0" borderId="0" xfId="1652" applyFont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0" fontId="154" fillId="33" borderId="51" xfId="0" applyFont="1" applyFill="1" applyBorder="1" applyAlignment="1">
      <alignment horizontal="center"/>
    </xf>
    <xf numFmtId="0" fontId="154" fillId="33" borderId="97" xfId="0" applyFont="1" applyFill="1" applyBorder="1" applyAlignment="1">
      <alignment horizontal="center"/>
    </xf>
    <xf numFmtId="0" fontId="154" fillId="33" borderId="52" xfId="0" applyFont="1" applyFill="1" applyBorder="1" applyAlignment="1">
      <alignment horizontal="center"/>
    </xf>
    <xf numFmtId="0" fontId="154" fillId="33" borderId="53" xfId="0" applyFont="1" applyFill="1" applyBorder="1" applyAlignment="1">
      <alignment horizontal="center"/>
    </xf>
    <xf numFmtId="0" fontId="154" fillId="33" borderId="102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15" fontId="154" fillId="33" borderId="100" xfId="0" applyNumberFormat="1" applyFont="1" applyFill="1" applyBorder="1" applyAlignment="1">
      <alignment horizontal="center"/>
    </xf>
    <xf numFmtId="0" fontId="154" fillId="33" borderId="78" xfId="0" applyFont="1" applyFill="1" applyBorder="1" applyAlignment="1">
      <alignment horizontal="center" vertical="center"/>
    </xf>
    <xf numFmtId="0" fontId="154" fillId="33" borderId="104" xfId="0" applyFont="1" applyFill="1" applyBorder="1" applyAlignment="1">
      <alignment horizontal="center" vertical="center"/>
    </xf>
    <xf numFmtId="0" fontId="158" fillId="33" borderId="105" xfId="0" applyFont="1" applyFill="1" applyBorder="1" applyAlignment="1">
      <alignment horizontal="left" vertical="top" wrapText="1"/>
    </xf>
    <xf numFmtId="0" fontId="158" fillId="33" borderId="78" xfId="0" applyFont="1" applyFill="1" applyBorder="1" applyAlignment="1">
      <alignment horizontal="left" vertical="top" wrapText="1"/>
    </xf>
    <xf numFmtId="0" fontId="158" fillId="33" borderId="104" xfId="0" applyFont="1" applyFill="1" applyBorder="1" applyAlignment="1">
      <alignment horizontal="left" vertical="top" wrapText="1"/>
    </xf>
    <xf numFmtId="0" fontId="163" fillId="33" borderId="89" xfId="0" applyFont="1" applyFill="1" applyBorder="1" applyAlignment="1">
      <alignment horizontal="left" vertical="center"/>
    </xf>
    <xf numFmtId="0" fontId="163" fillId="33" borderId="90" xfId="0" applyFont="1" applyFill="1" applyBorder="1" applyAlignment="1">
      <alignment horizontal="left" vertical="center"/>
    </xf>
    <xf numFmtId="0" fontId="154" fillId="33" borderId="102" xfId="0" applyFont="1" applyFill="1" applyBorder="1" applyAlignment="1">
      <alignment horizontal="center" vertical="top" wrapText="1"/>
    </xf>
    <xf numFmtId="0" fontId="154" fillId="33" borderId="99" xfId="0" applyFont="1" applyFill="1" applyBorder="1" applyAlignment="1">
      <alignment horizontal="center" vertical="top" wrapText="1"/>
    </xf>
    <xf numFmtId="0" fontId="161" fillId="33" borderId="83" xfId="0" applyFont="1" applyFill="1" applyBorder="1" applyAlignment="1">
      <alignment horizontal="left" vertical="center"/>
    </xf>
    <xf numFmtId="0" fontId="161" fillId="33" borderId="81" xfId="0" applyFont="1" applyFill="1" applyBorder="1" applyAlignment="1">
      <alignment horizontal="left" vertical="center"/>
    </xf>
    <xf numFmtId="0" fontId="165" fillId="33" borderId="92" xfId="0" applyFont="1" applyFill="1" applyBorder="1" applyAlignment="1">
      <alignment horizontal="left" vertical="center" wrapText="1"/>
    </xf>
    <xf numFmtId="0" fontId="165" fillId="33" borderId="93" xfId="0" applyFont="1" applyFill="1" applyBorder="1" applyAlignment="1">
      <alignment horizontal="left" vertical="center" wrapText="1"/>
    </xf>
    <xf numFmtId="0" fontId="161" fillId="33" borderId="79" xfId="0" applyFont="1" applyFill="1" applyBorder="1" applyAlignment="1">
      <alignment horizontal="left" vertical="center"/>
    </xf>
    <xf numFmtId="0" fontId="161" fillId="33" borderId="80" xfId="0" applyFont="1" applyFill="1" applyBorder="1" applyAlignment="1">
      <alignment horizontal="left" vertical="center"/>
    </xf>
    <xf numFmtId="49" fontId="154" fillId="33" borderId="98" xfId="0" applyNumberFormat="1" applyFont="1" applyFill="1" applyBorder="1" applyAlignment="1">
      <alignment horizontal="center" vertical="center"/>
    </xf>
    <xf numFmtId="49" fontId="154" fillId="33" borderId="99" xfId="0" applyNumberFormat="1" applyFont="1" applyFill="1" applyBorder="1" applyAlignment="1">
      <alignment horizontal="center" vertical="center"/>
    </xf>
    <xf numFmtId="0" fontId="161" fillId="33" borderId="87" xfId="0" applyFont="1" applyFill="1" applyBorder="1" applyAlignment="1">
      <alignment horizontal="left" vertical="center"/>
    </xf>
    <xf numFmtId="0" fontId="161" fillId="33" borderId="88" xfId="0" applyFont="1" applyFill="1" applyBorder="1" applyAlignment="1">
      <alignment horizontal="left" vertical="center"/>
    </xf>
    <xf numFmtId="49" fontId="154" fillId="33" borderId="102" xfId="0" applyNumberFormat="1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0" fontId="161" fillId="33" borderId="84" xfId="0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0" xfId="0" applyFont="1" applyFill="1" applyBorder="1" applyAlignment="1">
      <alignment horizontal="left" vertical="center"/>
    </xf>
    <xf numFmtId="49" fontId="154" fillId="33" borderId="98" xfId="0" applyNumberFormat="1" applyFont="1" applyFill="1" applyBorder="1" applyAlignment="1">
      <alignment horizontal="left" vertical="center"/>
    </xf>
    <xf numFmtId="49" fontId="154" fillId="33" borderId="99" xfId="0" applyNumberFormat="1" applyFont="1" applyFill="1" applyBorder="1" applyAlignment="1">
      <alignment horizontal="left" vertical="center"/>
    </xf>
    <xf numFmtId="0" fontId="162" fillId="33" borderId="79" xfId="0" applyFont="1" applyFill="1" applyBorder="1" applyAlignment="1">
      <alignment horizontal="left" vertical="center"/>
    </xf>
    <xf numFmtId="0" fontId="162" fillId="33" borderId="84" xfId="0" applyFont="1" applyFill="1" applyBorder="1" applyAlignment="1">
      <alignment horizontal="left" vertical="center"/>
    </xf>
    <xf numFmtId="0" fontId="154" fillId="33" borderId="78" xfId="0" applyFont="1" applyFill="1" applyBorder="1" applyAlignment="1">
      <alignment horizontal="center"/>
    </xf>
    <xf numFmtId="0" fontId="154" fillId="33" borderId="104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8" fillId="33" borderId="0" xfId="0" applyFont="1" applyFill="1" applyAlignment="1">
      <alignment horizontal="left"/>
    </xf>
    <xf numFmtId="0" fontId="158" fillId="33" borderId="37" xfId="0" applyFont="1" applyFill="1" applyBorder="1" applyAlignment="1">
      <alignment horizontal="left"/>
    </xf>
    <xf numFmtId="0" fontId="160" fillId="33" borderId="98" xfId="0" applyFont="1" applyFill="1" applyBorder="1" applyAlignment="1">
      <alignment horizontal="center" vertical="center"/>
    </xf>
    <xf numFmtId="0" fontId="160" fillId="33" borderId="102" xfId="0" applyFont="1" applyFill="1" applyBorder="1" applyAlignment="1">
      <alignment horizontal="center" vertical="center"/>
    </xf>
    <xf numFmtId="0" fontId="160" fillId="33" borderId="99" xfId="0" applyFont="1" applyFill="1" applyBorder="1" applyAlignment="1">
      <alignment horizontal="center" vertical="center"/>
    </xf>
    <xf numFmtId="0" fontId="158" fillId="33" borderId="98" xfId="0" applyFont="1" applyFill="1" applyBorder="1" applyAlignment="1">
      <alignment horizontal="center" vertical="center"/>
    </xf>
    <xf numFmtId="0" fontId="158" fillId="33" borderId="102" xfId="0" applyFont="1" applyFill="1" applyBorder="1" applyAlignment="1">
      <alignment horizontal="center" vertical="center"/>
    </xf>
    <xf numFmtId="0" fontId="158" fillId="33" borderId="103" xfId="0" applyFont="1" applyFill="1" applyBorder="1" applyAlignment="1">
      <alignment horizontal="center" vertical="center"/>
    </xf>
    <xf numFmtId="0" fontId="156" fillId="0" borderId="100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/>
    </xf>
    <xf numFmtId="0" fontId="156" fillId="0" borderId="99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 wrapText="1"/>
    </xf>
    <xf numFmtId="0" fontId="156" fillId="0" borderId="99" xfId="2669" applyFont="1" applyBorder="1" applyAlignment="1">
      <alignment horizontal="center" vertical="center" wrapText="1"/>
    </xf>
    <xf numFmtId="0" fontId="155" fillId="35" borderId="76" xfId="0" applyFont="1" applyFill="1" applyBorder="1" applyAlignment="1">
      <alignment horizontal="center" vertical="center"/>
    </xf>
    <xf numFmtId="0" fontId="155" fillId="35" borderId="36" xfId="0" applyFont="1" applyFill="1" applyBorder="1" applyAlignment="1">
      <alignment horizontal="center" vertical="center"/>
    </xf>
    <xf numFmtId="0" fontId="155" fillId="35" borderId="43" xfId="0" applyFont="1" applyFill="1" applyBorder="1" applyAlignment="1">
      <alignment horizontal="center" vertical="center"/>
    </xf>
    <xf numFmtId="0" fontId="155" fillId="35" borderId="41" xfId="0" applyFont="1" applyFill="1" applyBorder="1" applyAlignment="1">
      <alignment horizontal="center" vertical="center"/>
    </xf>
    <xf numFmtId="0" fontId="155" fillId="35" borderId="42" xfId="0" applyFont="1" applyFill="1" applyBorder="1" applyAlignment="1">
      <alignment horizontal="center" vertical="center"/>
    </xf>
    <xf numFmtId="0" fontId="155" fillId="35" borderId="77" xfId="0" applyFont="1" applyFill="1" applyBorder="1" applyAlignment="1">
      <alignment horizontal="center" vertical="center"/>
    </xf>
    <xf numFmtId="0" fontId="167" fillId="35" borderId="0" xfId="1451" applyFont="1" applyFill="1" applyAlignment="1">
      <alignment horizontal="center" vertical="center"/>
    </xf>
    <xf numFmtId="0" fontId="170" fillId="0" borderId="0" xfId="1451" applyFont="1" applyAlignment="1">
      <alignment horizontal="left"/>
    </xf>
    <xf numFmtId="0" fontId="167" fillId="35" borderId="26" xfId="1451" applyFont="1" applyFill="1" applyBorder="1" applyAlignment="1">
      <alignment horizontal="center" vertical="center"/>
    </xf>
    <xf numFmtId="0" fontId="167" fillId="35" borderId="36" xfId="1451" applyFont="1" applyFill="1" applyBorder="1" applyAlignment="1">
      <alignment horizontal="center" vertical="center"/>
    </xf>
    <xf numFmtId="0" fontId="167" fillId="35" borderId="43" xfId="1451" applyFont="1" applyFill="1" applyBorder="1" applyAlignment="1">
      <alignment horizontal="center" vertical="center"/>
    </xf>
    <xf numFmtId="0" fontId="167" fillId="35" borderId="28" xfId="1451" applyFont="1" applyFill="1" applyBorder="1" applyAlignment="1">
      <alignment horizontal="center" vertical="center"/>
    </xf>
    <xf numFmtId="0" fontId="167" fillId="35" borderId="37" xfId="1451" applyFont="1" applyFill="1" applyBorder="1" applyAlignment="1">
      <alignment horizontal="center" vertical="center"/>
    </xf>
    <xf numFmtId="0" fontId="167" fillId="35" borderId="34" xfId="1451" applyFont="1" applyFill="1" applyBorder="1" applyAlignment="1">
      <alignment horizontal="center" vertical="center"/>
    </xf>
    <xf numFmtId="0" fontId="167" fillId="35" borderId="19" xfId="1451" applyFont="1" applyFill="1" applyBorder="1" applyAlignment="1">
      <alignment horizontal="center" vertical="center"/>
    </xf>
    <xf numFmtId="0" fontId="167" fillId="35" borderId="31" xfId="1451" applyFont="1" applyFill="1" applyBorder="1" applyAlignment="1">
      <alignment horizontal="center" vertical="center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21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7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6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5" xr:uid="{99AE82A2-9CDF-427E-968E-EF6D93EAF998}"/>
    <cellStyle name="Comma 69" xfId="3695" xr:uid="{929BC684-EFC6-4ACF-AB41-E95A49DAED7D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0" xfId="3718" xr:uid="{722E6DDD-5507-401A-94C1-9A5567298810}"/>
    <cellStyle name="Comma 71" xfId="3696" xr:uid="{EF1A73F1-02D9-4C67-9944-18BAD2902041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8" xr:uid="{3EB6A169-5016-4A63-9058-D9C7E2BBC12C}"/>
    <cellStyle name="Normal 126 3" xfId="3433" xr:uid="{FF1C1214-6A69-4780-B1FC-3F2033DFC0F7}"/>
    <cellStyle name="Normal 126 4" xfId="3697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700" xr:uid="{E422D458-A3BD-45FE-8F31-99F3A5D04B8C}"/>
    <cellStyle name="Normal 134 3" xfId="3435" xr:uid="{BBB3AF98-FE7E-4A5D-980C-A11977824812}"/>
    <cellStyle name="Normal 134 4" xfId="3699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701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2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20" xr:uid="{7FF41EA3-334A-4C08-AAB3-A76CAE899332}"/>
    <cellStyle name="Normal 137 2 3" xfId="3440" xr:uid="{DBFED99F-F201-4435-8350-F0E0B590DF22}"/>
    <cellStyle name="Normal 137 2 4" xfId="3704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9" xr:uid="{74196348-F776-49FA-B22F-2C4A6C508258}"/>
    <cellStyle name="Normal 137 4" xfId="3439" xr:uid="{86D69212-888B-438F-A513-0E0FB5F5D9C4}"/>
    <cellStyle name="Normal 137 5" xfId="3703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7" xr:uid="{908EE8AE-05BC-421A-8F9E-6824FEAD3398}"/>
    <cellStyle name="Normal 2 5 2 3" xfId="3469" xr:uid="{AF499AF9-D28A-4666-877A-12C9AD201220}"/>
    <cellStyle name="Normal 2 5 2 4" xfId="3706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8" xr:uid="{9D7400C9-BA7F-47C4-8587-4AAD41B14224}"/>
    <cellStyle name="Normal 2 5 4" xfId="3468" xr:uid="{029ADF14-BBFF-4F5F-8B90-16227F6E7DA4}"/>
    <cellStyle name="Normal 2 5 5" xfId="3705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10" xr:uid="{E3F076F7-657C-43C2-81CD-380E7EBA2B1E}"/>
    <cellStyle name="Normal 4 5" xfId="3482" xr:uid="{993BBF43-BA77-40E7-9477-5E2DCDF0B1EF}"/>
    <cellStyle name="Normal 4 6" xfId="3709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2" xr:uid="{97E8DBCC-24CA-44AD-937E-62B83A8CB686}"/>
    <cellStyle name="Normal 8 4" xfId="3486" xr:uid="{58900736-645E-4E51-B2D2-7629F0A0E846}"/>
    <cellStyle name="Normal 8 5" xfId="3711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3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4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22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3" xr:uid="{1C9B1E2C-489A-46DE-B13B-7F3EF306E909}"/>
    <cellStyle name="Percent 21" xfId="3724" xr:uid="{8F7485B6-90EB-4CCF-A63F-907FFE8FBDF4}"/>
    <cellStyle name="Percent 22" xfId="3725" xr:uid="{CD40667E-83CA-4F56-80FC-96B814DB2A85}"/>
    <cellStyle name="Percent 23" xfId="3726" xr:uid="{9129D0AE-EA15-4378-8FBC-8682FB9DC331}"/>
    <cellStyle name="Percent 24" xfId="3727" xr:uid="{4B668EC6-C58B-4617-8B99-98D4D4F71B41}"/>
    <cellStyle name="Percent 25" xfId="3728" xr:uid="{C0181132-A5EA-41F8-9DF7-C92F2C80A589}"/>
    <cellStyle name="Percent 26" xfId="3729" xr:uid="{E1D85B7C-5BEF-43F2-91B6-C7A1FBF0EB65}"/>
    <cellStyle name="Percent 27" xfId="3730" xr:uid="{966DA157-5664-4984-AA77-229E1DA4E2C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0.20624999999999999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0.71083365142626709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8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8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20366" y="821390"/>
          <a:ext cx="1365900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69</xdr:row>
      <xdr:rowOff>19050</xdr:rowOff>
    </xdr:from>
    <xdr:to>
      <xdr:col>21</xdr:col>
      <xdr:colOff>352425</xdr:colOff>
      <xdr:row>70</xdr:row>
      <xdr:rowOff>123825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>
          <a:off x="1943100" y="10687050"/>
          <a:ext cx="5953125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295275</xdr:colOff>
      <xdr:row>75</xdr:row>
      <xdr:rowOff>75142</xdr:rowOff>
    </xdr:from>
    <xdr:to>
      <xdr:col>18</xdr:col>
      <xdr:colOff>371474</xdr:colOff>
      <xdr:row>80</xdr:row>
      <xdr:rowOff>2116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37F841C-0EC4-43BF-8B16-B17CF2E94983}"/>
            </a:ext>
          </a:extLst>
        </xdr:cNvPr>
        <xdr:cNvSpPr txBox="1"/>
      </xdr:nvSpPr>
      <xdr:spPr>
        <a:xfrm>
          <a:off x="5553075" y="11657542"/>
          <a:ext cx="1219199" cy="688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51857</xdr:colOff>
      <xdr:row>30</xdr:row>
      <xdr:rowOff>16410</xdr:rowOff>
    </xdr:from>
    <xdr:to>
      <xdr:col>40</xdr:col>
      <xdr:colOff>150811</xdr:colOff>
      <xdr:row>31</xdr:row>
      <xdr:rowOff>41275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23AE44B4-12ED-4C61-A521-49B639A5B302}"/>
            </a:ext>
          </a:extLst>
        </xdr:cNvPr>
        <xdr:cNvSpPr txBox="1"/>
      </xdr:nvSpPr>
      <xdr:spPr>
        <a:xfrm flipH="1">
          <a:off x="14920382" y="4607460"/>
          <a:ext cx="98954" cy="1772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35</xdr:col>
      <xdr:colOff>291041</xdr:colOff>
      <xdr:row>39</xdr:row>
      <xdr:rowOff>1058</xdr:rowOff>
    </xdr:from>
    <xdr:to>
      <xdr:col>41</xdr:col>
      <xdr:colOff>195792</xdr:colOff>
      <xdr:row>39</xdr:row>
      <xdr:rowOff>17992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9100932-43A3-4B10-9ACC-2ECE742A35EC}"/>
            </a:ext>
          </a:extLst>
        </xdr:cNvPr>
        <xdr:cNvCxnSpPr/>
      </xdr:nvCxnSpPr>
      <xdr:spPr>
        <a:xfrm flipH="1" flipV="1">
          <a:off x="13254566" y="5982758"/>
          <a:ext cx="2190751" cy="16934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222252</xdr:colOff>
      <xdr:row>37</xdr:row>
      <xdr:rowOff>8464</xdr:rowOff>
    </xdr:from>
    <xdr:to>
      <xdr:col>42</xdr:col>
      <xdr:colOff>365127</xdr:colOff>
      <xdr:row>38</xdr:row>
      <xdr:rowOff>56089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58EC057-3202-476E-936A-BA835994300F}"/>
            </a:ext>
          </a:extLst>
        </xdr:cNvPr>
        <xdr:cNvSpPr txBox="1"/>
      </xdr:nvSpPr>
      <xdr:spPr>
        <a:xfrm>
          <a:off x="15471777" y="5675839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40</xdr:col>
      <xdr:colOff>84666</xdr:colOff>
      <xdr:row>38</xdr:row>
      <xdr:rowOff>43391</xdr:rowOff>
    </xdr:from>
    <xdr:to>
      <xdr:col>40</xdr:col>
      <xdr:colOff>214362</xdr:colOff>
      <xdr:row>39</xdr:row>
      <xdr:rowOff>12878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73BA649F-8384-47CC-9D13-5FF8CB6CA51B}"/>
            </a:ext>
          </a:extLst>
        </xdr:cNvPr>
        <xdr:cNvGrpSpPr>
          <a:grpSpLocks/>
        </xdr:cNvGrpSpPr>
      </xdr:nvGrpSpPr>
      <xdr:grpSpPr bwMode="auto">
        <a:xfrm>
          <a:off x="14953191" y="5872691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9D67621D-4096-465E-8046-53158982854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9DF01CF-E5C7-497F-8D2D-7BB5F55014C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8905411-3550-4FFD-8FB4-1E58CC5824E5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08248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32123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03523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593998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03523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03523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384448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36823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879748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65398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27373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11</xdr:col>
      <xdr:colOff>47625</xdr:colOff>
      <xdr:row>59</xdr:row>
      <xdr:rowOff>29635</xdr:rowOff>
    </xdr:from>
    <xdr:to>
      <xdr:col>13</xdr:col>
      <xdr:colOff>212724</xdr:colOff>
      <xdr:row>64</xdr:row>
      <xdr:rowOff>19051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D3DF0C7-0A61-478F-8866-2480AA9FFB9E}"/>
            </a:ext>
          </a:extLst>
        </xdr:cNvPr>
        <xdr:cNvSpPr txBox="1"/>
      </xdr:nvSpPr>
      <xdr:spPr>
        <a:xfrm>
          <a:off x="3781425" y="9173635"/>
          <a:ext cx="927099" cy="75141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chemeClr val="tx1"/>
              </a:solidFill>
            </a:rPr>
            <a:t>1 G312-A 50KVA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3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12 CCO 70-70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40</xdr:col>
      <xdr:colOff>351368</xdr:colOff>
      <xdr:row>37</xdr:row>
      <xdr:rowOff>46568</xdr:rowOff>
    </xdr:from>
    <xdr:to>
      <xdr:col>41</xdr:col>
      <xdr:colOff>237068</xdr:colOff>
      <xdr:row>38</xdr:row>
      <xdr:rowOff>22475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59075573-FDFC-4169-B9C8-F27A35F69385}"/>
            </a:ext>
          </a:extLst>
        </xdr:cNvPr>
        <xdr:cNvGrpSpPr>
          <a:grpSpLocks/>
        </xdr:cNvGrpSpPr>
      </xdr:nvGrpSpPr>
      <xdr:grpSpPr bwMode="auto">
        <a:xfrm>
          <a:off x="15219893" y="5713943"/>
          <a:ext cx="266700" cy="137832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5B3C4DC2-3D66-4CDF-9E07-8B7B7D8A6F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FF1AAD-68A3-4625-91F5-AB73634D445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9EB80A5A-8F51-4B7B-9B60-A59ADC76FCE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38</xdr:col>
      <xdr:colOff>81435</xdr:colOff>
      <xdr:row>36</xdr:row>
      <xdr:rowOff>141698</xdr:rowOff>
    </xdr:from>
    <xdr:to>
      <xdr:col>40</xdr:col>
      <xdr:colOff>103660</xdr:colOff>
      <xdr:row>38</xdr:row>
      <xdr:rowOff>148048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E5B48DE-1BCC-4995-B242-3D0053B34302}"/>
            </a:ext>
          </a:extLst>
        </xdr:cNvPr>
        <xdr:cNvCxnSpPr>
          <a:stCxn id="73" idx="3"/>
          <a:endCxn id="160" idx="3"/>
        </xdr:cNvCxnSpPr>
      </xdr:nvCxnSpPr>
      <xdr:spPr>
        <a:xfrm flipH="1" flipV="1">
          <a:off x="14187960" y="5647148"/>
          <a:ext cx="784225" cy="3302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284691</xdr:colOff>
      <xdr:row>29</xdr:row>
      <xdr:rowOff>52915</xdr:rowOff>
    </xdr:from>
    <xdr:to>
      <xdr:col>44</xdr:col>
      <xdr:colOff>171877</xdr:colOff>
      <xdr:row>31</xdr:row>
      <xdr:rowOff>130833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0B25ADF-BC43-4600-9485-831A3B5D730B}"/>
            </a:ext>
          </a:extLst>
        </xdr:cNvPr>
        <xdr:cNvSpPr txBox="1"/>
      </xdr:nvSpPr>
      <xdr:spPr>
        <a:xfrm>
          <a:off x="15153216" y="4501090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60M</a:t>
          </a:r>
        </a:p>
      </xdr:txBody>
    </xdr:sp>
    <xdr:clientData/>
  </xdr:twoCellAnchor>
  <xdr:twoCellAnchor>
    <xdr:from>
      <xdr:col>40</xdr:col>
      <xdr:colOff>136525</xdr:colOff>
      <xdr:row>39</xdr:row>
      <xdr:rowOff>22225</xdr:rowOff>
    </xdr:from>
    <xdr:to>
      <xdr:col>41</xdr:col>
      <xdr:colOff>3175</xdr:colOff>
      <xdr:row>40</xdr:row>
      <xdr:rowOff>22225</xdr:rowOff>
    </xdr:to>
    <xdr:grpSp>
      <xdr:nvGrpSpPr>
        <xdr:cNvPr id="154" name="Group 118">
          <a:extLst>
            <a:ext uri="{FF2B5EF4-FFF2-40B4-BE49-F238E27FC236}">
              <a16:creationId xmlns:a16="http://schemas.microsoft.com/office/drawing/2014/main" id="{6D66C8B3-DA5F-49BF-83CC-D23791208434}"/>
            </a:ext>
          </a:extLst>
        </xdr:cNvPr>
        <xdr:cNvGrpSpPr>
          <a:grpSpLocks/>
        </xdr:cNvGrpSpPr>
      </xdr:nvGrpSpPr>
      <xdr:grpSpPr bwMode="auto">
        <a:xfrm>
          <a:off x="15005050" y="6003925"/>
          <a:ext cx="247650" cy="152400"/>
          <a:chOff x="12446976" y="4345782"/>
          <a:chExt cx="251864" cy="151026"/>
        </a:xfrm>
      </xdr:grpSpPr>
      <xdr:sp macro="" textlink="">
        <xdr:nvSpPr>
          <xdr:cNvPr id="155" name="Isosceles Triangle 154">
            <a:extLst>
              <a:ext uri="{FF2B5EF4-FFF2-40B4-BE49-F238E27FC236}">
                <a16:creationId xmlns:a16="http://schemas.microsoft.com/office/drawing/2014/main" id="{E73897A0-73E1-4334-BFB9-3FC2A8EFF9DA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7DF24F27-6E5C-4366-B0EF-0364A4F44E2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78454DCA-95D3-4A57-A813-C7718220F29F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40</xdr:col>
      <xdr:colOff>115358</xdr:colOff>
      <xdr:row>40</xdr:row>
      <xdr:rowOff>43392</xdr:rowOff>
    </xdr:from>
    <xdr:to>
      <xdr:col>41</xdr:col>
      <xdr:colOff>258233</xdr:colOff>
      <xdr:row>41</xdr:row>
      <xdr:rowOff>100542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14983883" y="6177492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38</xdr:col>
      <xdr:colOff>62441</xdr:colOff>
      <xdr:row>36</xdr:row>
      <xdr:rowOff>41275</xdr:rowOff>
    </xdr:from>
    <xdr:to>
      <xdr:col>38</xdr:col>
      <xdr:colOff>192137</xdr:colOff>
      <xdr:row>37</xdr:row>
      <xdr:rowOff>1236</xdr:rowOff>
    </xdr:to>
    <xdr:grpSp>
      <xdr:nvGrpSpPr>
        <xdr:cNvPr id="159" name="Group 682">
          <a:extLst>
            <a:ext uri="{FF2B5EF4-FFF2-40B4-BE49-F238E27FC236}">
              <a16:creationId xmlns:a16="http://schemas.microsoft.com/office/drawing/2014/main" id="{C40EAC13-4A58-40F9-A8FD-FB1077ED1253}"/>
            </a:ext>
          </a:extLst>
        </xdr:cNvPr>
        <xdr:cNvGrpSpPr>
          <a:grpSpLocks/>
        </xdr:cNvGrpSpPr>
      </xdr:nvGrpSpPr>
      <xdr:grpSpPr bwMode="auto">
        <a:xfrm>
          <a:off x="14168966" y="5546725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BEBAD68D-D108-425D-B344-C7AAE70941D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E4B511C3-7721-4BD2-A36F-EFEDE7DE711E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1F90B01A-7615-4CA1-B337-BACEB2D99972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295275</xdr:colOff>
      <xdr:row>37</xdr:row>
      <xdr:rowOff>74086</xdr:rowOff>
    </xdr:from>
    <xdr:to>
      <xdr:col>39</xdr:col>
      <xdr:colOff>104775</xdr:colOff>
      <xdr:row>38</xdr:row>
      <xdr:rowOff>21418</xdr:rowOff>
    </xdr:to>
    <xdr:grpSp>
      <xdr:nvGrpSpPr>
        <xdr:cNvPr id="163" name="Group 33">
          <a:extLst>
            <a:ext uri="{FF2B5EF4-FFF2-40B4-BE49-F238E27FC236}">
              <a16:creationId xmlns:a16="http://schemas.microsoft.com/office/drawing/2014/main" id="{AC67B19C-2F57-48F4-AC2A-5D8C52411831}"/>
            </a:ext>
          </a:extLst>
        </xdr:cNvPr>
        <xdr:cNvGrpSpPr>
          <a:grpSpLocks/>
        </xdr:cNvGrpSpPr>
      </xdr:nvGrpSpPr>
      <xdr:grpSpPr bwMode="auto">
        <a:xfrm rot="1011365">
          <a:off x="14401800" y="5741461"/>
          <a:ext cx="190500" cy="109257"/>
          <a:chOff x="12267336" y="2379518"/>
          <a:chExt cx="192062" cy="99752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A135CAC2-F481-4366-BA84-C2E21C188C0B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90A2F6C-8D1B-4AF2-A180-94DE2F2E1C5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92FB8A71-E8A9-41FB-B3A7-106618BDCE5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E5F8457E-9095-4602-9477-FBE9274AF6B4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284693</xdr:colOff>
      <xdr:row>30</xdr:row>
      <xdr:rowOff>20110</xdr:rowOff>
    </xdr:from>
    <xdr:to>
      <xdr:col>39</xdr:col>
      <xdr:colOff>379943</xdr:colOff>
      <xdr:row>31</xdr:row>
      <xdr:rowOff>30693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DC77FF8D-49FC-4F4F-BE95-4D77DCBBD36C}"/>
            </a:ext>
          </a:extLst>
        </xdr:cNvPr>
        <xdr:cNvSpPr txBox="1"/>
      </xdr:nvSpPr>
      <xdr:spPr>
        <a:xfrm>
          <a:off x="14772218" y="4611160"/>
          <a:ext cx="95250" cy="1629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</a:t>
          </a:r>
        </a:p>
      </xdr:txBody>
    </xdr:sp>
    <xdr:clientData/>
  </xdr:twoCellAnchor>
  <xdr:twoCellAnchor>
    <xdr:from>
      <xdr:col>38</xdr:col>
      <xdr:colOff>369763</xdr:colOff>
      <xdr:row>32</xdr:row>
      <xdr:rowOff>114952</xdr:rowOff>
    </xdr:from>
    <xdr:to>
      <xdr:col>39</xdr:col>
      <xdr:colOff>93787</xdr:colOff>
      <xdr:row>34</xdr:row>
      <xdr:rowOff>4886</xdr:rowOff>
    </xdr:to>
    <xdr:grpSp>
      <xdr:nvGrpSpPr>
        <xdr:cNvPr id="170" name="Group 33">
          <a:extLst>
            <a:ext uri="{FF2B5EF4-FFF2-40B4-BE49-F238E27FC236}">
              <a16:creationId xmlns:a16="http://schemas.microsoft.com/office/drawing/2014/main" id="{69B40F72-E8EB-42A1-B854-3DA946D97D33}"/>
            </a:ext>
          </a:extLst>
        </xdr:cNvPr>
        <xdr:cNvGrpSpPr>
          <a:grpSpLocks/>
        </xdr:cNvGrpSpPr>
      </xdr:nvGrpSpPr>
      <xdr:grpSpPr bwMode="auto">
        <a:xfrm rot="17275771">
          <a:off x="14431433" y="5055657"/>
          <a:ext cx="194734" cy="105024"/>
          <a:chOff x="12267336" y="2379518"/>
          <a:chExt cx="192062" cy="99752"/>
        </a:xfrm>
      </xdr:grpSpPr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6DD5B69C-EEC0-425F-BE6A-11C335B657F4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64EA3993-3640-4062-9294-0DAEAAF5430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CB45C802-F717-4CC8-906C-1037827974CE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7C1D53A4-9B89-4CA1-8B52-EDB714441D4B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178859</xdr:colOff>
      <xdr:row>36</xdr:row>
      <xdr:rowOff>62443</xdr:rowOff>
    </xdr:from>
    <xdr:to>
      <xdr:col>40</xdr:col>
      <xdr:colOff>149514</xdr:colOff>
      <xdr:row>38</xdr:row>
      <xdr:rowOff>43391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674C735B-FE31-434B-901E-3E6DB0610999}"/>
            </a:ext>
          </a:extLst>
        </xdr:cNvPr>
        <xdr:cNvCxnSpPr>
          <a:endCxn id="73" idx="0"/>
        </xdr:cNvCxnSpPr>
      </xdr:nvCxnSpPr>
      <xdr:spPr>
        <a:xfrm>
          <a:off x="14285384" y="5567893"/>
          <a:ext cx="732655" cy="3047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31843</xdr:colOff>
      <xdr:row>68</xdr:row>
      <xdr:rowOff>87678</xdr:rowOff>
    </xdr:from>
    <xdr:to>
      <xdr:col>17</xdr:col>
      <xdr:colOff>209550</xdr:colOff>
      <xdr:row>73</xdr:row>
      <xdr:rowOff>26054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F5D283F3-3C23-4BD5-A46F-9EE0020026E0}"/>
            </a:ext>
          </a:extLst>
        </xdr:cNvPr>
        <xdr:cNvCxnSpPr>
          <a:stCxn id="234" idx="2"/>
          <a:endCxn id="226" idx="3"/>
        </xdr:cNvCxnSpPr>
      </xdr:nvCxnSpPr>
      <xdr:spPr>
        <a:xfrm flipH="1" flipV="1">
          <a:off x="5289643" y="10603278"/>
          <a:ext cx="939707" cy="70037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154516</xdr:colOff>
      <xdr:row>32</xdr:row>
      <xdr:rowOff>129117</xdr:rowOff>
    </xdr:from>
    <xdr:to>
      <xdr:col>39</xdr:col>
      <xdr:colOff>245533</xdr:colOff>
      <xdr:row>34</xdr:row>
      <xdr:rowOff>23284</xdr:rowOff>
    </xdr:to>
    <xdr:grpSp>
      <xdr:nvGrpSpPr>
        <xdr:cNvPr id="177" name="Group 28">
          <a:extLst>
            <a:ext uri="{FF2B5EF4-FFF2-40B4-BE49-F238E27FC236}">
              <a16:creationId xmlns:a16="http://schemas.microsoft.com/office/drawing/2014/main" id="{CE33288C-8F5D-4C05-BDAB-D3B286A3CEAB}"/>
            </a:ext>
          </a:extLst>
        </xdr:cNvPr>
        <xdr:cNvGrpSpPr>
          <a:grpSpLocks/>
        </xdr:cNvGrpSpPr>
      </xdr:nvGrpSpPr>
      <xdr:grpSpPr bwMode="auto">
        <a:xfrm rot="17968288">
          <a:off x="14588066" y="5078942"/>
          <a:ext cx="198967" cy="91017"/>
          <a:chOff x="12267508" y="2212225"/>
          <a:chExt cx="192931" cy="101137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4598F3D9-1908-450C-A590-EF117ECCE93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3D96E2F7-A0B0-448F-80CB-033B34576AC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6E2A861-6C7D-4B98-8C0E-068DDD4C655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311B5C4C-7490-46CE-8671-FFA54BDAF6C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125941</xdr:colOff>
      <xdr:row>37</xdr:row>
      <xdr:rowOff>21167</xdr:rowOff>
    </xdr:from>
    <xdr:to>
      <xdr:col>39</xdr:col>
      <xdr:colOff>316441</xdr:colOff>
      <xdr:row>37</xdr:row>
      <xdr:rowOff>112184</xdr:rowOff>
    </xdr:to>
    <xdr:grpSp>
      <xdr:nvGrpSpPr>
        <xdr:cNvPr id="182" name="Group 28">
          <a:extLst>
            <a:ext uri="{FF2B5EF4-FFF2-40B4-BE49-F238E27FC236}">
              <a16:creationId xmlns:a16="http://schemas.microsoft.com/office/drawing/2014/main" id="{223E11F0-61BA-4198-AC6C-07D54A5A9E6A}"/>
            </a:ext>
          </a:extLst>
        </xdr:cNvPr>
        <xdr:cNvGrpSpPr>
          <a:grpSpLocks/>
        </xdr:cNvGrpSpPr>
      </xdr:nvGrpSpPr>
      <xdr:grpSpPr bwMode="auto">
        <a:xfrm>
          <a:off x="14613466" y="5688542"/>
          <a:ext cx="190500" cy="91017"/>
          <a:chOff x="12267508" y="2212225"/>
          <a:chExt cx="192931" cy="101137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3E19DCA9-09DD-4820-93D7-38FBE362703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6CB5C41-4B28-4D90-8695-6C9DA50BB84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1B40A141-9D5A-4C33-8461-5E47B1F8E02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91D75AE3-402F-4D67-8FC8-E7226717954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115359</xdr:colOff>
      <xdr:row>39</xdr:row>
      <xdr:rowOff>32809</xdr:rowOff>
    </xdr:from>
    <xdr:to>
      <xdr:col>40</xdr:col>
      <xdr:colOff>348192</xdr:colOff>
      <xdr:row>40</xdr:row>
      <xdr:rowOff>117475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B28B1674-5516-4F2D-B233-618F1D40C0FE}"/>
            </a:ext>
          </a:extLst>
        </xdr:cNvPr>
        <xdr:cNvCxnSpPr/>
      </xdr:nvCxnSpPr>
      <xdr:spPr>
        <a:xfrm flipV="1">
          <a:off x="14983884" y="6014509"/>
          <a:ext cx="232833" cy="237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136525</xdr:colOff>
      <xdr:row>39</xdr:row>
      <xdr:rowOff>64559</xdr:rowOff>
    </xdr:from>
    <xdr:to>
      <xdr:col>40</xdr:col>
      <xdr:colOff>379941</xdr:colOff>
      <xdr:row>40</xdr:row>
      <xdr:rowOff>117475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E09007D6-5CF6-4361-A51B-9D14F60448A4}"/>
            </a:ext>
          </a:extLst>
        </xdr:cNvPr>
        <xdr:cNvCxnSpPr/>
      </xdr:nvCxnSpPr>
      <xdr:spPr>
        <a:xfrm>
          <a:off x="15005050" y="60462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327025</xdr:colOff>
      <xdr:row>37</xdr:row>
      <xdr:rowOff>127000</xdr:rowOff>
    </xdr:from>
    <xdr:to>
      <xdr:col>39</xdr:col>
      <xdr:colOff>295274</xdr:colOff>
      <xdr:row>38</xdr:row>
      <xdr:rowOff>75141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C3FF4D7F-775A-488D-9735-45E69844D6AD}"/>
            </a:ext>
          </a:extLst>
        </xdr:cNvPr>
        <xdr:cNvCxnSpPr/>
      </xdr:nvCxnSpPr>
      <xdr:spPr>
        <a:xfrm flipV="1">
          <a:off x="14433550" y="5794375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83608</xdr:colOff>
      <xdr:row>37</xdr:row>
      <xdr:rowOff>95250</xdr:rowOff>
    </xdr:from>
    <xdr:to>
      <xdr:col>39</xdr:col>
      <xdr:colOff>327024</xdr:colOff>
      <xdr:row>38</xdr:row>
      <xdr:rowOff>142875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759521D9-8220-4208-88B8-B4E987780128}"/>
            </a:ext>
          </a:extLst>
        </xdr:cNvPr>
        <xdr:cNvCxnSpPr/>
      </xdr:nvCxnSpPr>
      <xdr:spPr>
        <a:xfrm>
          <a:off x="14571133" y="5762625"/>
          <a:ext cx="243416" cy="209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157692</xdr:colOff>
      <xdr:row>33</xdr:row>
      <xdr:rowOff>62442</xdr:rowOff>
    </xdr:from>
    <xdr:to>
      <xdr:col>39</xdr:col>
      <xdr:colOff>20108</xdr:colOff>
      <xdr:row>34</xdr:row>
      <xdr:rowOff>115358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A6D198E4-3A7F-420A-B1F3-C7912C2B7053}"/>
            </a:ext>
          </a:extLst>
        </xdr:cNvPr>
        <xdr:cNvCxnSpPr/>
      </xdr:nvCxnSpPr>
      <xdr:spPr>
        <a:xfrm>
          <a:off x="14264217" y="5110692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62442</xdr:colOff>
      <xdr:row>33</xdr:row>
      <xdr:rowOff>147108</xdr:rowOff>
    </xdr:from>
    <xdr:to>
      <xdr:col>39</xdr:col>
      <xdr:colOff>30691</xdr:colOff>
      <xdr:row>34</xdr:row>
      <xdr:rowOff>104774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6040C3B4-EE44-4B0F-8A03-290C426E470C}"/>
            </a:ext>
          </a:extLst>
        </xdr:cNvPr>
        <xdr:cNvCxnSpPr/>
      </xdr:nvCxnSpPr>
      <xdr:spPr>
        <a:xfrm flipV="1">
          <a:off x="14168967" y="5195358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51859</xdr:colOff>
      <xdr:row>30</xdr:row>
      <xdr:rowOff>62442</xdr:rowOff>
    </xdr:from>
    <xdr:to>
      <xdr:col>40</xdr:col>
      <xdr:colOff>20108</xdr:colOff>
      <xdr:row>31</xdr:row>
      <xdr:rowOff>20108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97134698-864E-46EA-9633-854E45D99A3E}"/>
            </a:ext>
          </a:extLst>
        </xdr:cNvPr>
        <xdr:cNvCxnSpPr/>
      </xdr:nvCxnSpPr>
      <xdr:spPr>
        <a:xfrm flipV="1">
          <a:off x="14539384" y="4653492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157692</xdr:colOff>
      <xdr:row>30</xdr:row>
      <xdr:rowOff>20109</xdr:rowOff>
    </xdr:from>
    <xdr:to>
      <xdr:col>40</xdr:col>
      <xdr:colOff>20108</xdr:colOff>
      <xdr:row>31</xdr:row>
      <xdr:rowOff>73025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7FD11DDB-5AC0-41E7-81B0-35384531628F}"/>
            </a:ext>
          </a:extLst>
        </xdr:cNvPr>
        <xdr:cNvCxnSpPr/>
      </xdr:nvCxnSpPr>
      <xdr:spPr>
        <a:xfrm>
          <a:off x="14645217" y="46111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189441</xdr:colOff>
      <xdr:row>41</xdr:row>
      <xdr:rowOff>85725</xdr:rowOff>
    </xdr:from>
    <xdr:to>
      <xdr:col>44</xdr:col>
      <xdr:colOff>40613</xdr:colOff>
      <xdr:row>41</xdr:row>
      <xdr:rowOff>87313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888D9553-474E-4063-8F65-3722255FC71C}"/>
            </a:ext>
          </a:extLst>
        </xdr:cNvPr>
        <xdr:cNvCxnSpPr/>
      </xdr:nvCxnSpPr>
      <xdr:spPr>
        <a:xfrm>
          <a:off x="15438966" y="6372225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231775</xdr:colOff>
      <xdr:row>40</xdr:row>
      <xdr:rowOff>85726</xdr:rowOff>
    </xdr:from>
    <xdr:to>
      <xdr:col>44</xdr:col>
      <xdr:colOff>82947</xdr:colOff>
      <xdr:row>40</xdr:row>
      <xdr:rowOff>87314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F7FB5E45-6B80-4382-8E94-8B713B22890E}"/>
            </a:ext>
          </a:extLst>
        </xdr:cNvPr>
        <xdr:cNvCxnSpPr/>
      </xdr:nvCxnSpPr>
      <xdr:spPr>
        <a:xfrm>
          <a:off x="15481300" y="621982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51857</xdr:colOff>
      <xdr:row>35</xdr:row>
      <xdr:rowOff>125941</xdr:rowOff>
    </xdr:from>
    <xdr:to>
      <xdr:col>40</xdr:col>
      <xdr:colOff>194732</xdr:colOff>
      <xdr:row>37</xdr:row>
      <xdr:rowOff>25400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C5022A2A-C366-43FF-AF42-F838C3B997FD}"/>
            </a:ext>
          </a:extLst>
        </xdr:cNvPr>
        <xdr:cNvSpPr txBox="1"/>
      </xdr:nvSpPr>
      <xdr:spPr>
        <a:xfrm rot="1693368">
          <a:off x="14539382" y="5478991"/>
          <a:ext cx="523875" cy="213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50M</a:t>
          </a:r>
        </a:p>
      </xdr:txBody>
    </xdr:sp>
    <xdr:clientData/>
  </xdr:twoCellAnchor>
  <xdr:twoCellAnchor>
    <xdr:from>
      <xdr:col>36</xdr:col>
      <xdr:colOff>136526</xdr:colOff>
      <xdr:row>35</xdr:row>
      <xdr:rowOff>30691</xdr:rowOff>
    </xdr:from>
    <xdr:to>
      <xdr:col>37</xdr:col>
      <xdr:colOff>337608</xdr:colOff>
      <xdr:row>37</xdr:row>
      <xdr:rowOff>31750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4E9CDCB-9489-475E-9190-F21FD39753B2}"/>
            </a:ext>
          </a:extLst>
        </xdr:cNvPr>
        <xdr:cNvSpPr txBox="1"/>
      </xdr:nvSpPr>
      <xdr:spPr>
        <a:xfrm>
          <a:off x="13481051" y="5383741"/>
          <a:ext cx="582082" cy="3153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>
    <xdr:from>
      <xdr:col>36</xdr:col>
      <xdr:colOff>104775</xdr:colOff>
      <xdr:row>36</xdr:row>
      <xdr:rowOff>95781</xdr:rowOff>
    </xdr:from>
    <xdr:to>
      <xdr:col>37</xdr:col>
      <xdr:colOff>347531</xdr:colOff>
      <xdr:row>36</xdr:row>
      <xdr:rowOff>125943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2DC5AFE4-789F-420F-8670-C7A027E8C701}"/>
            </a:ext>
          </a:extLst>
        </xdr:cNvPr>
        <xdr:cNvCxnSpPr/>
      </xdr:nvCxnSpPr>
      <xdr:spPr>
        <a:xfrm flipV="1">
          <a:off x="13449300" y="5601231"/>
          <a:ext cx="623756" cy="301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200025</xdr:colOff>
      <xdr:row>57</xdr:row>
      <xdr:rowOff>114300</xdr:rowOff>
    </xdr:from>
    <xdr:to>
      <xdr:col>13</xdr:col>
      <xdr:colOff>329721</xdr:colOff>
      <xdr:row>58</xdr:row>
      <xdr:rowOff>83787</xdr:rowOff>
    </xdr:to>
    <xdr:grpSp>
      <xdr:nvGrpSpPr>
        <xdr:cNvPr id="208" name="Group 682">
          <a:extLst>
            <a:ext uri="{FF2B5EF4-FFF2-40B4-BE49-F238E27FC236}">
              <a16:creationId xmlns:a16="http://schemas.microsoft.com/office/drawing/2014/main" id="{20A2EBD3-2DAA-4CBD-A768-BDDE5C74FCAA}"/>
            </a:ext>
          </a:extLst>
        </xdr:cNvPr>
        <xdr:cNvGrpSpPr>
          <a:grpSpLocks/>
        </xdr:cNvGrpSpPr>
      </xdr:nvGrpSpPr>
      <xdr:grpSpPr bwMode="auto">
        <a:xfrm>
          <a:off x="4695825" y="895350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81CF3BD9-B909-870E-DDCF-C781423F42D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7D6D9B6-FFC3-8517-67FC-A229893F2832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CD977157-D4C7-6DFC-725C-99AD1842B1AE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57150</xdr:colOff>
      <xdr:row>65</xdr:row>
      <xdr:rowOff>76200</xdr:rowOff>
    </xdr:from>
    <xdr:to>
      <xdr:col>19</xdr:col>
      <xdr:colOff>186846</xdr:colOff>
      <xdr:row>66</xdr:row>
      <xdr:rowOff>45687</xdr:rowOff>
    </xdr:to>
    <xdr:grpSp>
      <xdr:nvGrpSpPr>
        <xdr:cNvPr id="212" name="Group 682">
          <a:extLst>
            <a:ext uri="{FF2B5EF4-FFF2-40B4-BE49-F238E27FC236}">
              <a16:creationId xmlns:a16="http://schemas.microsoft.com/office/drawing/2014/main" id="{7588E37E-B610-446D-A72F-9E8860906114}"/>
            </a:ext>
          </a:extLst>
        </xdr:cNvPr>
        <xdr:cNvGrpSpPr>
          <a:grpSpLocks/>
        </xdr:cNvGrpSpPr>
      </xdr:nvGrpSpPr>
      <xdr:grpSpPr bwMode="auto">
        <a:xfrm>
          <a:off x="6838950" y="1013460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42DDA017-789E-FF31-70F1-4F01B6D6507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95651B22-CBE8-8A6E-6790-CBF7D796151B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EA888CBD-90CE-6F76-21EF-873951B937CB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219075</xdr:colOff>
      <xdr:row>65</xdr:row>
      <xdr:rowOff>95250</xdr:rowOff>
    </xdr:from>
    <xdr:to>
      <xdr:col>13</xdr:col>
      <xdr:colOff>348771</xdr:colOff>
      <xdr:row>66</xdr:row>
      <xdr:rowOff>64737</xdr:rowOff>
    </xdr:to>
    <xdr:grpSp>
      <xdr:nvGrpSpPr>
        <xdr:cNvPr id="216" name="Group 682">
          <a:extLst>
            <a:ext uri="{FF2B5EF4-FFF2-40B4-BE49-F238E27FC236}">
              <a16:creationId xmlns:a16="http://schemas.microsoft.com/office/drawing/2014/main" id="{9E8C75AF-461C-4F6D-BBD0-76B45DC0B0EA}"/>
            </a:ext>
          </a:extLst>
        </xdr:cNvPr>
        <xdr:cNvGrpSpPr>
          <a:grpSpLocks/>
        </xdr:cNvGrpSpPr>
      </xdr:nvGrpSpPr>
      <xdr:grpSpPr bwMode="auto">
        <a:xfrm>
          <a:off x="4714875" y="1015365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7" name="Oval 216">
            <a:extLst>
              <a:ext uri="{FF2B5EF4-FFF2-40B4-BE49-F238E27FC236}">
                <a16:creationId xmlns:a16="http://schemas.microsoft.com/office/drawing/2014/main" id="{68A78671-8EBA-29BE-F001-EC614B0B023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F4705746-6B68-4CBC-6DF3-77926E7E711C}"/>
              </a:ext>
            </a:extLst>
          </xdr:cNvPr>
          <xdr:cNvCxnSpPr>
            <a:stCxn id="217" idx="1"/>
            <a:endCxn id="2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BBFEE684-205C-677B-820B-9381D2D500AD}"/>
              </a:ext>
            </a:extLst>
          </xdr:cNvPr>
          <xdr:cNvCxnSpPr>
            <a:stCxn id="217" idx="3"/>
            <a:endCxn id="2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352425</xdr:colOff>
      <xdr:row>65</xdr:row>
      <xdr:rowOff>95250</xdr:rowOff>
    </xdr:from>
    <xdr:to>
      <xdr:col>11</xdr:col>
      <xdr:colOff>101121</xdr:colOff>
      <xdr:row>66</xdr:row>
      <xdr:rowOff>64737</xdr:rowOff>
    </xdr:to>
    <xdr:grpSp>
      <xdr:nvGrpSpPr>
        <xdr:cNvPr id="220" name="Group 682">
          <a:extLst>
            <a:ext uri="{FF2B5EF4-FFF2-40B4-BE49-F238E27FC236}">
              <a16:creationId xmlns:a16="http://schemas.microsoft.com/office/drawing/2014/main" id="{BF2E5B58-CD85-40EE-ADBA-9413F10E31EE}"/>
            </a:ext>
          </a:extLst>
        </xdr:cNvPr>
        <xdr:cNvGrpSpPr>
          <a:grpSpLocks/>
        </xdr:cNvGrpSpPr>
      </xdr:nvGrpSpPr>
      <xdr:grpSpPr bwMode="auto">
        <a:xfrm>
          <a:off x="3705225" y="1015365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ECB08B6B-6521-F2E9-6FCE-FE14BA68CED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699F0FBC-2681-55BA-9055-C47436749CC1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84737794-1129-C0BF-26B1-DD3C24C58EEA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66674</xdr:colOff>
      <xdr:row>57</xdr:row>
      <xdr:rowOff>28578</xdr:rowOff>
    </xdr:from>
    <xdr:to>
      <xdr:col>14</xdr:col>
      <xdr:colOff>323849</xdr:colOff>
      <xdr:row>69</xdr:row>
      <xdr:rowOff>66674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D98FC971-5AFC-4895-9A94-DB8188FB9A9F}"/>
            </a:ext>
          </a:extLst>
        </xdr:cNvPr>
        <xdr:cNvSpPr/>
      </xdr:nvSpPr>
      <xdr:spPr>
        <a:xfrm rot="5400000">
          <a:off x="4138614" y="9672638"/>
          <a:ext cx="1866896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9525</xdr:colOff>
      <xdr:row>67</xdr:row>
      <xdr:rowOff>114300</xdr:rowOff>
    </xdr:from>
    <xdr:to>
      <xdr:col>15</xdr:col>
      <xdr:colOff>161925</xdr:colOff>
      <xdr:row>68</xdr:row>
      <xdr:rowOff>109258</xdr:rowOff>
    </xdr:to>
    <xdr:grpSp>
      <xdr:nvGrpSpPr>
        <xdr:cNvPr id="225" name="Group 2">
          <a:extLst>
            <a:ext uri="{FF2B5EF4-FFF2-40B4-BE49-F238E27FC236}">
              <a16:creationId xmlns:a16="http://schemas.microsoft.com/office/drawing/2014/main" id="{3B49FBD6-412D-4F19-9786-30443C605039}"/>
            </a:ext>
          </a:extLst>
        </xdr:cNvPr>
        <xdr:cNvGrpSpPr>
          <a:grpSpLocks/>
        </xdr:cNvGrpSpPr>
      </xdr:nvGrpSpPr>
      <xdr:grpSpPr bwMode="auto">
        <a:xfrm>
          <a:off x="5267325" y="10477500"/>
          <a:ext cx="152400" cy="147358"/>
          <a:chOff x="3725636" y="1945820"/>
          <a:chExt cx="153760" cy="144237"/>
        </a:xfrm>
      </xdr:grpSpPr>
      <xdr:sp macro="" textlink="">
        <xdr:nvSpPr>
          <xdr:cNvPr id="226" name="Oval 225">
            <a:extLst>
              <a:ext uri="{FF2B5EF4-FFF2-40B4-BE49-F238E27FC236}">
                <a16:creationId xmlns:a16="http://schemas.microsoft.com/office/drawing/2014/main" id="{034759F7-BD27-FC7B-CB61-C4DC275CFC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581F68A0-F4A6-9A0D-313D-6F7722DB6DC8}"/>
              </a:ext>
            </a:extLst>
          </xdr:cNvPr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E31E8807-2A2A-C6D8-7D8D-FE9110892911}"/>
              </a:ext>
            </a:extLst>
          </xdr:cNvPr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152400</xdr:colOff>
      <xdr:row>72</xdr:row>
      <xdr:rowOff>104775</xdr:rowOff>
    </xdr:from>
    <xdr:to>
      <xdr:col>18</xdr:col>
      <xdr:colOff>304800</xdr:colOff>
      <xdr:row>73</xdr:row>
      <xdr:rowOff>99733</xdr:rowOff>
    </xdr:to>
    <xdr:grpSp>
      <xdr:nvGrpSpPr>
        <xdr:cNvPr id="229" name="Group 2">
          <a:extLst>
            <a:ext uri="{FF2B5EF4-FFF2-40B4-BE49-F238E27FC236}">
              <a16:creationId xmlns:a16="http://schemas.microsoft.com/office/drawing/2014/main" id="{1213F115-ACE5-4C88-95DA-F4AE3F0D15F6}"/>
            </a:ext>
          </a:extLst>
        </xdr:cNvPr>
        <xdr:cNvGrpSpPr>
          <a:grpSpLocks/>
        </xdr:cNvGrpSpPr>
      </xdr:nvGrpSpPr>
      <xdr:grpSpPr bwMode="auto">
        <a:xfrm>
          <a:off x="6553200" y="11229975"/>
          <a:ext cx="152400" cy="147358"/>
          <a:chOff x="3725636" y="1945820"/>
          <a:chExt cx="153760" cy="144237"/>
        </a:xfrm>
      </xdr:grpSpPr>
      <xdr:sp macro="" textlink="">
        <xdr:nvSpPr>
          <xdr:cNvPr id="230" name="Oval 229">
            <a:extLst>
              <a:ext uri="{FF2B5EF4-FFF2-40B4-BE49-F238E27FC236}">
                <a16:creationId xmlns:a16="http://schemas.microsoft.com/office/drawing/2014/main" id="{67805D90-BFA5-21D2-880B-5ABAC271788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CE8A434-4BBD-D495-C951-03C673C2A707}"/>
              </a:ext>
            </a:extLst>
          </xdr:cNvPr>
          <xdr:cNvCxnSpPr>
            <a:stCxn id="230" idx="1"/>
            <a:endCxn id="2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3BB51EFF-1389-4E93-CB32-15829C01E229}"/>
              </a:ext>
            </a:extLst>
          </xdr:cNvPr>
          <xdr:cNvCxnSpPr>
            <a:stCxn id="230" idx="3"/>
            <a:endCxn id="2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209550</xdr:colOff>
      <xdr:row>72</xdr:row>
      <xdr:rowOff>104775</xdr:rowOff>
    </xdr:from>
    <xdr:to>
      <xdr:col>17</xdr:col>
      <xdr:colOff>361950</xdr:colOff>
      <xdr:row>73</xdr:row>
      <xdr:rowOff>99733</xdr:rowOff>
    </xdr:to>
    <xdr:grpSp>
      <xdr:nvGrpSpPr>
        <xdr:cNvPr id="233" name="Group 2">
          <a:extLst>
            <a:ext uri="{FF2B5EF4-FFF2-40B4-BE49-F238E27FC236}">
              <a16:creationId xmlns:a16="http://schemas.microsoft.com/office/drawing/2014/main" id="{05C24184-9C92-4CAC-B8C6-67534C1D3951}"/>
            </a:ext>
          </a:extLst>
        </xdr:cNvPr>
        <xdr:cNvGrpSpPr>
          <a:grpSpLocks/>
        </xdr:cNvGrpSpPr>
      </xdr:nvGrpSpPr>
      <xdr:grpSpPr bwMode="auto">
        <a:xfrm>
          <a:off x="6229350" y="11229975"/>
          <a:ext cx="152400" cy="147358"/>
          <a:chOff x="3725636" y="1945820"/>
          <a:chExt cx="153760" cy="144237"/>
        </a:xfrm>
      </xdr:grpSpPr>
      <xdr:sp macro="" textlink="">
        <xdr:nvSpPr>
          <xdr:cNvPr id="234" name="Oval 233">
            <a:extLst>
              <a:ext uri="{FF2B5EF4-FFF2-40B4-BE49-F238E27FC236}">
                <a16:creationId xmlns:a16="http://schemas.microsoft.com/office/drawing/2014/main" id="{BDF00D67-7BE3-A8EF-0594-1B372EB5FEB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5207688B-F671-13EB-B199-739822773D82}"/>
              </a:ext>
            </a:extLst>
          </xdr:cNvPr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69B1B354-6DA5-3045-B6C5-2E0BF2E0B2A7}"/>
              </a:ext>
            </a:extLst>
          </xdr:cNvPr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283923</xdr:colOff>
      <xdr:row>66</xdr:row>
      <xdr:rowOff>64737</xdr:rowOff>
    </xdr:from>
    <xdr:to>
      <xdr:col>15</xdr:col>
      <xdr:colOff>85725</xdr:colOff>
      <xdr:row>68</xdr:row>
      <xdr:rowOff>109258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4A7A8E1E-0B2E-42D5-AB21-E6EFF6927FE0}"/>
            </a:ext>
          </a:extLst>
        </xdr:cNvPr>
        <xdr:cNvCxnSpPr>
          <a:stCxn id="217" idx="4"/>
          <a:endCxn id="226" idx="4"/>
        </xdr:cNvCxnSpPr>
      </xdr:nvCxnSpPr>
      <xdr:spPr>
        <a:xfrm>
          <a:off x="4779723" y="10275537"/>
          <a:ext cx="563802" cy="3493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139607</xdr:colOff>
      <xdr:row>67</xdr:row>
      <xdr:rowOff>135880</xdr:rowOff>
    </xdr:from>
    <xdr:to>
      <xdr:col>17</xdr:col>
      <xdr:colOff>339632</xdr:colOff>
      <xdr:row>72</xdr:row>
      <xdr:rowOff>126355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7C4DF0D8-828A-41B3-BE88-AF7B37F870E9}"/>
            </a:ext>
          </a:extLst>
        </xdr:cNvPr>
        <xdr:cNvCxnSpPr>
          <a:stCxn id="226" idx="7"/>
          <a:endCxn id="234" idx="7"/>
        </xdr:cNvCxnSpPr>
      </xdr:nvCxnSpPr>
      <xdr:spPr>
        <a:xfrm>
          <a:off x="5397407" y="10499080"/>
          <a:ext cx="962025" cy="7524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36273</xdr:colOff>
      <xdr:row>65</xdr:row>
      <xdr:rowOff>95250</xdr:rowOff>
    </xdr:from>
    <xdr:to>
      <xdr:col>15</xdr:col>
      <xdr:colOff>139607</xdr:colOff>
      <xdr:row>67</xdr:row>
      <xdr:rowOff>135880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15D6DBAE-A3C7-4DFB-BCCE-7C99A3AADAE7}"/>
            </a:ext>
          </a:extLst>
        </xdr:cNvPr>
        <xdr:cNvCxnSpPr>
          <a:stCxn id="221" idx="0"/>
          <a:endCxn id="226" idx="7"/>
        </xdr:cNvCxnSpPr>
      </xdr:nvCxnSpPr>
      <xdr:spPr>
        <a:xfrm>
          <a:off x="3770073" y="10153650"/>
          <a:ext cx="1627334" cy="345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36273</xdr:colOff>
      <xdr:row>65</xdr:row>
      <xdr:rowOff>76200</xdr:rowOff>
    </xdr:from>
    <xdr:to>
      <xdr:col>19</xdr:col>
      <xdr:colOff>121998</xdr:colOff>
      <xdr:row>65</xdr:row>
      <xdr:rowOff>95250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99DFA5E1-017B-4B00-82AE-6225EC167913}"/>
            </a:ext>
          </a:extLst>
        </xdr:cNvPr>
        <xdr:cNvCxnSpPr>
          <a:stCxn id="221" idx="0"/>
          <a:endCxn id="213" idx="0"/>
        </xdr:cNvCxnSpPr>
      </xdr:nvCxnSpPr>
      <xdr:spPr>
        <a:xfrm flipV="1">
          <a:off x="3770073" y="10134600"/>
          <a:ext cx="313372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121998</xdr:colOff>
      <xdr:row>65</xdr:row>
      <xdr:rowOff>76200</xdr:rowOff>
    </xdr:from>
    <xdr:to>
      <xdr:col>20</xdr:col>
      <xdr:colOff>190500</xdr:colOff>
      <xdr:row>65</xdr:row>
      <xdr:rowOff>85725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238EDCFC-F1EF-407A-A1BF-381C83B4B1E4}"/>
            </a:ext>
          </a:extLst>
        </xdr:cNvPr>
        <xdr:cNvCxnSpPr>
          <a:endCxn id="213" idx="0"/>
        </xdr:cNvCxnSpPr>
      </xdr:nvCxnSpPr>
      <xdr:spPr>
        <a:xfrm flipH="1" flipV="1">
          <a:off x="6903798" y="10134600"/>
          <a:ext cx="449502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65</xdr:row>
      <xdr:rowOff>95250</xdr:rowOff>
    </xdr:from>
    <xdr:to>
      <xdr:col>11</xdr:col>
      <xdr:colOff>36273</xdr:colOff>
      <xdr:row>65</xdr:row>
      <xdr:rowOff>114300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E5D84C40-AC7B-4539-86E2-F1FB94C8E10C}"/>
            </a:ext>
          </a:extLst>
        </xdr:cNvPr>
        <xdr:cNvCxnSpPr>
          <a:stCxn id="221" idx="0"/>
        </xdr:cNvCxnSpPr>
      </xdr:nvCxnSpPr>
      <xdr:spPr>
        <a:xfrm flipH="1">
          <a:off x="3295650" y="10153650"/>
          <a:ext cx="474423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65</xdr:row>
      <xdr:rowOff>85725</xdr:rowOff>
    </xdr:from>
    <xdr:to>
      <xdr:col>13</xdr:col>
      <xdr:colOff>200025</xdr:colOff>
      <xdr:row>66</xdr:row>
      <xdr:rowOff>76200</xdr:rowOff>
    </xdr:to>
    <xdr:grpSp>
      <xdr:nvGrpSpPr>
        <xdr:cNvPr id="259" name="Group 118">
          <a:extLst>
            <a:ext uri="{FF2B5EF4-FFF2-40B4-BE49-F238E27FC236}">
              <a16:creationId xmlns:a16="http://schemas.microsoft.com/office/drawing/2014/main" id="{8F5DDC31-4D9E-4769-A245-EBFB1C9649E8}"/>
            </a:ext>
          </a:extLst>
        </xdr:cNvPr>
        <xdr:cNvGrpSpPr>
          <a:grpSpLocks/>
        </xdr:cNvGrpSpPr>
      </xdr:nvGrpSpPr>
      <xdr:grpSpPr bwMode="auto">
        <a:xfrm>
          <a:off x="4448175" y="10144125"/>
          <a:ext cx="247650" cy="142875"/>
          <a:chOff x="12446976" y="4345782"/>
          <a:chExt cx="251864" cy="151026"/>
        </a:xfrm>
      </xdr:grpSpPr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2AE24B53-7878-E476-EC84-8E7B8AA0335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202FCD6-E394-46C5-D597-AD3E50B3EEE1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61E34C61-0698-046B-EE7A-41B27F3325B8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13</xdr:col>
      <xdr:colOff>283923</xdr:colOff>
      <xdr:row>58</xdr:row>
      <xdr:rowOff>22844</xdr:rowOff>
    </xdr:from>
    <xdr:to>
      <xdr:col>13</xdr:col>
      <xdr:colOff>329721</xdr:colOff>
      <xdr:row>65</xdr:row>
      <xdr:rowOff>95250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4DF072E7-368C-4BF6-8215-C834CF0487FF}"/>
            </a:ext>
          </a:extLst>
        </xdr:cNvPr>
        <xdr:cNvCxnSpPr>
          <a:stCxn id="209" idx="6"/>
          <a:endCxn id="217" idx="0"/>
        </xdr:cNvCxnSpPr>
      </xdr:nvCxnSpPr>
      <xdr:spPr>
        <a:xfrm flipH="1">
          <a:off x="4779723" y="9014444"/>
          <a:ext cx="45798" cy="11392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71</xdr:row>
      <xdr:rowOff>28575</xdr:rowOff>
    </xdr:from>
    <xdr:to>
      <xdr:col>18</xdr:col>
      <xdr:colOff>219075</xdr:colOff>
      <xdr:row>72</xdr:row>
      <xdr:rowOff>23532</xdr:rowOff>
    </xdr:to>
    <xdr:grpSp>
      <xdr:nvGrpSpPr>
        <xdr:cNvPr id="266" name="Group 114">
          <a:extLst>
            <a:ext uri="{FF2B5EF4-FFF2-40B4-BE49-F238E27FC236}">
              <a16:creationId xmlns:a16="http://schemas.microsoft.com/office/drawing/2014/main" id="{141B5B92-E2DA-49DF-9051-4951BE908533}"/>
            </a:ext>
          </a:extLst>
        </xdr:cNvPr>
        <xdr:cNvGrpSpPr>
          <a:grpSpLocks/>
        </xdr:cNvGrpSpPr>
      </xdr:nvGrpSpPr>
      <xdr:grpSpPr bwMode="auto">
        <a:xfrm>
          <a:off x="6353175" y="11001375"/>
          <a:ext cx="266700" cy="147357"/>
          <a:chOff x="12001500" y="4327373"/>
          <a:chExt cx="262305" cy="151942"/>
        </a:xfrm>
      </xdr:grpSpPr>
      <xdr:sp macro="" textlink="">
        <xdr:nvSpPr>
          <xdr:cNvPr id="267" name="Isosceles Triangle 266">
            <a:extLst>
              <a:ext uri="{FF2B5EF4-FFF2-40B4-BE49-F238E27FC236}">
                <a16:creationId xmlns:a16="http://schemas.microsoft.com/office/drawing/2014/main" id="{834DF9F5-C107-15AF-F5D2-15125CB16EF8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8" name="Isosceles Triangle 267">
            <a:extLst>
              <a:ext uri="{FF2B5EF4-FFF2-40B4-BE49-F238E27FC236}">
                <a16:creationId xmlns:a16="http://schemas.microsoft.com/office/drawing/2014/main" id="{0C9FA70B-4634-976B-C019-13D4F6B8C9DE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9" name="Isosceles Triangle 268">
            <a:extLst>
              <a:ext uri="{FF2B5EF4-FFF2-40B4-BE49-F238E27FC236}">
                <a16:creationId xmlns:a16="http://schemas.microsoft.com/office/drawing/2014/main" id="{9879B576-93E8-73CD-EEA0-F34634E4B9FE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18</xdr:col>
      <xdr:colOff>152400</xdr:colOff>
      <xdr:row>75</xdr:row>
      <xdr:rowOff>123825</xdr:rowOff>
    </xdr:from>
    <xdr:to>
      <xdr:col>18</xdr:col>
      <xdr:colOff>342899</xdr:colOff>
      <xdr:row>76</xdr:row>
      <xdr:rowOff>87841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C8834E2-389D-4974-ADE4-40271CE24B13}"/>
            </a:ext>
          </a:extLst>
        </xdr:cNvPr>
        <xdr:cNvSpPr txBox="1"/>
      </xdr:nvSpPr>
      <xdr:spPr>
        <a:xfrm>
          <a:off x="6553200" y="11706225"/>
          <a:ext cx="190499" cy="1164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323850</xdr:colOff>
      <xdr:row>71</xdr:row>
      <xdr:rowOff>142875</xdr:rowOff>
    </xdr:from>
    <xdr:to>
      <xdr:col>17</xdr:col>
      <xdr:colOff>133350</xdr:colOff>
      <xdr:row>72</xdr:row>
      <xdr:rowOff>85725</xdr:rowOff>
    </xdr:to>
    <xdr:grpSp>
      <xdr:nvGrpSpPr>
        <xdr:cNvPr id="271" name="Group 28">
          <a:extLst>
            <a:ext uri="{FF2B5EF4-FFF2-40B4-BE49-F238E27FC236}">
              <a16:creationId xmlns:a16="http://schemas.microsoft.com/office/drawing/2014/main" id="{C6DE0AF5-AF8C-4570-B08F-C4B26FC050F9}"/>
            </a:ext>
          </a:extLst>
        </xdr:cNvPr>
        <xdr:cNvGrpSpPr>
          <a:grpSpLocks/>
        </xdr:cNvGrpSpPr>
      </xdr:nvGrpSpPr>
      <xdr:grpSpPr bwMode="auto">
        <a:xfrm>
          <a:off x="5962650" y="11115675"/>
          <a:ext cx="190500" cy="95250"/>
          <a:chOff x="12267508" y="2212225"/>
          <a:chExt cx="192931" cy="101137"/>
        </a:xfrm>
      </xdr:grpSpPr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1680164A-B517-CDDF-14A2-9830FD43CAE5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43CCC312-E155-F14F-9062-D072C7D2E86F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04E14165-B77F-8BBA-FEAB-9F569F363D6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4602F759-A47C-1081-8B92-C6008C5BA24E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152400</xdr:colOff>
      <xdr:row>67</xdr:row>
      <xdr:rowOff>95250</xdr:rowOff>
    </xdr:from>
    <xdr:to>
      <xdr:col>14</xdr:col>
      <xdr:colOff>342900</xdr:colOff>
      <xdr:row>68</xdr:row>
      <xdr:rowOff>38100</xdr:rowOff>
    </xdr:to>
    <xdr:grpSp>
      <xdr:nvGrpSpPr>
        <xdr:cNvPr id="276" name="Group 28">
          <a:extLst>
            <a:ext uri="{FF2B5EF4-FFF2-40B4-BE49-F238E27FC236}">
              <a16:creationId xmlns:a16="http://schemas.microsoft.com/office/drawing/2014/main" id="{6FE6169D-DF7A-43D7-99B6-CDF52A81903E}"/>
            </a:ext>
          </a:extLst>
        </xdr:cNvPr>
        <xdr:cNvGrpSpPr>
          <a:grpSpLocks/>
        </xdr:cNvGrpSpPr>
      </xdr:nvGrpSpPr>
      <xdr:grpSpPr bwMode="auto">
        <a:xfrm>
          <a:off x="5029200" y="10458450"/>
          <a:ext cx="190500" cy="95250"/>
          <a:chOff x="12267508" y="2212225"/>
          <a:chExt cx="192931" cy="101137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40AB61C2-8BEA-7835-23A3-2E095824F82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0260840E-BB4B-D684-D83A-38ACB69FD45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C27A3B4D-9B61-1C13-6C1A-21C5FBE2431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06C0535C-90F8-0EF6-194B-6212F446605C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123825</xdr:colOff>
      <xdr:row>71</xdr:row>
      <xdr:rowOff>76200</xdr:rowOff>
    </xdr:from>
    <xdr:to>
      <xdr:col>23</xdr:col>
      <xdr:colOff>11011</xdr:colOff>
      <xdr:row>73</xdr:row>
      <xdr:rowOff>144593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57BE148-7304-411F-8E39-8EF7FA250C70}"/>
            </a:ext>
          </a:extLst>
        </xdr:cNvPr>
        <xdr:cNvSpPr txBox="1"/>
      </xdr:nvSpPr>
      <xdr:spPr>
        <a:xfrm>
          <a:off x="6905625" y="11049000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150M</a:t>
          </a:r>
        </a:p>
      </xdr:txBody>
    </xdr:sp>
    <xdr:clientData/>
  </xdr:twoCellAnchor>
  <xdr:twoCellAnchor>
    <xdr:from>
      <xdr:col>6</xdr:col>
      <xdr:colOff>266700</xdr:colOff>
      <xdr:row>58</xdr:row>
      <xdr:rowOff>9525</xdr:rowOff>
    </xdr:from>
    <xdr:to>
      <xdr:col>10</xdr:col>
      <xdr:colOff>0</xdr:colOff>
      <xdr:row>67</xdr:row>
      <xdr:rowOff>19050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3A200071-7BE0-40EF-9617-D28F1E7D35CE}"/>
            </a:ext>
          </a:extLst>
        </xdr:cNvPr>
        <xdr:cNvSpPr txBox="1"/>
      </xdr:nvSpPr>
      <xdr:spPr>
        <a:xfrm>
          <a:off x="2095500" y="9001125"/>
          <a:ext cx="1257300" cy="13811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S12-350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DC-C1-IH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3 SJ5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CCO 240-70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CCO 150-70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133349</xdr:colOff>
      <xdr:row>59</xdr:row>
      <xdr:rowOff>66675</xdr:rowOff>
    </xdr:from>
    <xdr:to>
      <xdr:col>24</xdr:col>
      <xdr:colOff>304800</xdr:colOff>
      <xdr:row>67</xdr:row>
      <xdr:rowOff>0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710D56E-DB2C-4E0B-8C8E-AA5AF751C2CF}"/>
            </a:ext>
          </a:extLst>
        </xdr:cNvPr>
        <xdr:cNvSpPr txBox="1"/>
      </xdr:nvSpPr>
      <xdr:spPr>
        <a:xfrm>
          <a:off x="7677149" y="9210675"/>
          <a:ext cx="1352551" cy="1152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C14-35OE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15</xdr:col>
      <xdr:colOff>76200</xdr:colOff>
      <xdr:row>66</xdr:row>
      <xdr:rowOff>28575</xdr:rowOff>
    </xdr:from>
    <xdr:to>
      <xdr:col>15</xdr:col>
      <xdr:colOff>85725</xdr:colOff>
      <xdr:row>67</xdr:row>
      <xdr:rowOff>114300</xdr:rowOff>
    </xdr:to>
    <xdr:cxnSp macro="">
      <xdr:nvCxnSpPr>
        <xdr:cNvPr id="284" name="Straight Arrow Connector 283">
          <a:extLst>
            <a:ext uri="{FF2B5EF4-FFF2-40B4-BE49-F238E27FC236}">
              <a16:creationId xmlns:a16="http://schemas.microsoft.com/office/drawing/2014/main" id="{A53B74C4-DF9E-4479-A779-A1EEA83443F8}"/>
            </a:ext>
          </a:extLst>
        </xdr:cNvPr>
        <xdr:cNvCxnSpPr>
          <a:stCxn id="226" idx="0"/>
        </xdr:cNvCxnSpPr>
      </xdr:nvCxnSpPr>
      <xdr:spPr>
        <a:xfrm flipH="1" flipV="1">
          <a:off x="5334000" y="10239375"/>
          <a:ext cx="9525" cy="2381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123824</xdr:colOff>
      <xdr:row>75</xdr:row>
      <xdr:rowOff>38100</xdr:rowOff>
    </xdr:from>
    <xdr:to>
      <xdr:col>23</xdr:col>
      <xdr:colOff>9525</xdr:colOff>
      <xdr:row>86</xdr:row>
      <xdr:rowOff>104775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7783AD55-CDE2-42FC-99CB-B77FB515D614}"/>
            </a:ext>
          </a:extLst>
        </xdr:cNvPr>
        <xdr:cNvSpPr txBox="1"/>
      </xdr:nvSpPr>
      <xdr:spPr>
        <a:xfrm>
          <a:off x="6905624" y="11620500"/>
          <a:ext cx="1409701" cy="17430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MGN06-73B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C14-35OE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 313A 160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CM8-A1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90 NYY 1X70 mm2</a:t>
          </a:r>
        </a:p>
      </xdr:txBody>
    </xdr:sp>
    <xdr:clientData/>
  </xdr:twoCellAnchor>
  <xdr:twoCellAnchor>
    <xdr:from>
      <xdr:col>18</xdr:col>
      <xdr:colOff>228600</xdr:colOff>
      <xdr:row>73</xdr:row>
      <xdr:rowOff>99733</xdr:rowOff>
    </xdr:from>
    <xdr:to>
      <xdr:col>19</xdr:col>
      <xdr:colOff>28575</xdr:colOff>
      <xdr:row>74</xdr:row>
      <xdr:rowOff>66675</xdr:rowOff>
    </xdr:to>
    <xdr:cxnSp macro="">
      <xdr:nvCxnSpPr>
        <xdr:cNvPr id="288" name="Straight Arrow Connector 287">
          <a:extLst>
            <a:ext uri="{FF2B5EF4-FFF2-40B4-BE49-F238E27FC236}">
              <a16:creationId xmlns:a16="http://schemas.microsoft.com/office/drawing/2014/main" id="{221CFF66-1FBD-4B32-8A2F-0130363F13E7}"/>
            </a:ext>
          </a:extLst>
        </xdr:cNvPr>
        <xdr:cNvCxnSpPr>
          <a:stCxn id="230" idx="4"/>
        </xdr:cNvCxnSpPr>
      </xdr:nvCxnSpPr>
      <xdr:spPr>
        <a:xfrm>
          <a:off x="6629400" y="11377333"/>
          <a:ext cx="180975" cy="1193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209550</xdr:colOff>
      <xdr:row>66</xdr:row>
      <xdr:rowOff>142874</xdr:rowOff>
    </xdr:from>
    <xdr:to>
      <xdr:col>19</xdr:col>
      <xdr:colOff>19050</xdr:colOff>
      <xdr:row>68</xdr:row>
      <xdr:rowOff>95249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BB3C566F-5783-40DB-AD07-989F1EB4C75F}"/>
            </a:ext>
          </a:extLst>
        </xdr:cNvPr>
        <xdr:cNvSpPr txBox="1"/>
      </xdr:nvSpPr>
      <xdr:spPr>
        <a:xfrm>
          <a:off x="5467350" y="10353674"/>
          <a:ext cx="13335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LVTC 3X70+NX50 mm2</a:t>
          </a:r>
        </a:p>
      </xdr:txBody>
    </xdr:sp>
    <xdr:clientData/>
  </xdr:twoCellAnchor>
  <xdr:twoCellAnchor>
    <xdr:from>
      <xdr:col>11</xdr:col>
      <xdr:colOff>66675</xdr:colOff>
      <xdr:row>67</xdr:row>
      <xdr:rowOff>0</xdr:rowOff>
    </xdr:from>
    <xdr:to>
      <xdr:col>13</xdr:col>
      <xdr:colOff>257175</xdr:colOff>
      <xdr:row>68</xdr:row>
      <xdr:rowOff>66675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AFA5A98B-26BC-484E-80AC-DA813C65F1AB}"/>
            </a:ext>
          </a:extLst>
        </xdr:cNvPr>
        <xdr:cNvSpPr txBox="1"/>
      </xdr:nvSpPr>
      <xdr:spPr>
        <a:xfrm>
          <a:off x="3800475" y="10363200"/>
          <a:ext cx="95250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AAAC 70 mm2</a:t>
          </a:r>
        </a:p>
      </xdr:txBody>
    </xdr:sp>
    <xdr:clientData/>
  </xdr:twoCellAnchor>
  <xdr:twoCellAnchor>
    <xdr:from>
      <xdr:col>6</xdr:col>
      <xdr:colOff>336550</xdr:colOff>
      <xdr:row>21</xdr:row>
      <xdr:rowOff>0</xdr:rowOff>
    </xdr:from>
    <xdr:to>
      <xdr:col>15</xdr:col>
      <xdr:colOff>149008</xdr:colOff>
      <xdr:row>22</xdr:row>
      <xdr:rowOff>151558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D4CA9CD9-BB0C-4E59-89AF-860671ED4397}"/>
            </a:ext>
          </a:extLst>
        </xdr:cNvPr>
        <xdr:cNvSpPr/>
      </xdr:nvSpPr>
      <xdr:spPr>
        <a:xfrm>
          <a:off x="2165350" y="3228975"/>
          <a:ext cx="3241458" cy="30395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103717</xdr:colOff>
      <xdr:row>17</xdr:row>
      <xdr:rowOff>69849</xdr:rowOff>
    </xdr:from>
    <xdr:to>
      <xdr:col>8</xdr:col>
      <xdr:colOff>256117</xdr:colOff>
      <xdr:row>18</xdr:row>
      <xdr:rowOff>64807</xdr:rowOff>
    </xdr:to>
    <xdr:grpSp>
      <xdr:nvGrpSpPr>
        <xdr:cNvPr id="239" name="Group 6">
          <a:extLst>
            <a:ext uri="{FF2B5EF4-FFF2-40B4-BE49-F238E27FC236}">
              <a16:creationId xmlns:a16="http://schemas.microsoft.com/office/drawing/2014/main" id="{01D7250F-FB97-48CB-8C99-332E286B5EEB}"/>
            </a:ext>
          </a:extLst>
        </xdr:cNvPr>
        <xdr:cNvGrpSpPr>
          <a:grpSpLocks/>
        </xdr:cNvGrpSpPr>
      </xdr:nvGrpSpPr>
      <xdr:grpSpPr bwMode="auto">
        <a:xfrm>
          <a:off x="2694517" y="2689224"/>
          <a:ext cx="152400" cy="147358"/>
          <a:chOff x="3725636" y="1945820"/>
          <a:chExt cx="153760" cy="144237"/>
        </a:xfrm>
      </xdr:grpSpPr>
      <xdr:sp macro="" textlink="">
        <xdr:nvSpPr>
          <xdr:cNvPr id="240" name="Oval 239">
            <a:extLst>
              <a:ext uri="{FF2B5EF4-FFF2-40B4-BE49-F238E27FC236}">
                <a16:creationId xmlns:a16="http://schemas.microsoft.com/office/drawing/2014/main" id="{5A25D7B9-1F31-058B-1A9B-BEB12EE66D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2D301ECB-6D1E-A4FD-A1B7-D383C646CB0E}"/>
              </a:ext>
            </a:extLst>
          </xdr:cNvPr>
          <xdr:cNvCxnSpPr>
            <a:stCxn id="240" idx="1"/>
            <a:endCxn id="2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018946CF-5DC6-BD58-20C9-5BEC88257806}"/>
              </a:ext>
            </a:extLst>
          </xdr:cNvPr>
          <xdr:cNvCxnSpPr>
            <a:stCxn id="240" idx="3"/>
            <a:endCxn id="2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160867</xdr:colOff>
      <xdr:row>17</xdr:row>
      <xdr:rowOff>116417</xdr:rowOff>
    </xdr:from>
    <xdr:to>
      <xdr:col>13</xdr:col>
      <xdr:colOff>313267</xdr:colOff>
      <xdr:row>18</xdr:row>
      <xdr:rowOff>111375</xdr:rowOff>
    </xdr:to>
    <xdr:grpSp>
      <xdr:nvGrpSpPr>
        <xdr:cNvPr id="245" name="Group 6">
          <a:extLst>
            <a:ext uri="{FF2B5EF4-FFF2-40B4-BE49-F238E27FC236}">
              <a16:creationId xmlns:a16="http://schemas.microsoft.com/office/drawing/2014/main" id="{C5A3BA3A-2C6A-47DD-9119-206539EB8BF2}"/>
            </a:ext>
          </a:extLst>
        </xdr:cNvPr>
        <xdr:cNvGrpSpPr>
          <a:grpSpLocks/>
        </xdr:cNvGrpSpPr>
      </xdr:nvGrpSpPr>
      <xdr:grpSpPr bwMode="auto">
        <a:xfrm>
          <a:off x="4656667" y="2735792"/>
          <a:ext cx="152400" cy="147358"/>
          <a:chOff x="3725636" y="1945820"/>
          <a:chExt cx="153760" cy="144237"/>
        </a:xfrm>
      </xdr:grpSpPr>
      <xdr:sp macro="" textlink="">
        <xdr:nvSpPr>
          <xdr:cNvPr id="246" name="Oval 245">
            <a:extLst>
              <a:ext uri="{FF2B5EF4-FFF2-40B4-BE49-F238E27FC236}">
                <a16:creationId xmlns:a16="http://schemas.microsoft.com/office/drawing/2014/main" id="{D1DE2B83-BBD7-6C8D-74D1-7516F46002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835DD225-5A9D-6087-01F3-EFAC65636627}"/>
              </a:ext>
            </a:extLst>
          </xdr:cNvPr>
          <xdr:cNvCxnSpPr>
            <a:stCxn id="246" idx="1"/>
            <a:endCxn id="2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864CEE0C-9D99-FB8E-D5A7-D8257B2215FE}"/>
              </a:ext>
            </a:extLst>
          </xdr:cNvPr>
          <xdr:cNvCxnSpPr>
            <a:stCxn id="246" idx="3"/>
            <a:endCxn id="2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146050</xdr:colOff>
      <xdr:row>15</xdr:row>
      <xdr:rowOff>141816</xdr:rowOff>
    </xdr:from>
    <xdr:to>
      <xdr:col>13</xdr:col>
      <xdr:colOff>314570</xdr:colOff>
      <xdr:row>16</xdr:row>
      <xdr:rowOff>134739</xdr:rowOff>
    </xdr:to>
    <xdr:sp macro="" textlink="">
      <xdr:nvSpPr>
        <xdr:cNvPr id="249" name="Isosceles Triangle 248">
          <a:extLst>
            <a:ext uri="{FF2B5EF4-FFF2-40B4-BE49-F238E27FC236}">
              <a16:creationId xmlns:a16="http://schemas.microsoft.com/office/drawing/2014/main" id="{0FB49752-CA81-47B1-80BA-24D26C7FA4BE}"/>
            </a:ext>
          </a:extLst>
        </xdr:cNvPr>
        <xdr:cNvSpPr/>
      </xdr:nvSpPr>
      <xdr:spPr>
        <a:xfrm>
          <a:off x="4641850" y="2456391"/>
          <a:ext cx="168520" cy="145323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6</xdr:col>
      <xdr:colOff>336550</xdr:colOff>
      <xdr:row>17</xdr:row>
      <xdr:rowOff>48683</xdr:rowOff>
    </xdr:from>
    <xdr:to>
      <xdr:col>8</xdr:col>
      <xdr:colOff>179917</xdr:colOff>
      <xdr:row>17</xdr:row>
      <xdr:rowOff>69849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EDEE263D-502C-4D4E-8421-B9BE752DB23E}"/>
            </a:ext>
          </a:extLst>
        </xdr:cNvPr>
        <xdr:cNvCxnSpPr>
          <a:endCxn id="240" idx="0"/>
        </xdr:cNvCxnSpPr>
      </xdr:nvCxnSpPr>
      <xdr:spPr>
        <a:xfrm>
          <a:off x="2165350" y="2668058"/>
          <a:ext cx="605367" cy="2116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179917</xdr:colOff>
      <xdr:row>17</xdr:row>
      <xdr:rowOff>69849</xdr:rowOff>
    </xdr:from>
    <xdr:to>
      <xdr:col>13</xdr:col>
      <xdr:colOff>237067</xdr:colOff>
      <xdr:row>17</xdr:row>
      <xdr:rowOff>116417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C1D80F68-7BA0-4269-A9BC-B7C27ECBCC7D}"/>
            </a:ext>
          </a:extLst>
        </xdr:cNvPr>
        <xdr:cNvCxnSpPr>
          <a:stCxn id="240" idx="0"/>
          <a:endCxn id="246" idx="0"/>
        </xdr:cNvCxnSpPr>
      </xdr:nvCxnSpPr>
      <xdr:spPr>
        <a:xfrm>
          <a:off x="2770717" y="2689224"/>
          <a:ext cx="1962150" cy="4656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237067</xdr:colOff>
      <xdr:row>18</xdr:row>
      <xdr:rowOff>111375</xdr:rowOff>
    </xdr:from>
    <xdr:to>
      <xdr:col>16</xdr:col>
      <xdr:colOff>220133</xdr:colOff>
      <xdr:row>18</xdr:row>
      <xdr:rowOff>129116</xdr:rowOff>
    </xdr:to>
    <xdr:cxnSp macro="">
      <xdr:nvCxnSpPr>
        <xdr:cNvPr id="252" name="Straight Connector 251">
          <a:extLst>
            <a:ext uri="{FF2B5EF4-FFF2-40B4-BE49-F238E27FC236}">
              <a16:creationId xmlns:a16="http://schemas.microsoft.com/office/drawing/2014/main" id="{4E773C10-4DCD-48D3-98BA-DEED6E7A5AFA}"/>
            </a:ext>
          </a:extLst>
        </xdr:cNvPr>
        <xdr:cNvCxnSpPr>
          <a:stCxn id="246" idx="4"/>
        </xdr:cNvCxnSpPr>
      </xdr:nvCxnSpPr>
      <xdr:spPr>
        <a:xfrm>
          <a:off x="4732867" y="2883150"/>
          <a:ext cx="1126066" cy="177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144511</xdr:colOff>
      <xdr:row>18</xdr:row>
      <xdr:rowOff>44450</xdr:rowOff>
    </xdr:from>
    <xdr:to>
      <xdr:col>14</xdr:col>
      <xdr:colOff>306436</xdr:colOff>
      <xdr:row>18</xdr:row>
      <xdr:rowOff>135467</xdr:rowOff>
    </xdr:to>
    <xdr:grpSp>
      <xdr:nvGrpSpPr>
        <xdr:cNvPr id="254" name="Group 22">
          <a:extLst>
            <a:ext uri="{FF2B5EF4-FFF2-40B4-BE49-F238E27FC236}">
              <a16:creationId xmlns:a16="http://schemas.microsoft.com/office/drawing/2014/main" id="{D59C7C78-D5FF-41B7-AE07-4D4BAFA609F1}"/>
            </a:ext>
          </a:extLst>
        </xdr:cNvPr>
        <xdr:cNvGrpSpPr>
          <a:grpSpLocks/>
        </xdr:cNvGrpSpPr>
      </xdr:nvGrpSpPr>
      <xdr:grpSpPr bwMode="auto">
        <a:xfrm>
          <a:off x="5021311" y="2816225"/>
          <a:ext cx="161925" cy="91017"/>
          <a:chOff x="12262141" y="2055842"/>
          <a:chExt cx="156559" cy="95595"/>
        </a:xfrm>
      </xdr:grpSpPr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7CC19568-CA06-216F-82DD-691538B4E184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0017DFBB-AEBD-D0E1-337A-14B514685F09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7B974AE-15A7-CEE8-B93D-6EF8308E6E43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304800</xdr:colOff>
      <xdr:row>18</xdr:row>
      <xdr:rowOff>33866</xdr:rowOff>
    </xdr:from>
    <xdr:to>
      <xdr:col>8</xdr:col>
      <xdr:colOff>179917</xdr:colOff>
      <xdr:row>18</xdr:row>
      <xdr:rowOff>64807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id="{C7FD0C98-64F5-4A76-B7D2-10A604993BFC}"/>
            </a:ext>
          </a:extLst>
        </xdr:cNvPr>
        <xdr:cNvCxnSpPr>
          <a:endCxn id="240" idx="4"/>
        </xdr:cNvCxnSpPr>
      </xdr:nvCxnSpPr>
      <xdr:spPr>
        <a:xfrm>
          <a:off x="1752600" y="2805641"/>
          <a:ext cx="1018117" cy="309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64078</xdr:colOff>
      <xdr:row>17</xdr:row>
      <xdr:rowOff>148166</xdr:rowOff>
    </xdr:from>
    <xdr:to>
      <xdr:col>6</xdr:col>
      <xdr:colOff>226003</xdr:colOff>
      <xdr:row>18</xdr:row>
      <xdr:rowOff>86783</xdr:rowOff>
    </xdr:to>
    <xdr:grpSp>
      <xdr:nvGrpSpPr>
        <xdr:cNvPr id="265" name="Group 22">
          <a:extLst>
            <a:ext uri="{FF2B5EF4-FFF2-40B4-BE49-F238E27FC236}">
              <a16:creationId xmlns:a16="http://schemas.microsoft.com/office/drawing/2014/main" id="{E4EB910D-CBA6-40DD-A78C-9E8BC89C6563}"/>
            </a:ext>
          </a:extLst>
        </xdr:cNvPr>
        <xdr:cNvGrpSpPr>
          <a:grpSpLocks/>
        </xdr:cNvGrpSpPr>
      </xdr:nvGrpSpPr>
      <xdr:grpSpPr bwMode="auto">
        <a:xfrm>
          <a:off x="1892878" y="2767541"/>
          <a:ext cx="161925" cy="91017"/>
          <a:chOff x="12262141" y="2055842"/>
          <a:chExt cx="156559" cy="95595"/>
        </a:xfrm>
      </xdr:grpSpPr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86EF8AFF-1B74-1DE9-003D-E3EBB1807E28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49FBA9ED-C449-D0D0-38B2-084A7B656662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27F087FD-DB75-B8CA-9C95-F6BE57348402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179917</xdr:colOff>
      <xdr:row>18</xdr:row>
      <xdr:rowOff>64807</xdr:rowOff>
    </xdr:from>
    <xdr:to>
      <xdr:col>13</xdr:col>
      <xdr:colOff>237067</xdr:colOff>
      <xdr:row>18</xdr:row>
      <xdr:rowOff>111375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9F482736-172F-4751-B2FB-584E340CF0A6}"/>
            </a:ext>
          </a:extLst>
        </xdr:cNvPr>
        <xdr:cNvCxnSpPr>
          <a:stCxn id="240" idx="4"/>
          <a:endCxn id="246" idx="4"/>
        </xdr:cNvCxnSpPr>
      </xdr:nvCxnSpPr>
      <xdr:spPr>
        <a:xfrm>
          <a:off x="2770717" y="2836582"/>
          <a:ext cx="1962150" cy="465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142393</xdr:colOff>
      <xdr:row>18</xdr:row>
      <xdr:rowOff>63500</xdr:rowOff>
    </xdr:from>
    <xdr:to>
      <xdr:col>12</xdr:col>
      <xdr:colOff>304318</xdr:colOff>
      <xdr:row>19</xdr:row>
      <xdr:rowOff>2117</xdr:rowOff>
    </xdr:to>
    <xdr:grpSp>
      <xdr:nvGrpSpPr>
        <xdr:cNvPr id="293" name="Group 22">
          <a:extLst>
            <a:ext uri="{FF2B5EF4-FFF2-40B4-BE49-F238E27FC236}">
              <a16:creationId xmlns:a16="http://schemas.microsoft.com/office/drawing/2014/main" id="{3B84385E-0E0C-481D-B5A3-1BDF74BA42BB}"/>
            </a:ext>
          </a:extLst>
        </xdr:cNvPr>
        <xdr:cNvGrpSpPr>
          <a:grpSpLocks/>
        </xdr:cNvGrpSpPr>
      </xdr:nvGrpSpPr>
      <xdr:grpSpPr bwMode="auto">
        <a:xfrm>
          <a:off x="4257193" y="2835275"/>
          <a:ext cx="161925" cy="91017"/>
          <a:chOff x="12262141" y="2055842"/>
          <a:chExt cx="156559" cy="95595"/>
        </a:xfrm>
      </xdr:grpSpPr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03EFE889-3749-191C-3872-BCED449D3A8A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294">
            <a:extLst>
              <a:ext uri="{FF2B5EF4-FFF2-40B4-BE49-F238E27FC236}">
                <a16:creationId xmlns:a16="http://schemas.microsoft.com/office/drawing/2014/main" id="{D6F2AA8F-CD26-2FF3-342A-DD51834F5EE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88E52200-BEA0-60E5-A495-6EEAD97C9B6C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251883</xdr:colOff>
      <xdr:row>15</xdr:row>
      <xdr:rowOff>141816</xdr:rowOff>
    </xdr:from>
    <xdr:to>
      <xdr:col>13</xdr:col>
      <xdr:colOff>39403</xdr:colOff>
      <xdr:row>16</xdr:row>
      <xdr:rowOff>134739</xdr:rowOff>
    </xdr:to>
    <xdr:sp macro="" textlink="">
      <xdr:nvSpPr>
        <xdr:cNvPr id="297" name="Isosceles Triangle 296">
          <a:extLst>
            <a:ext uri="{FF2B5EF4-FFF2-40B4-BE49-F238E27FC236}">
              <a16:creationId xmlns:a16="http://schemas.microsoft.com/office/drawing/2014/main" id="{B5565FFF-991B-4814-BB8C-CE0C4B28AE69}"/>
            </a:ext>
          </a:extLst>
        </xdr:cNvPr>
        <xdr:cNvSpPr/>
      </xdr:nvSpPr>
      <xdr:spPr>
        <a:xfrm>
          <a:off x="4366683" y="2456391"/>
          <a:ext cx="168520" cy="145323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13</xdr:col>
      <xdr:colOff>40217</xdr:colOff>
      <xdr:row>15</xdr:row>
      <xdr:rowOff>111654</xdr:rowOff>
    </xdr:from>
    <xdr:to>
      <xdr:col>14</xdr:col>
      <xdr:colOff>81889</xdr:colOff>
      <xdr:row>17</xdr:row>
      <xdr:rowOff>80432</xdr:rowOff>
    </xdr:to>
    <xdr:cxnSp macro="">
      <xdr:nvCxnSpPr>
        <xdr:cNvPr id="298" name="Straight Connector 297">
          <a:extLst>
            <a:ext uri="{FF2B5EF4-FFF2-40B4-BE49-F238E27FC236}">
              <a16:creationId xmlns:a16="http://schemas.microsoft.com/office/drawing/2014/main" id="{308B0982-2309-4893-BEE6-4332963AAF54}"/>
            </a:ext>
          </a:extLst>
        </xdr:cNvPr>
        <xdr:cNvCxnSpPr/>
      </xdr:nvCxnSpPr>
      <xdr:spPr>
        <a:xfrm flipV="1">
          <a:off x="4536017" y="2426229"/>
          <a:ext cx="422672" cy="2735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71967</xdr:colOff>
      <xdr:row>15</xdr:row>
      <xdr:rowOff>57149</xdr:rowOff>
    </xdr:from>
    <xdr:to>
      <xdr:col>14</xdr:col>
      <xdr:colOff>33867</xdr:colOff>
      <xdr:row>17</xdr:row>
      <xdr:rowOff>84666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806A9613-C8FE-492F-B143-5C304854B659}"/>
            </a:ext>
          </a:extLst>
        </xdr:cNvPr>
        <xdr:cNvCxnSpPr/>
      </xdr:nvCxnSpPr>
      <xdr:spPr>
        <a:xfrm flipH="1" flipV="1">
          <a:off x="4567767" y="2371724"/>
          <a:ext cx="342900" cy="3323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8467</xdr:colOff>
      <xdr:row>11</xdr:row>
      <xdr:rowOff>9525</xdr:rowOff>
    </xdr:from>
    <xdr:to>
      <xdr:col>12</xdr:col>
      <xdr:colOff>262467</xdr:colOff>
      <xdr:row>14</xdr:row>
      <xdr:rowOff>61383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A0277946-659E-43BE-BE84-A44F33A98B3C}"/>
            </a:ext>
          </a:extLst>
        </xdr:cNvPr>
        <xdr:cNvSpPr txBox="1"/>
      </xdr:nvSpPr>
      <xdr:spPr>
        <a:xfrm>
          <a:off x="3361267" y="1704975"/>
          <a:ext cx="1016000" cy="5185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SYG05-227/27/3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 CG</a:t>
          </a:r>
          <a:r>
            <a:rPr lang="en-US" sz="800" baseline="0">
              <a:solidFill>
                <a:sysClr val="windowText" lastClr="000000"/>
              </a:solidFill>
            </a:rPr>
            <a:t> 106 25 KVA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 CM2-11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351367</xdr:colOff>
      <xdr:row>11</xdr:row>
      <xdr:rowOff>13758</xdr:rowOff>
    </xdr:from>
    <xdr:to>
      <xdr:col>15</xdr:col>
      <xdr:colOff>224367</xdr:colOff>
      <xdr:row>14</xdr:row>
      <xdr:rowOff>65616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254ABD06-D219-4CC6-A3CB-99A1ACDD5A00}"/>
            </a:ext>
          </a:extLst>
        </xdr:cNvPr>
        <xdr:cNvSpPr txBox="1"/>
      </xdr:nvSpPr>
      <xdr:spPr>
        <a:xfrm>
          <a:off x="4466167" y="1709208"/>
          <a:ext cx="1016000" cy="5185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SYG05-227/27/3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CG</a:t>
          </a:r>
          <a:r>
            <a:rPr lang="en-US" sz="800" baseline="0">
              <a:solidFill>
                <a:srgbClr val="FF0000"/>
              </a:solidFill>
            </a:rPr>
            <a:t> 106 50 KVA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2 CM2-11M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193458</xdr:colOff>
      <xdr:row>45</xdr:row>
      <xdr:rowOff>151558</xdr:rowOff>
    </xdr:to>
    <xdr:sp macro="" textlink="">
      <xdr:nvSpPr>
        <xdr:cNvPr id="302" name="Rectangle 301">
          <a:extLst>
            <a:ext uri="{FF2B5EF4-FFF2-40B4-BE49-F238E27FC236}">
              <a16:creationId xmlns:a16="http://schemas.microsoft.com/office/drawing/2014/main" id="{623315DB-E68A-4D72-8C54-34AF786704DE}"/>
            </a:ext>
          </a:extLst>
        </xdr:cNvPr>
        <xdr:cNvSpPr/>
      </xdr:nvSpPr>
      <xdr:spPr>
        <a:xfrm>
          <a:off x="12963525" y="6743700"/>
          <a:ext cx="3241458" cy="30395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23813</xdr:colOff>
      <xdr:row>8</xdr:row>
      <xdr:rowOff>47625</xdr:rowOff>
    </xdr:from>
    <xdr:to>
      <xdr:col>21</xdr:col>
      <xdr:colOff>71437</xdr:colOff>
      <xdr:row>46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B46D1-8D52-9926-7E6B-512822719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1524000"/>
          <a:ext cx="11691936" cy="64055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</xdr:row>
      <xdr:rowOff>0</xdr:rowOff>
    </xdr:from>
    <xdr:to>
      <xdr:col>28</xdr:col>
      <xdr:colOff>0</xdr:colOff>
      <xdr:row>68</xdr:row>
      <xdr:rowOff>86591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95C85-DF53-43B7-AEF7-9509337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562100"/>
          <a:ext cx="14344650" cy="94020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7" zoomScaleNormal="100" zoomScaleSheetLayoutView="100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0" t="s">
        <v>1104</v>
      </c>
      <c r="C4" s="520"/>
      <c r="D4" s="520"/>
      <c r="E4" s="520"/>
      <c r="F4" s="520"/>
      <c r="G4" s="520"/>
      <c r="H4" s="52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1" t="s">
        <v>0</v>
      </c>
      <c r="C7" s="521" t="s">
        <v>1</v>
      </c>
      <c r="D7" s="522" t="s">
        <v>32</v>
      </c>
      <c r="E7" s="522" t="s">
        <v>33</v>
      </c>
      <c r="F7" s="522" t="s">
        <v>1105</v>
      </c>
      <c r="G7" s="523" t="s">
        <v>31</v>
      </c>
      <c r="H7" s="519" t="s">
        <v>1012</v>
      </c>
      <c r="I7" s="519" t="s">
        <v>1107</v>
      </c>
      <c r="J7" s="519" t="s">
        <v>996</v>
      </c>
      <c r="K7" s="513" t="s">
        <v>994</v>
      </c>
      <c r="L7" s="514"/>
    </row>
    <row r="8" spans="1:12" ht="15" customHeight="1">
      <c r="B8" s="521"/>
      <c r="C8" s="521"/>
      <c r="D8" s="522"/>
      <c r="E8" s="522"/>
      <c r="F8" s="522"/>
      <c r="G8" s="523"/>
      <c r="H8" s="519"/>
      <c r="I8" s="519"/>
      <c r="J8" s="519"/>
      <c r="K8" s="515"/>
      <c r="L8" s="516"/>
    </row>
    <row r="9" spans="1:12" ht="15" customHeight="1">
      <c r="B9" s="521"/>
      <c r="C9" s="521"/>
      <c r="D9" s="522"/>
      <c r="E9" s="522"/>
      <c r="F9" s="522"/>
      <c r="G9" s="523"/>
      <c r="H9" s="519"/>
      <c r="I9" s="519"/>
      <c r="J9" s="519"/>
      <c r="K9" s="517"/>
      <c r="L9" s="51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SUMIFS(RAB!$F$14:$F$76,RAB!$C$14:$C$76,C714)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SUMIFS(RAB!$F$14:$F$76,RAB!$C$14:$C$76,C715)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SUMIFS(RAB!$F$14:$F$76,RAB!$C$14:$C$76,C716)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SUMIFS(RAB!$F$14:$F$76,RAB!$C$14:$C$76,C717)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SUMIFS(RAB!$F$14:$F$76,RAB!$C$14:$C$76,C718)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SUMIFS(RAB!$F$14:$F$76,RAB!$C$14:$C$76,C719)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SUMIFS(RAB!$F$14:$F$76,RAB!$C$14:$C$76,C720)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SUMIFS(RAB!$F$14:$F$76,RAB!$C$14:$C$76,C721)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SUMIFS(RAB!$F$14:$F$76,RAB!$C$14:$C$76,C722)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SUMIFS(RAB!$F$14:$F$76,RAB!$C$14:$C$76,C723)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SUMIFS(RAB!$F$14:$F$76,RAB!$C$14:$C$76,C724)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SUMIFS(RAB!$F$14:$F$76,RAB!$C$14:$C$76,C725)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SUMIFS(RAB!$F$14:$F$76,RAB!$C$14:$C$76,C726)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SUMIFS(RAB!$F$14:$F$76,RAB!$C$14:$C$76,C727)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SUMIFS(RAB!$F$14:$F$76,RAB!$C$14:$C$76,C728)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SUMIFS(RAB!$F$14:$F$76,RAB!$C$14:$C$76,C729)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SUMIFS(RAB!$F$14:$F$76,RAB!$C$14:$C$76,C730)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SUMIFS(RAB!$F$14:$F$76,RAB!$C$14:$C$76,C731)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SUMIFS(RAB!$F$14:$F$76,RAB!$C$14:$C$76,C732)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SUMIFS(RAB!$F$14:$F$76,RAB!$C$14:$C$76,C733)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SUMIFS(RAB!$F$14:$F$76,RAB!$C$14:$C$76,C734)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SUMIFS(RAB!$F$14:$F$76,RAB!$C$14:$C$76,C735)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SUMIFS(RAB!$F$14:$F$76,RAB!$C$14:$C$76,C736)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SUMIFS(RAB!$F$14:$F$76,RAB!$C$14:$C$76,C737)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SUMIFS(RAB!$F$14:$F$76,RAB!$C$14:$C$76,C738)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SUMIFS(RAB!$F$14:$F$76,RAB!$C$14:$C$76,C739)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SUMIFS(RAB!$F$14:$F$76,RAB!$C$14:$C$76,C740)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SUMIFS(RAB!$F$14:$F$76,RAB!$C$14:$C$76,C741)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SUMIFS(RAB!$F$14:$F$76,RAB!$C$14:$C$76,C742)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SUMIFS(RAB!$F$14:$F$76,RAB!$C$14:$C$76,C743)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SUMIFS(RAB!$F$14:$F$76,RAB!$C$14:$C$76,C744)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SUMIFS(RAB!$F$14:$F$76,RAB!$C$14:$C$76,C745)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SUMIFS(RAB!$F$14:$F$76,RAB!$C$14:$C$76,C746)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SUMIFS(RAB!$F$14:$F$76,RAB!$C$14:$C$76,C747)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SUMIFS(RAB!$F$14:$F$76,RAB!$C$14:$C$76,C748)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SUMIFS(RAB!$F$14:$F$76,RAB!$C$14:$C$76,C749)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SUMIFS(RAB!$F$14:$F$76,RAB!$C$14:$C$76,C750)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SUMIFS(RAB!$F$14:$F$76,RAB!$C$14:$C$76,C751)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SUMIFS(RAB!$F$14:$F$76,RAB!$C$14:$C$76,C752)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SUMIFS(RAB!$F$14:$F$76,RAB!$C$14:$C$76,C753)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SUMIFS(RAB!$F$14:$F$76,RAB!$C$14:$C$76,C754)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SUMIFS(RAB!$F$14:$F$76,RAB!$C$14:$C$76,C755)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SUMIFS(RAB!$F$14:$F$76,RAB!$C$14:$C$76,C756)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SUMIFS(RAB!$F$14:$F$76,RAB!$C$14:$C$76,C757)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SUMIFS(RAB!$F$14:$F$76,RAB!$C$14:$C$76,C758)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SUMIFS(RAB!$F$14:$F$76,RAB!$C$14:$C$76,C759)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SUMIFS(RAB!$F$14:$F$76,RAB!$C$14:$C$76,C760)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SUMIFS(RAB!$F$14:$F$76,RAB!$C$14:$C$76,C761)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SUMIFS(RAB!$F$14:$F$76,RAB!$C$14:$C$76,C762)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SUMIFS(RAB!$F$14:$F$76,RAB!$C$14:$C$76,C763)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SUMIFS(RAB!$F$14:$F$76,RAB!$C$14:$C$76,C764)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SUMIFS(RAB!$F$14:$F$76,RAB!$C$14:$C$76,C765)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SUMIFS(RAB!$F$14:$F$76,RAB!$C$14:$C$76,C766)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SUMIFS(RAB!$F$14:$F$76,RAB!$C$14:$C$76,C767)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SUMIFS(RAB!$F$14:$F$76,RAB!$C$14:$C$76,C768)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SUMIFS(RAB!$F$14:$F$76,RAB!$C$14:$C$76,C769)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SUMIFS(RAB!$F$14:$F$76,RAB!$C$14:$C$76,C770)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SUMIFS(RAB!$F$14:$F$76,RAB!$C$14:$C$76,C771)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SUMIFS(RAB!$F$14:$F$76,RAB!$C$14:$C$76,C772)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SUMIFS(RAB!$F$14:$F$76,RAB!$C$14:$C$76,C773)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SUMIFS(RAB!$F$14:$F$76,RAB!$C$14:$C$76,C774)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SUMIFS(RAB!$F$14:$F$76,RAB!$C$14:$C$76,C775)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SUMIFS(RAB!$F$14:$F$76,RAB!$C$14:$C$76,C776)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SUMIFS(RAB!$F$14:$F$76,RAB!$C$14:$C$76,C777)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SUMIFS(RAB!$F$14:$F$76,RAB!$C$14:$C$76,C778)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SUMIFS(RAB!$F$14:$F$76,RAB!$C$14:$C$76,C779)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SUMIFS(RAB!$F$14:$F$76,RAB!$C$14:$C$76,C780)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SUMIFS(RAB!$F$14:$F$76,RAB!$C$14:$C$76,C781)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SUMIFS(RAB!$F$14:$F$76,RAB!$C$14:$C$76,C782)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SUMIFS(RAB!$F$14:$F$76,RAB!$C$14:$C$76,C783)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SUMIFS(RAB!$F$14:$F$76,RAB!$C$14:$C$76,C784)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SUMIFS(RAB!$F$14:$F$76,RAB!$C$14:$C$76,C785)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SUMIFS(RAB!$F$14:$F$76,RAB!$C$14:$C$76,C786)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SUMIFS(RAB!$F$14:$F$76,RAB!$C$14:$C$76,C787)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SUMIFS(RAB!$F$14:$F$76,RAB!$C$14:$C$76,C788)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SUMIFS(RAB!$F$14:$F$76,RAB!$C$14:$C$76,C789)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SUMIFS(RAB!$F$14:$F$76,RAB!$C$14:$C$76,C790)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SUMIFS(RAB!$F$14:$F$76,RAB!$C$14:$C$76,C791)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SUMIFS(RAB!$F$14:$F$76,RAB!$C$14:$C$76,C792)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SUMIFS(RAB!$F$14:$F$76,RAB!$C$14:$C$76,C793)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SUMIFS(RAB!$F$14:$F$76,RAB!$C$14:$C$76,C794)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SUMIFS(RAB!$F$14:$F$76,RAB!$C$14:$C$76,C795)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SUMIFS(RAB!$F$14:$F$76,RAB!$C$14:$C$76,C796)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SUMIFS(RAB!$F$14:$F$76,RAB!$C$14:$C$76,C797)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SUMIFS(RAB!$F$14:$F$76,RAB!$C$14:$C$76,C798)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SUMIFS(RAB!$F$14:$F$76,RAB!$C$14:$C$76,C799)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SUMIFS(RAB!$F$14:$F$76,RAB!$C$14:$C$76,C800)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SUMIFS(RAB!$F$14:$F$76,RAB!$C$14:$C$76,C801)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SUMIFS(RAB!$F$14:$F$76,RAB!$C$14:$C$76,C802)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SUMIFS(RAB!$F$14:$F$76,RAB!$C$14:$C$76,C803)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SUMIFS(RAB!$F$14:$F$76,RAB!$C$14:$C$76,C804)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SUMIFS(RAB!$F$14:$F$76,RAB!$C$14:$C$76,C805)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SUMIFS(RAB!$F$14:$F$76,RAB!$C$14:$C$76,C806)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SUMIFS(RAB!$F$14:$F$76,RAB!$C$14:$C$76,C807)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SUMIFS(RAB!$F$14:$F$76,RAB!$C$14:$C$76,C808)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SUMIFS(RAB!$F$14:$F$76,RAB!$C$14:$C$76,C809)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SUMIFS(RAB!$F$14:$F$76,RAB!$C$14:$C$76,C810)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SUMIFS(RAB!$F$14:$F$76,RAB!$C$14:$C$76,C811)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SUMIFS(RAB!$F$14:$F$76,RAB!$C$14:$C$76,C812)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SUMIFS(RAB!$F$14:$F$76,RAB!$C$14:$C$76,C813)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SUMIFS(RAB!$F$14:$F$76,RAB!$C$14:$C$76,C814)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SUMIFS(RAB!$F$14:$F$76,RAB!$C$14:$C$76,C815)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SUMIFS(RAB!$F$14:$F$76,RAB!$C$14:$C$76,C816)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SUMIFS(RAB!$F$14:$F$76,RAB!$C$14:$C$76,C817)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SUMIFS(RAB!$F$14:$F$76,RAB!$C$14:$C$76,C818)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SUMIFS(RAB!$F$14:$F$76,RAB!$C$14:$C$76,C819)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SUMIFS(RAB!$F$14:$F$76,RAB!$C$14:$C$76,C820)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SUMIFS(RAB!$F$14:$F$76,RAB!$C$14:$C$76,C821)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SUMIFS(RAB!$F$14:$F$76,RAB!$C$14:$C$76,C822)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SUMIFS(RAB!$F$14:$F$76,RAB!$C$14:$C$76,C823)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SUMIFS(RAB!$F$14:$F$76,RAB!$C$14:$C$76,C824)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SUMIFS(RAB!$F$14:$F$76,RAB!$C$14:$C$76,C825)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SUMIFS(RAB!$F$14:$F$76,RAB!$C$14:$C$76,C826)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SUMIFS(RAB!$F$14:$F$76,RAB!$C$14:$C$76,C827)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SUMIFS(RAB!$F$14:$F$76,RAB!$C$14:$C$76,C828)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SUMIFS(RAB!$F$14:$F$76,RAB!$C$14:$C$76,C829)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SUMIFS(RAB!$F$14:$F$76,RAB!$C$14:$C$76,C830)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SUMIFS(RAB!$F$14:$F$76,RAB!$C$14:$C$76,C831)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SUMIFS(RAB!$F$14:$F$76,RAB!$C$14:$C$76,C832)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SUMIFS(RAB!$F$14:$F$76,RAB!$C$14:$C$76,C833)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SUMIFS(RAB!$F$14:$F$76,RAB!$C$14:$C$76,C834)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SUMIFS(RAB!$F$14:$F$76,RAB!$C$14:$C$76,C835)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SUMIFS(RAB!$F$14:$F$76,RAB!$C$14:$C$76,C836)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SUMIFS(RAB!$F$14:$F$76,RAB!$C$14:$C$76,C837)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SUMIFS(RAB!$F$14:$F$76,RAB!$C$14:$C$76,C838)</f>
        <v>35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SUMIFS(RAB!$F$14:$F$76,RAB!$C$14:$C$76,C839)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SUMIFS(RAB!$F$14:$F$76,RAB!$C$14:$C$76,C840)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SUMIFS(RAB!$F$14:$F$76,RAB!$C$14:$C$76,C841)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SUMIFS(RAB!$F$14:$F$76,RAB!$C$14:$C$76,C842)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SUMIFS(RAB!$F$14:$F$76,RAB!$C$14:$C$76,C843)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SUMIFS(RAB!$F$14:$F$76,RAB!$C$14:$C$76,C844)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SUMIFS(RAB!$F$14:$F$76,RAB!$C$14:$C$76,C845)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SUMIFS(RAB!$F$14:$F$76,RAB!$C$14:$C$76,C846)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SUMIFS(RAB!$F$14:$F$76,RAB!$C$14:$C$76,C847)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SUMIFS(RAB!$F$14:$F$76,RAB!$C$14:$C$76,C848)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SUMIFS(RAB!$F$14:$F$76,RAB!$C$14:$C$76,C849)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SUMIFS(RAB!$F$14:$F$76,RAB!$C$14:$C$76,C850)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SUMIFS(RAB!$F$14:$F$76,RAB!$C$14:$C$76,C851)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SUMIFS(RAB!$F$14:$F$76,RAB!$C$14:$C$76,C852)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SUMIFS(RAB!$F$14:$F$76,RAB!$C$14:$C$76,C853)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SUMIFS(RAB!$F$14:$F$76,RAB!$C$14:$C$76,C854)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SUMIFS(RAB!$F$14:$F$76,RAB!$C$14:$C$76,C855)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SUMIFS(RAB!$F$14:$F$76,RAB!$C$14:$C$76,C856)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SUMIFS(RAB!$F$14:$F$76,RAB!$C$14:$C$76,C857)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SUMIFS(RAB!$F$14:$F$76,RAB!$C$14:$C$76,C858)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SUMIFS(RAB!$F$14:$F$76,RAB!$C$14:$C$76,C859)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SUMIFS(RAB!$F$14:$F$76,RAB!$C$14:$C$76,C860)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SUMIFS(RAB!$F$14:$F$76,RAB!$C$14:$C$76,C861)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SUMIFS(RAB!$F$14:$F$76,RAB!$C$14:$C$76,C862)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SUMIFS(RAB!$F$14:$F$76,RAB!$C$14:$C$76,C863)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SUMIFS(RAB!$F$14:$F$76,RAB!$C$14:$C$76,C864)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SUMIFS(RAB!$F$14:$F$76,RAB!$C$14:$C$76,C865)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SUMIFS(RAB!$F$14:$F$76,RAB!$C$14:$C$76,C866)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SUMIFS(RAB!$F$14:$F$76,RAB!$C$14:$C$76,C867)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SUMIFS(RAB!$F$14:$F$76,RAB!$C$14:$C$76,C868)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SUMIFS(RAB!$F$14:$F$76,RAB!$C$14:$C$76,C869)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SUMIFS(RAB!$F$14:$F$76,RAB!$C$14:$C$76,C870)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SUMIFS(RAB!$F$14:$F$76,RAB!$C$14:$C$76,C871)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SUMIFS(RAB!$F$14:$F$76,RAB!$C$14:$C$76,C872)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SUMIFS(RAB!$F$14:$F$76,RAB!$C$14:$C$76,C873)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SUMIFS(RAB!$F$14:$F$76,RAB!$C$14:$C$76,C874)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SUMIFS(RAB!$F$14:$F$76,RAB!$C$14:$C$76,C875)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SUMIFS(RAB!$F$14:$F$76,RAB!$C$14:$C$76,C876)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SUMIFS(RAB!$F$14:$F$76,RAB!$C$14:$C$76,C877)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SUMIFS(RAB!$F$14:$F$76,RAB!$C$14:$C$76,C878)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SUMIFS(RAB!$F$14:$F$76,RAB!$C$14:$C$76,C879)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SUMIFS(RAB!$F$14:$F$76,RAB!$C$14:$C$76,C880)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SUMIFS(RAB!$F$14:$F$76,RAB!$C$14:$C$76,C881)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SUMIFS(RAB!$F$14:$F$76,RAB!$C$14:$C$76,C882)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SUMIFS(RAB!$F$14:$F$76,RAB!$C$14:$C$76,C883)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SUMIFS(RAB!$F$14:$F$76,RAB!$C$14:$C$76,C884)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SUMIFS(RAB!$F$14:$F$76,RAB!$C$14:$C$76,C885)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SUMIFS(RAB!$F$14:$F$76,RAB!$C$14:$C$76,C886)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SUMIFS(RAB!$F$14:$F$76,RAB!$C$14:$C$76,C887)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SUMIFS(RAB!$F$14:$F$76,RAB!$C$14:$C$76,C888)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SUMIFS(RAB!$F$14:$F$76,RAB!$C$14:$C$76,C889)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SUMIFS(RAB!$F$14:$F$76,RAB!$C$14:$C$76,C890)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SUMIFS(RAB!$F$14:$F$76,RAB!$C$14:$C$76,C891)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SUMIFS(RAB!$F$14:$F$76,RAB!$C$14:$C$76,C892)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SUMIFS(RAB!$F$14:$F$76,RAB!$C$14:$C$76,C893)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SUMIFS(RAB!$F$14:$F$76,RAB!$C$14:$C$76,C894)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SUMIFS(RAB!$F$14:$F$76,RAB!$C$14:$C$76,C895)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SUMIFS(RAB!$F$14:$F$76,RAB!$C$14:$C$76,C896)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SUMIFS(RAB!$F$14:$F$76,RAB!$C$14:$C$76,C897)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SUMIFS(RAB!$F$14:$F$76,RAB!$C$14:$C$76,C898)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SUMIFS(RAB!$F$14:$F$76,RAB!$C$14:$C$76,C899)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SUMIFS(RAB!$F$14:$F$76,RAB!$C$14:$C$76,C900)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SUMIFS(RAB!$F$14:$F$76,RAB!$C$14:$C$76,C901)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SUMIFS(RAB!$F$14:$F$76,RAB!$C$14:$C$76,C902)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SUMIFS(RAB!$F$14:$F$76,RAB!$C$14:$C$76,C903)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SUMIFS(RAB!$F$14:$F$76,RAB!$C$14:$C$76,C904)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SUMIFS(RAB!$F$14:$F$76,RAB!$C$14:$C$76,C905)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SUMIFS(RAB!$F$14:$F$76,RAB!$C$14:$C$76,C906)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SUMIFS(RAB!$F$14:$F$76,RAB!$C$14:$C$76,C907)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SUMIFS(RAB!$F$14:$F$76,RAB!$C$14:$C$76,C908)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SUMIFS(RAB!$F$14:$F$76,RAB!$C$14:$C$76,C909)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SUMIFS(RAB!$F$14:$F$76,RAB!$C$14:$C$76,C910)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SUMIFS(RAB!$F$14:$F$76,RAB!$C$14:$C$76,C911)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SUMIFS(RAB!$F$14:$F$76,RAB!$C$14:$C$76,C912)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SUMIFS(RAB!$F$14:$F$76,RAB!$C$14:$C$76,C913)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SUMIFS(RAB!$F$14:$F$76,RAB!$C$14:$C$76,C914)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SUMIFS(RAB!$F$14:$F$76,RAB!$C$14:$C$76,C915)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SUMIFS(RAB!$F$14:$F$76,RAB!$C$14:$C$76,C916)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SUMIFS(RAB!$F$14:$F$76,RAB!$C$14:$C$76,C917)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SUMIFS(RAB!$F$14:$F$76,RAB!$C$14:$C$76,C918)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SUMIFS(RAB!$F$14:$F$76,RAB!$C$14:$C$76,C919)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SUMIFS(RAB!$F$14:$F$76,RAB!$C$14:$C$76,C920)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SUMIFS(RAB!$F$14:$F$76,RAB!$C$14:$C$76,C921)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SUMIFS(RAB!$F$14:$F$76,RAB!$C$14:$C$76,C922)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SUMIFS(RAB!$F$14:$F$76,RAB!$C$14:$C$76,C923)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SUMIFS(RAB!$F$14:$F$76,RAB!$C$14:$C$76,C924)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SUMIFS(RAB!$F$14:$F$76,RAB!$C$14:$C$76,C925)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SUMIFS(RAB!$F$14:$F$76,RAB!$C$14:$C$76,C926)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SUMIFS(RAB!$F$14:$F$76,RAB!$C$14:$C$76,C927)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SUMIFS(RAB!$F$14:$F$76,RAB!$C$14:$C$76,C928)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SUMIFS(RAB!$F$14:$F$76,RAB!$C$14:$C$76,C929)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SUMIFS(RAB!$F$14:$F$76,RAB!$C$14:$C$76,C930)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SUMIFS(RAB!$F$14:$F$76,RAB!$C$14:$C$76,C931)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SUMIFS(RAB!$F$14:$F$76,RAB!$C$14:$C$76,C932)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SUMIFS(RAB!$F$14:$F$76,RAB!$C$14:$C$76,C933)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SUMIFS(RAB!$F$14:$F$76,RAB!$C$14:$C$76,C934)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SUMIFS(RAB!$F$14:$F$76,RAB!$C$14:$C$76,C935)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SUMIFS(RAB!$F$14:$F$76,RAB!$C$14:$C$76,C936)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SUMIFS(RAB!$F$14:$F$76,RAB!$C$14:$C$76,C937)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SUMIFS(RAB!$F$14:$F$76,RAB!$C$14:$C$76,C938)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SUMIFS(RAB!$F$14:$F$76,RAB!$C$14:$C$76,C939)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SUMIFS(RAB!$F$14:$F$76,RAB!$C$14:$C$76,C940)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SUMIFS(RAB!$F$14:$F$76,RAB!$C$14:$C$76,C941)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SUMIFS(RAB!$F$14:$F$76,RAB!$C$14:$C$76,C942)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SUMIFS(RAB!$F$14:$F$76,RAB!$C$14:$C$76,C943)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SUMIFS(RAB!$F$14:$F$76,RAB!$C$14:$C$76,C944)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SUMIFS(RAB!$F$14:$F$76,RAB!$C$14:$C$76,C945)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SUMIFS(RAB!$F$14:$F$76,RAB!$C$14:$C$76,C946)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SUMIFS(RAB!$F$14:$F$76,RAB!$C$14:$C$76,C947)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SUMIFS(RAB!$F$14:$F$76,RAB!$C$14:$C$76,C948)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SUMIFS(RAB!$F$14:$F$76,RAB!$C$14:$C$76,C949)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SUMIFS(RAB!$F$14:$F$76,RAB!$C$14:$C$76,C950)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SUMIFS(RAB!$F$14:$F$76,RAB!$C$14:$C$76,C951)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SUMIFS(RAB!$F$14:$F$76,RAB!$C$14:$C$76,C952)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SUMIFS(RAB!$F$14:$F$76,RAB!$C$14:$C$76,C953)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SUMIFS(RAB!$F$14:$F$76,RAB!$C$14:$C$76,C954)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SUMIFS(RAB!$F$14:$F$76,RAB!$C$14:$C$76,C955)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SUMIFS(RAB!$F$14:$F$76,RAB!$C$14:$C$76,C956)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SUMIFS(RAB!$F$14:$F$76,RAB!$C$14:$C$76,C957)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SUMIFS(RAB!$F$14:$F$76,RAB!$C$14:$C$76,C958)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SUMIFS(RAB!$F$14:$F$76,RAB!$C$14:$C$76,C959)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SUMIFS(RAB!$F$14:$F$76,RAB!$C$14:$C$76,C960)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SUMIFS(RAB!$F$14:$F$76,RAB!$C$14:$C$76,C961)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SUMIFS(RAB!$F$14:$F$76,RAB!$C$14:$C$76,C962)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SUMIFS(RAB!$F$14:$F$76,RAB!$C$14:$C$76,C963)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SUMIFS(RAB!$F$14:$F$76,RAB!$C$14:$C$76,C964)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SUMIFS(RAB!$F$14:$F$76,RAB!$C$14:$C$76,C965)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SUMIFS(RAB!$F$14:$F$76,RAB!$C$14:$C$76,C966)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SUMIFS(RAB!$F$14:$F$76,RAB!$C$14:$C$76,C967)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SUMIFS(RAB!$F$14:$F$76,RAB!$C$14:$C$76,C968)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SUMIFS(RAB!$F$14:$F$76,RAB!$C$14:$C$76,C969)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SUMIFS(RAB!$F$14:$F$76,RAB!$C$14:$C$76,C970)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SUMIFS(RAB!$F$14:$F$76,RAB!$C$14:$C$76,C971)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SUMIFS(RAB!$F$14:$F$76,RAB!$C$14:$C$76,C972)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SUMIFS(RAB!$F$14:$F$76,RAB!$C$14:$C$76,C973)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SUMIFS(RAB!$F$14:$F$76,RAB!$C$14:$C$76,C974)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SUMIFS(RAB!$F$14:$F$76,RAB!$C$14:$C$76,C975)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SUMIFS(RAB!$F$14:$F$76,RAB!$C$14:$C$76,C976)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SUMIFS(RAB!$F$14:$F$76,RAB!$C$14:$C$76,C977)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SUMIFS(RAB!$F$14:$F$76,RAB!$C$14:$C$76,C978)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SUMIFS(RAB!$F$14:$F$76,RAB!$C$14:$C$76,C979)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SUMIFS(RAB!$F$14:$F$76,RAB!$C$14:$C$76,C980)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SUMIFS(RAB!$F$14:$F$76,RAB!$C$14:$C$76,C981)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SUMIFS(RAB!$F$14:$F$76,RAB!$C$14:$C$76,C982)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SUMIFS(RAB!$F$14:$F$76,RAB!$C$14:$C$76,C983)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SUMIFS(RAB!$F$14:$F$76,RAB!$C$14:$C$76,C984)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SUMIFS(RAB!$F$14:$F$76,RAB!$C$14:$C$76,C985)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SUMIFS(RAB!$F$14:$F$76,RAB!$C$14:$C$76,C986)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SUMIFS(RAB!$F$14:$F$76,RAB!$C$14:$C$76,C987)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SUMIFS(RAB!$F$14:$F$76,RAB!$C$14:$C$76,C988)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SUMIFS(RAB!$F$14:$F$76,RAB!$C$14:$C$76,C989)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SUMIFS(RAB!$F$14:$F$76,RAB!$C$14:$C$76,C990)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SUMIFS(RAB!$F$14:$F$76,RAB!$C$14:$C$76,C991)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SUMIFS(RAB!$F$14:$F$76,RAB!$C$14:$C$76,C992)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SUMIFS(RAB!$F$14:$F$76,RAB!$C$14:$C$76,C993)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SUMIFS(RAB!$F$14:$F$76,RAB!$C$14:$C$76,C994)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SUMIFS(RAB!$F$14:$F$76,RAB!$C$14:$C$76,C995)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SUMIFS(RAB!$F$14:$F$76,RAB!$C$14:$C$76,C996)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SUMIFS(RAB!$F$14:$F$76,RAB!$C$14:$C$76,C997)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SUMIFS(RAB!$F$14:$F$76,RAB!$C$14:$C$76,C998)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SUMIFS(RAB!$F$14:$F$76,RAB!$C$14:$C$76,C999)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SUMIFS(RAB!$F$14:$F$76,RAB!$C$14:$C$76,C1000)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SUMIFS(RAB!$F$14:$F$76,RAB!$C$14:$C$76,C1001)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SUMIFS(RAB!$F$14:$F$76,RAB!$C$14:$C$76,C1002)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SUMIFS(RAB!$F$14:$F$76,RAB!$C$14:$C$76,C1003)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SUMIFS(RAB!$F$14:$F$76,RAB!$C$14:$C$76,C1004)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SUMIFS(RAB!$F$14:$F$76,RAB!$C$14:$C$76,C1005)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SUMIFS(RAB!$F$14:$F$76,RAB!$C$14:$C$76,C1006)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SUMIFS(RAB!$F$14:$F$76,RAB!$C$14:$C$76,C1007)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SUMIFS(RAB!$F$14:$F$76,RAB!$C$14:$C$76,C1008)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SUMIFS(RAB!$F$14:$F$76,RAB!$C$14:$C$76,C1009)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SUMIFS(RAB!$F$14:$F$76,RAB!$C$14:$C$76,C1010)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SUMIFS(RAB!$F$14:$F$76,RAB!$C$14:$C$76,C1011)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SUMIFS(RAB!$F$14:$F$76,RAB!$C$14:$C$76,C1012)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SUMIFS(RAB!$F$14:$F$76,RAB!$C$14:$C$76,C1013)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SUMIFS(RAB!$F$14:$F$76,RAB!$C$14:$C$76,C1014)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SUMIFS(RAB!$F$14:$F$76,RAB!$C$14:$C$76,C1015)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SUMIFS(RAB!$F$14:$F$76,RAB!$C$14:$C$76,C1016)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SUMIFS(RAB!$F$14:$F$76,RAB!$C$14:$C$76,C1017)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SUMIFS(RAB!$F$14:$F$76,RAB!$C$14:$C$76,C1018)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SUMIFS(RAB!$F$14:$F$76,RAB!$C$14:$C$76,C1019)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SUMIFS(RAB!$F$14:$F$76,RAB!$C$14:$C$76,C1020)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SUMIFS(RAB!$F$14:$F$76,RAB!$C$14:$C$76,C1021)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SUMIFS(RAB!$F$14:$F$76,RAB!$C$14:$C$76,C1022)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SUMIFS(RAB!$F$14:$F$76,RAB!$C$14:$C$76,C1023)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SUMIFS(RAB!$F$14:$F$76,RAB!$C$14:$C$76,C1024)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SUMIFS(RAB!$F$14:$F$76,RAB!$C$14:$C$76,C1025)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SUMIFS(RAB!$F$14:$F$76,RAB!$C$14:$C$76,C1026)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SUMIFS(RAB!$F$14:$F$76,RAB!$C$14:$C$76,C1027)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SUMIFS(RAB!$F$14:$F$76,RAB!$C$14:$C$76,C1028)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SUMIFS(RAB!$F$14:$F$76,RAB!$C$14:$C$76,C1029)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SUMIFS(RAB!$F$14:$F$76,RAB!$C$14:$C$76,C1030)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SUMIFS(RAB!$F$14:$F$76,RAB!$C$14:$C$76,C1031)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SUMIFS(RAB!$F$14:$F$76,RAB!$C$14:$C$76,C1032)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SUMIFS(RAB!$F$14:$F$76,RAB!$C$14:$C$76,C1033)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SUMIFS(RAB!$F$14:$F$76,RAB!$C$14:$C$76,C1034)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SUMIFS(RAB!$F$14:$F$76,RAB!$C$14:$C$76,C1035)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SUMIFS(RAB!$F$14:$F$76,RAB!$C$14:$C$76,C1036)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SUMIFS(RAB!$F$14:$F$76,RAB!$C$14:$C$76,C1037)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SUMIFS(RAB!$F$14:$F$76,RAB!$C$14:$C$76,C1038)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SUMIFS(RAB!$F$14:$F$76,RAB!$C$14:$C$76,C1039)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SUMIFS(RAB!$F$14:$F$76,RAB!$C$14:$C$76,C1040)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SUMIFS(RAB!$F$14:$F$76,RAB!$C$14:$C$76,C1041)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SUMIFS(RAB!$F$14:$F$76,RAB!$C$14:$C$76,C1042)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SUMIFS(RAB!$F$14:$F$76,RAB!$C$14:$C$76,C1043)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SUMIFS(RAB!$F$14:$F$76,RAB!$C$14:$C$76,C1044)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SUMIFS(RAB!$F$14:$F$76,RAB!$C$14:$C$76,C1045)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SUMIFS(RAB!$F$14:$F$76,RAB!$C$14:$C$76,C1046)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SUMIFS(RAB!$F$14:$F$76,RAB!$C$14:$C$76,C1047)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SUMIFS(RAB!$F$14:$F$76,RAB!$C$14:$C$76,C1048)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SUMIFS(RAB!$F$14:$F$76,RAB!$C$14:$C$76,C1049)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SUMIFS(RAB!$F$14:$F$76,RAB!$C$14:$C$76,C1050)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SUMIFS(RAB!$F$14:$F$76,RAB!$C$14:$C$76,C1051)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SUMIFS(RAB!$F$14:$F$76,RAB!$C$14:$C$76,C1052)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SUMIFS(RAB!$F$14:$F$76,RAB!$C$14:$C$76,C1053)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SUMIFS(RAB!$F$14:$F$76,RAB!$C$14:$C$76,C1054)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SUMIFS(RAB!$F$14:$F$76,RAB!$C$14:$C$76,C1055)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SUMIFS(RAB!$F$14:$F$76,RAB!$C$14:$C$76,C1056)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SUMIFS(RAB!$F$14:$F$76,RAB!$C$14:$C$76,C1057)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SUMIFS(RAB!$F$14:$F$76,RAB!$C$14:$C$76,C1058)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SUMIFS(RAB!$F$14:$F$76,RAB!$C$14:$C$76,C1059)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SUMIFS(RAB!$F$14:$F$76,RAB!$C$14:$C$76,C1060)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SUMIFS(RAB!$F$14:$F$76,RAB!$C$14:$C$76,C1061)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SUMIFS(RAB!$F$14:$F$76,RAB!$C$14:$C$76,C1062)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SUMIFS(RAB!$F$14:$F$76,RAB!$C$14:$C$76,C1063)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SUMIFS(RAB!$F$14:$F$76,RAB!$C$14:$C$76,C1064)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SUMIFS(RAB!$F$14:$F$76,RAB!$C$14:$C$76,C1065)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SUMIFS(RAB!$F$14:$F$76,RAB!$C$14:$C$76,C1066)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SUMIFS(RAB!$F$14:$F$76,RAB!$C$14:$C$76,C1067)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SUMIFS(RAB!$F$14:$F$76,RAB!$C$14:$C$76,C1068)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SUMIFS(RAB!$F$14:$F$76,RAB!$C$14:$C$76,C1069)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SUMIFS(RAB!$F$14:$F$76,RAB!$C$14:$C$76,C1070)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SUMIFS(RAB!$F$14:$F$76,RAB!$C$14:$C$76,C1071)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SUMIFS(RAB!$F$14:$F$76,RAB!$C$14:$C$76,C1072)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SUMIFS(RAB!$F$14:$F$76,RAB!$C$14:$C$76,C1073)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SUMIFS(RAB!$F$14:$F$76,RAB!$C$14:$C$76,C1074)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SUMIFS(RAB!$F$14:$F$76,RAB!$C$14:$C$76,C1075)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SUMIFS(RAB!$F$14:$F$76,RAB!$C$14:$C$76,C1076)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SUMIFS(RAB!$F$14:$F$76,RAB!$C$14:$C$76,C1077)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SUMIFS(RAB!$F$14:$F$76,RAB!$C$14:$C$76,C1078)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SUMIFS(RAB!$F$14:$F$76,RAB!$C$14:$C$76,C1079)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SUMIFS(RAB!$F$14:$F$76,RAB!$C$14:$C$76,C1080)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SUMIFS(RAB!$F$14:$F$76,RAB!$C$14:$C$76,C1081)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SUMIFS(RAB!$F$14:$F$76,RAB!$C$14:$C$76,C1082)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SUMIFS(RAB!$F$14:$F$76,RAB!$C$14:$C$76,C1083)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SUMIFS(RAB!$F$14:$F$76,RAB!$C$14:$C$76,C1084)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SUMIFS(RAB!$F$14:$F$76,RAB!$C$14:$C$76,C1085)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SUMIFS(RAB!$F$14:$F$76,RAB!$C$14:$C$76,C1086)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SUMIFS(RAB!$F$14:$F$76,RAB!$C$14:$C$76,C1087)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SUMIFS(RAB!$F$14:$F$76,RAB!$C$14:$C$76,C1088)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SUMIFS(RAB!$F$14:$F$76,RAB!$C$14:$C$76,C1089)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SUMIFS(RAB!$F$14:$F$76,RAB!$C$14:$C$76,C1090)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SUMIFS(RAB!$F$14:$F$76,RAB!$C$14:$C$76,C1091)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SUMIFS(RAB!$F$14:$F$76,RAB!$C$14:$C$76,C1092)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SUMIFS(RAB!$F$14:$F$76,RAB!$C$14:$C$76,C1093)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SUMIFS(RAB!$F$14:$F$76,RAB!$C$14:$C$76,C1094)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SUMIFS(RAB!$F$14:$F$76,RAB!$C$14:$C$76,C1095)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SUMIFS(RAB!$F$14:$F$76,RAB!$C$14:$C$76,C1096)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SUMIFS(RAB!$F$14:$F$76,RAB!$C$14:$C$76,C1097)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SUMIFS(RAB!$F$14:$F$76,RAB!$C$14:$C$76,C1098)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SUMIFS(RAB!$F$14:$F$76,RAB!$C$14:$C$76,C1099)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SUMIFS(RAB!$F$14:$F$76,RAB!$C$14:$C$76,C1100)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SUMIFS(RAB!$F$14:$F$76,RAB!$C$14:$C$76,C1101)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SUMIFS(RAB!$F$14:$F$76,RAB!$C$14:$C$76,C1102)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SUMIFS(RAB!$F$14:$F$76,RAB!$C$14:$C$76,C1103)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SUMIFS(RAB!$F$14:$F$76,RAB!$C$14:$C$76,C1104)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SUMIFS(RAB!$F$14:$F$76,RAB!$C$14:$C$76,C1105)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SUMIFS(RAB!$F$14:$F$76,RAB!$C$14:$C$76,C1106)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SUMIFS(RAB!$F$14:$F$76,RAB!$C$14:$C$76,C1107)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SUMIFS(RAB!$F$14:$F$76,RAB!$C$14:$C$76,C1108)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SUMIFS(RAB!$F$14:$F$76,RAB!$C$14:$C$76,C1109)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SUMIFS(RAB!$F$14:$F$76,RAB!$C$14:$C$76,C1110)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SUMIFS(RAB!$F$14:$F$76,RAB!$C$14:$C$76,C1111)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SUMIFS(RAB!$F$14:$F$76,RAB!$C$14:$C$76,C1112)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SUMIFS(RAB!$F$14:$F$76,RAB!$C$14:$C$76,C1113)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SUMIFS(RAB!$F$14:$F$76,RAB!$C$14:$C$76,C1114)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SUMIFS(RAB!$F$14:$F$76,RAB!$C$14:$C$76,C1115)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SUMIFS(RAB!$F$14:$F$76,RAB!$C$14:$C$76,C1116)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SUMIFS(RAB!$F$14:$F$76,RAB!$C$14:$C$76,C1117)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SUMIFS(RAB!$F$14:$F$76,RAB!$C$14:$C$76,C1118)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SUMIFS(RAB!$F$14:$F$76,RAB!$C$14:$C$76,C1119)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SUMIFS(RAB!$F$14:$F$76,RAB!$C$14:$C$76,C1120)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SUMIFS(RAB!$F$14:$F$76,RAB!$C$14:$C$76,C1121)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SUMIFS(RAB!$F$14:$F$76,RAB!$C$14:$C$76,C1122)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SUMIFS(RAB!$F$14:$F$76,RAB!$C$14:$C$76,C1123)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SUMIFS(RAB!$F$14:$F$76,RAB!$C$14:$C$76,C1124)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SUMIFS(RAB!$F$14:$F$76,RAB!$C$14:$C$76,C1125)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SUMIFS(RAB!$F$14:$F$76,RAB!$C$14:$C$76,C1126)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SUMIFS(RAB!$F$14:$F$76,RAB!$C$14:$C$76,C1127)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SUMIFS(RAB!$F$14:$F$76,RAB!$C$14:$C$76,C1128)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SUMIFS(RAB!$F$14:$F$76,RAB!$C$14:$C$76,C1129)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SUMIFS(RAB!$F$14:$F$76,RAB!$C$14:$C$76,C1130)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SUMIFS(RAB!$F$14:$F$76,RAB!$C$14:$C$76,C1131)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SUMIFS(RAB!$F$14:$F$76,RAB!$C$14:$C$76,C1132)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SUMIFS(RAB!$F$14:$F$76,RAB!$C$14:$C$76,C1133)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SUMIFS(RAB!$F$14:$F$76,RAB!$C$14:$C$76,C1134)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SUMIFS(RAB!$F$14:$F$76,RAB!$C$14:$C$76,C1135)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SUMIFS(RAB!$F$14:$F$76,RAB!$C$14:$C$76,C1136)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SUMIFS(RAB!$F$14:$F$76,RAB!$C$14:$C$76,C1137)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SUMIFS(RAB!$F$14:$F$76,RAB!$C$14:$C$76,C1138)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SUMIFS(RAB!$F$14:$F$76,RAB!$C$14:$C$76,C1139)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SUMIFS(RAB!$F$14:$F$76,RAB!$C$14:$C$76,C1140)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SUMIFS(RAB!$F$14:$F$76,RAB!$C$14:$C$76,C1141)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SUMIFS(RAB!$F$14:$F$76,RAB!$C$14:$C$76,C1142)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SUMIFS(RAB!$F$14:$F$76,RAB!$C$14:$C$76,C1143)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SUMIFS(RAB!$F$14:$F$76,RAB!$C$14:$C$76,C1144)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SUMIFS(RAB!$F$14:$F$76,RAB!$C$14:$C$76,C1145)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SUMIFS(RAB!$F$14:$F$76,RAB!$C$14:$C$76,C1146)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SUMIFS(RAB!$F$14:$F$76,RAB!$C$14:$C$76,C1147)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SUMIFS(RAB!$F$14:$F$76,RAB!$C$14:$C$76,C1148)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SUMIFS(RAB!$F$14:$F$76,RAB!$C$14:$C$76,C1149)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SUMIFS(RAB!$F$14:$F$76,RAB!$C$14:$C$76,C1150)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SUMIFS(RAB!$F$14:$F$76,RAB!$C$14:$C$76,C1151)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SUMIFS(RAB!$F$14:$F$76,RAB!$C$14:$C$76,C1152)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SUMIFS(RAB!$F$14:$F$76,RAB!$C$14:$C$76,C1153)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SUMIFS(RAB!$F$14:$F$76,RAB!$C$14:$C$76,C1154)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SUMIFS(RAB!$F$14:$F$76,RAB!$C$14:$C$76,C1155)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SUMIFS(RAB!$F$14:$F$76,RAB!$C$14:$C$76,C1156)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SUMIFS(RAB!$F$14:$F$76,RAB!$C$14:$C$76,C1157)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SUMIFS(RAB!$F$14:$F$76,RAB!$C$14:$C$76,C1158)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SUMIFS(RAB!$F$14:$F$76,RAB!$C$14:$C$76,C1159)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SUMIFS(RAB!$F$14:$F$76,RAB!$C$14:$C$76,C1160)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SUMIFS(RAB!$F$14:$F$76,RAB!$C$14:$C$76,C1161)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SUMIFS(RAB!$F$14:$F$76,RAB!$C$14:$C$76,C1162)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SUMIFS(RAB!$F$14:$F$76,RAB!$C$14:$C$76,C1163)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SUMIFS(RAB!$F$14:$F$76,RAB!$C$14:$C$76,C1164)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SUMIFS(RAB!$F$14:$F$76,RAB!$C$14:$C$76,C1165)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SUMIFS(RAB!$F$14:$F$76,RAB!$C$14:$C$76,C1166)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SUMIFS(RAB!$F$14:$F$76,RAB!$C$14:$C$76,C1167)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SUMIFS(RAB!$F$14:$F$76,RAB!$C$14:$C$76,C1168)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SUMIFS(RAB!$F$14:$F$76,RAB!$C$14:$C$76,C1169)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SUMIFS(RAB!$F$14:$F$76,RAB!$C$14:$C$76,C1170)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SUMIFS(RAB!$F$14:$F$76,RAB!$C$14:$C$76,C1171)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SUMIFS(RAB!$F$14:$F$76,RAB!$C$14:$C$76,C1172)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SUMIFS(RAB!$F$14:$F$76,RAB!$C$14:$C$76,C1173)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SUMIFS(RAB!$F$14:$F$76,RAB!$C$14:$C$76,C1174)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SUMIFS(RAB!$F$14:$F$76,RAB!$C$14:$C$76,C1175)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SUMIFS(RAB!$F$14:$F$76,RAB!$C$14:$C$76,C1176)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SUMIFS(RAB!$F$14:$F$76,RAB!$C$14:$C$76,C1177)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SUMIFS(RAB!$F$14:$F$76,RAB!$C$14:$C$76,C1178)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SUMIFS(RAB!$F$14:$F$76,RAB!$C$14:$C$76,C1179)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SUMIFS(RAB!$F$14:$F$76,RAB!$C$14:$C$76,C1180)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SUMIFS(RAB!$F$14:$F$76,RAB!$C$14:$C$76,C1181)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SUMIFS(RAB!$F$14:$F$76,RAB!$C$14:$C$76,C1182)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SUMIFS(RAB!$F$14:$F$76,RAB!$C$14:$C$76,C1183)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SUMIFS(RAB!$F$14:$F$76,RAB!$C$14:$C$76,C1184)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SUMIFS(RAB!$F$14:$F$76,RAB!$C$14:$C$76,C1185)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SUMIFS(RAB!$F$14:$F$76,RAB!$C$14:$C$76,C1186)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SUMIFS(RAB!$F$14:$F$76,RAB!$C$14:$C$76,C1187)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SUMIFS(RAB!$F$14:$F$76,RAB!$C$14:$C$76,C1188)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SUMIFS(RAB!$F$14:$F$76,RAB!$C$14:$C$76,C1189)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SUMIFS(RAB!$F$14:$F$76,RAB!$C$14:$C$76,C1190)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SUMIFS(RAB!$F$14:$F$76,RAB!$C$14:$C$76,C1191)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SUMIFS(RAB!$F$14:$F$76,RAB!$C$14:$C$76,C1192)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SUMIFS(RAB!$F$14:$F$76,RAB!$C$14:$C$76,C1193)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SUMIFS(RAB!$F$14:$F$76,RAB!$C$14:$C$76,C1194)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SUMIFS(RAB!$F$14:$F$76,RAB!$C$14:$C$76,C1195)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SUMIFS(RAB!$F$14:$F$76,RAB!$C$14:$C$76,C1196)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SUMIFS(RAB!$F$14:$F$76,RAB!$C$14:$C$76,C1197)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SUMIFS(RAB!$F$14:$F$76,RAB!$C$14:$C$76,C1198)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SUMIFS(RAB!$F$14:$F$76,RAB!$C$14:$C$76,C1199)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SUMIFS(RAB!$F$14:$F$76,RAB!$C$14:$C$76,C1200)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SUMIFS(RAB!$F$14:$F$76,RAB!$C$14:$C$76,C1201)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SUMIFS(RAB!$F$14:$F$76,RAB!$C$14:$C$76,C1202)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SUMIFS(RAB!$F$14:$F$76,RAB!$C$14:$C$76,C1203)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SUMIFS(RAB!$F$14:$F$76,RAB!$C$14:$C$76,C1204)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SUMIFS(RAB!$F$14:$F$76,RAB!$C$14:$C$76,C1205)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SUMIFS(RAB!$F$14:$F$76,RAB!$C$14:$C$76,C1206)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SUMIFS(RAB!$F$14:$F$76,RAB!$C$14:$C$76,C1207)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SUMIFS(RAB!$F$14:$F$76,RAB!$C$14:$C$76,C1208)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SUMIFS(RAB!$F$14:$F$76,RAB!$C$14:$C$76,C1209)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SUMIFS(RAB!$F$14:$F$76,RAB!$C$14:$C$76,C1210)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SUMIFS(RAB!$F$14:$F$76,RAB!$C$14:$C$76,C1211)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SUMIFS(RAB!$F$14:$F$76,RAB!$C$14:$C$76,C1212)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SUMIFS(RAB!$F$14:$F$76,RAB!$C$14:$C$76,C1213)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SUMIFS(RAB!$F$14:$F$76,RAB!$C$14:$C$76,C1214)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SUMIFS(RAB!$F$14:$F$76,RAB!$C$14:$C$76,C1215)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SUMIFS(RAB!$F$14:$F$76,RAB!$C$14:$C$76,C1216)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SUMIFS(RAB!$F$14:$F$76,RAB!$C$14:$C$76,C1217)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SUMIFS(RAB!$F$14:$F$76,RAB!$C$14:$C$76,C1218)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SUMIFS(RAB!$F$14:$F$76,RAB!$C$14:$C$76,C1219)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SUMIFS(RAB!$F$14:$F$76,RAB!$C$14:$C$76,C1220)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SUMIFS(RAB!$F$14:$F$76,RAB!$C$14:$C$76,C1221)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SUMIFS(RAB!$F$14:$F$76,RAB!$C$14:$C$76,C1222)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SUMIFS(RAB!$F$14:$F$76,RAB!$C$14:$C$76,C1223)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SUMIFS(RAB!$F$14:$F$76,RAB!$C$14:$C$76,C1224)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SUMIFS(RAB!$F$14:$F$76,RAB!$C$14:$C$76,C1225)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SUMIFS(RAB!$F$14:$F$76,RAB!$C$14:$C$76,C1226)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SUMIFS(RAB!$F$14:$F$76,RAB!$C$14:$C$76,C1227)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SUMIFS(RAB!$F$14:$F$76,RAB!$C$14:$C$76,C1228)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SUMIFS(RAB!$F$14:$F$76,RAB!$C$14:$C$76,C1229)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SUMIFS(RAB!$F$14:$F$76,RAB!$C$14:$C$76,C1230)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SUMIFS(RAB!$F$14:$F$76,RAB!$C$14:$C$76,C1231)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SUMIFS(RAB!$F$14:$F$76,RAB!$C$14:$C$76,C1232)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SUMIFS(RAB!$F$14:$F$76,RAB!$C$14:$C$76,C1233)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SUMIFS(RAB!$F$14:$F$76,RAB!$C$14:$C$76,C1234)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SUMIFS(RAB!$F$14:$F$76,RAB!$C$14:$C$76,C1235)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SUMIFS(RAB!$F$14:$F$76,RAB!$C$14:$C$76,C1236)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SUMIFS(RAB!$F$14:$F$76,RAB!$C$14:$C$76,C1237)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SUMIFS(RAB!$F$14:$F$76,RAB!$C$14:$C$76,C1238)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SUMIFS(RAB!$F$14:$F$76,RAB!$C$14:$C$76,C1239)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SUMIFS(RAB!$F$14:$F$76,RAB!$C$14:$C$76,C1240)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SUMIFS(RAB!$F$14:$F$76,RAB!$C$14:$C$76,C1241)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SUMIFS(RAB!$F$14:$F$76,RAB!$C$14:$C$76,C1242)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SUMIFS(RAB!$F$14:$F$76,RAB!$C$14:$C$76,C1243)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SUMIFS(RAB!$F$14:$F$76,RAB!$C$14:$C$76,C1244)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SUMIFS(RAB!$F$14:$F$76,RAB!$C$14:$C$76,C1245)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SUMIFS(RAB!$F$14:$F$76,RAB!$C$14:$C$76,C1246)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SUMIFS(RAB!$F$14:$F$76,RAB!$C$14:$C$76,C1247)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SUMIFS(RAB!$F$14:$F$76,RAB!$C$14:$C$76,C1248)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SUMIFS(RAB!$F$14:$F$76,RAB!$C$14:$C$76,C1249)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SUMIFS(RAB!$F$14:$F$76,RAB!$C$14:$C$76,C1250)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SUMIFS(RAB!$F$14:$F$76,RAB!$C$14:$C$76,C1251)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SUMIFS(RAB!$F$14:$F$76,RAB!$C$14:$C$76,C1252)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SUMIFS(RAB!$F$14:$F$76,RAB!$C$14:$C$76,C1253)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SUMIFS(RAB!$F$14:$F$76,RAB!$C$14:$C$76,C1254)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SUMIFS(RAB!$F$14:$F$76,RAB!$C$14:$C$76,C1255)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SUMIFS(RAB!$F$14:$F$76,RAB!$C$14:$C$76,C1256)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SUMIFS(RAB!$F$14:$F$76,RAB!$C$14:$C$76,C1257)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SUMIFS(RAB!$F$14:$F$76,RAB!$C$14:$C$76,C1258)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SUMIFS(RAB!$F$14:$F$76,RAB!$C$14:$C$76,C1259)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SUMIFS(RAB!$F$14:$F$76,RAB!$C$14:$C$76,C1260)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SUMIFS(RAB!$F$14:$F$76,RAB!$C$14:$C$76,C1261)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SUMIFS(RAB!$F$14:$F$76,RAB!$C$14:$C$76,C1262)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SUMIFS(RAB!$F$14:$F$76,RAB!$C$14:$C$76,C1263)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SUMIFS(RAB!$F$14:$F$76,RAB!$C$14:$C$76,C1264)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SUMIFS(RAB!$F$14:$F$76,RAB!$C$14:$C$76,C1265)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SUMIFS(RAB!$F$14:$F$76,RAB!$C$14:$C$76,C1266)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SUMIFS(RAB!$F$14:$F$76,RAB!$C$14:$C$76,C1267)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SUMIFS(RAB!$F$14:$F$76,RAB!$C$14:$C$76,C1268)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SUMIFS(RAB!$F$14:$F$76,RAB!$C$14:$C$76,C1269)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SUMIFS(RAB!$F$14:$F$76,RAB!$C$14:$C$76,C1270)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SUMIFS(RAB!$F$14:$F$76,RAB!$C$14:$C$76,C1271)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SUMIFS(RAB!$F$14:$F$76,RAB!$C$14:$C$76,C1272)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SUMIFS(RAB!$F$14:$F$76,RAB!$C$14:$C$76,C1273)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SUMIFS(RAB!$F$14:$F$76,RAB!$C$14:$C$76,C1274)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SUMIFS(RAB!$F$14:$F$76,RAB!$C$14:$C$76,C1275)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SUMIFS(RAB!$F$14:$F$76,RAB!$C$14:$C$76,C1276)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SUMIFS(RAB!$F$14:$F$76,RAB!$C$14:$C$76,C1277)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SUMIFS(RAB!$F$14:$F$76,RAB!$C$14:$C$76,C1278)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SUMIFS(RAB!$F$14:$F$76,RAB!$C$14:$C$76,C1279)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SUMIFS(RAB!$F$14:$F$76,RAB!$C$14:$C$76,C1280)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SUMIFS(RAB!$F$14:$F$76,RAB!$C$14:$C$76,C1281)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SUMIFS(RAB!$F$14:$F$76,RAB!$C$14:$C$76,C1282)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SUMIFS(RAB!$F$14:$F$76,RAB!$C$14:$C$76,C1283)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SUMIFS(RAB!$F$14:$F$76,RAB!$C$14:$C$76,C1284)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SUMIFS(RAB!$F$14:$F$76,RAB!$C$14:$C$76,C1285)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SUMIFS(RAB!$F$14:$F$76,RAB!$C$14:$C$76,C1286)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SUMIFS(RAB!$F$14:$F$76,RAB!$C$14:$C$76,C1287)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SUMIFS(RAB!$F$14:$F$76,RAB!$C$14:$C$76,C1288)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SUMIFS(RAB!$F$14:$F$76,RAB!$C$14:$C$76,C1289)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SUMIFS(RAB!$F$14:$F$76,RAB!$C$14:$C$76,C1290)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SUMIFS(RAB!$F$14:$F$76,RAB!$C$14:$C$76,C1291)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SUMIFS(RAB!$F$14:$F$76,RAB!$C$14:$C$76,C1292)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SUMIFS(RAB!$F$14:$F$76,RAB!$C$14:$C$76,C1293)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SUMIFS(RAB!$F$14:$F$76,RAB!$C$14:$C$76,C1294)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SUMIFS(RAB!$F$14:$F$76,RAB!$C$14:$C$76,C1295)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SUMIFS(RAB!$F$14:$F$76,RAB!$C$14:$C$76,C1296)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SUMIFS(RAB!$F$14:$F$76,RAB!$C$14:$C$76,C1297)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SUMIFS(RAB!$F$14:$F$76,RAB!$C$14:$C$76,C1298)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SUMIFS(RAB!$F$14:$F$76,RAB!$C$14:$C$76,C1299)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SUMIFS(RAB!$F$14:$F$76,RAB!$C$14:$C$76,C1300)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SUMIFS(RAB!$F$14:$F$76,RAB!$C$14:$C$76,C1301)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SUMIFS(RAB!$F$14:$F$76,RAB!$C$14:$C$76,C1302)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SUMIFS(RAB!$F$14:$F$76,RAB!$C$14:$C$76,C1303)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SUMIFS(RAB!$F$14:$F$76,RAB!$C$14:$C$76,C1304)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SUMIFS(RAB!$F$14:$F$76,RAB!$C$14:$C$76,C1305)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SUMIFS(RAB!$F$14:$F$76,RAB!$C$14:$C$76,C1306)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SUMIFS(RAB!$F$14:$F$76,RAB!$C$14:$C$76,C1307)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SUMIFS(RAB!$F$14:$F$76,RAB!$C$14:$C$76,C1308)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SUMIFS(RAB!$F$14:$F$76,RAB!$C$14:$C$76,C1309)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SUMIFS(RAB!$F$14:$F$76,RAB!$C$14:$C$76,C1310)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SUMIFS(RAB!$F$14:$F$76,RAB!$C$14:$C$76,C1311)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SUMIFS(RAB!$F$14:$F$76,RAB!$C$14:$C$76,C1312)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SUMIFS(RAB!$F$14:$F$76,RAB!$C$14:$C$76,C1313)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SUMIFS(RAB!$F$14:$F$76,RAB!$C$14:$C$76,C1314)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SUMIFS(RAB!$F$14:$F$76,RAB!$C$14:$C$76,C1315)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SUMIFS(RAB!$F$14:$F$76,RAB!$C$14:$C$76,C1316)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SUMIFS(RAB!$F$14:$F$76,RAB!$C$14:$C$76,C1317)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SUMIFS(RAB!$F$14:$F$76,RAB!$C$14:$C$76,C1318)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SUMIFS(RAB!$F$14:$F$76,RAB!$C$14:$C$76,C1319)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SUMIFS(RAB!$F$14:$F$76,RAB!$C$14:$C$76,C1320)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1097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3" t="str">
        <f>RAB!G6</f>
        <v>SMA N 1 MRANGGEN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MENUR NGEMPLAK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32</v>
      </c>
      <c r="E11" s="546" t="s">
        <v>33</v>
      </c>
      <c r="F11" s="546" t="s">
        <v>2</v>
      </c>
      <c r="G11" s="547" t="s">
        <v>31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36</v>
      </c>
      <c r="I12" s="538" t="s">
        <v>5</v>
      </c>
      <c r="J12" s="536" t="s">
        <v>37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4" t="s">
        <v>980</v>
      </c>
      <c r="D38" s="534"/>
      <c r="E38" s="534"/>
      <c r="F38" s="53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5" t="s">
        <v>452</v>
      </c>
      <c r="D39" s="535"/>
      <c r="E39" s="535"/>
      <c r="F39" s="53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4" t="s">
        <v>453</v>
      </c>
      <c r="D40" s="524"/>
      <c r="E40" s="524"/>
      <c r="F40" s="52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7" t="e">
        <f ca="1">"Terbilang : ( "&amp;L42&amp;" Rupiah )"</f>
        <v>#NAME?</v>
      </c>
      <c r="C41" s="528"/>
      <c r="D41" s="528"/>
      <c r="E41" s="528"/>
      <c r="F41" s="528"/>
      <c r="G41" s="528"/>
      <c r="H41" s="528"/>
      <c r="I41" s="528"/>
      <c r="J41" s="528"/>
      <c r="K41" s="529"/>
      <c r="L41" s="44"/>
      <c r="R41" s="58"/>
      <c r="S41" s="58"/>
      <c r="T41" s="58"/>
    </row>
    <row r="42" spans="1:20" s="36" customFormat="1">
      <c r="A42" s="30"/>
      <c r="B42" s="530"/>
      <c r="C42" s="531"/>
      <c r="D42" s="531"/>
      <c r="E42" s="531"/>
      <c r="F42" s="531"/>
      <c r="G42" s="531"/>
      <c r="H42" s="531"/>
      <c r="I42" s="531"/>
      <c r="J42" s="531"/>
      <c r="K42" s="532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5"/>
      <c r="I45" s="525"/>
      <c r="J45" s="526"/>
      <c r="K45" s="52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5"/>
      <c r="I46" s="525"/>
      <c r="J46" s="526"/>
      <c r="K46" s="52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5"/>
      <c r="I47" s="525"/>
      <c r="J47" s="526"/>
      <c r="K47" s="52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5"/>
      <c r="I52" s="525"/>
      <c r="J52" s="526"/>
      <c r="K52" s="52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SUMIFS(RAB!$F$14:$F$76,RAB!$C$14:$C$76,'REKAP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SUMIFS(RAB!$F$14:$F$76,RAB!$C$14:$C$76,'REKAP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SUMIFS(RAB!$F$14:$F$76,RAB!$C$14:$C$76,'REKAP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SUMIFS(RAB!$F$14:$F$76,RAB!$C$14:$C$76,'REKAP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SUMIFS(RAB!$F$14:$F$76,RAB!$C$14:$C$76,'REKAP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SUMIFS(RAB!$F$14:$F$76,RAB!$C$14:$C$76,'REKAP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SUMIFS(RAB!$F$14:$F$76,RAB!$C$14:$C$76,'REKAP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SUMIFS(RAB!$F$14:$F$76,RAB!$C$14:$C$76,'REKAP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SUMIFS(RAB!$F$14:$F$76,RAB!$C$14:$C$76,'REKAP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SUMIFS(RAB!$F$14:$F$76,RAB!$C$14:$C$76,'REKAP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SUMIFS(RAB!$F$14:$F$76,RAB!$C$14:$C$76,'REKAP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SUMIFS(RAB!$F$14:$F$76,RAB!$C$14:$C$76,'REKAP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SUMIFS(RAB!$F$14:$F$76,RAB!$C$14:$C$76,'REKAP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SUMIFS(RAB!$F$14:$F$76,RAB!$C$14:$C$76,'REKAP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SUMIFS(RAB!$F$14:$F$76,RAB!$C$14:$C$76,'REKAP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SUMIFS(RAB!$F$14:$F$76,RAB!$C$14:$C$76,'REKAP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SUMIFS(RAB!$F$14:$F$76,RAB!$C$14:$C$76,'REKAP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SUMIFS(RAB!$F$14:$F$76,RAB!$C$14:$C$76,'REKAP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SUMIFS(RAB!$F$14:$F$76,RAB!$C$14:$C$76,'REKAP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SUMIFS(RAB!$F$14:$F$76,RAB!$C$14:$C$76,'REKAP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1004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3" t="str">
        <f>RAB!G6</f>
        <v>SMA N 1 MRANGGEN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MENUR NGEMPLAK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32</v>
      </c>
      <c r="E11" s="546" t="s">
        <v>33</v>
      </c>
      <c r="F11" s="546" t="s">
        <v>2</v>
      </c>
      <c r="G11" s="547" t="s">
        <v>31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36</v>
      </c>
      <c r="I12" s="538" t="s">
        <v>5</v>
      </c>
      <c r="J12" s="536" t="s">
        <v>37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4" t="s">
        <v>980</v>
      </c>
      <c r="D168" s="534"/>
      <c r="E168" s="534"/>
      <c r="F168" s="534"/>
      <c r="G168" s="77" t="s">
        <v>9</v>
      </c>
      <c r="H168" s="55">
        <f ca="1">SUM(H14:H167)</f>
        <v>28471400</v>
      </c>
      <c r="I168" s="55">
        <f ca="1">SUM(I14:I167)</f>
        <v>0</v>
      </c>
      <c r="J168" s="55">
        <f ca="1">SUM(J14:J167)</f>
        <v>0</v>
      </c>
      <c r="K168" s="55">
        <f ca="1">SUM(K14:K167)</f>
        <v>28471400</v>
      </c>
      <c r="L168" s="44"/>
      <c r="R168" s="99"/>
      <c r="S168" s="99"/>
      <c r="T168" s="99"/>
    </row>
    <row r="169" spans="1:20" s="36" customFormat="1">
      <c r="A169" s="30"/>
      <c r="B169" s="56"/>
      <c r="C169" s="535" t="s">
        <v>452</v>
      </c>
      <c r="D169" s="535"/>
      <c r="E169" s="535"/>
      <c r="F169" s="535"/>
      <c r="G169" s="59" t="s">
        <v>9</v>
      </c>
      <c r="H169" s="60">
        <f ca="1">H168*0.1</f>
        <v>2847140</v>
      </c>
      <c r="I169" s="60">
        <f ca="1">I168*0.1</f>
        <v>0</v>
      </c>
      <c r="J169" s="60">
        <f ca="1">J168*0.1</f>
        <v>0</v>
      </c>
      <c r="K169" s="60">
        <f ca="1">K168*0.1</f>
        <v>2847140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4" t="s">
        <v>453</v>
      </c>
      <c r="D170" s="524"/>
      <c r="E170" s="524"/>
      <c r="F170" s="524"/>
      <c r="G170" s="61" t="s">
        <v>9</v>
      </c>
      <c r="H170" s="78">
        <f ca="1">SUM(H168:H169)</f>
        <v>31318540</v>
      </c>
      <c r="I170" s="78">
        <f ca="1">SUM(I168:I169)</f>
        <v>0</v>
      </c>
      <c r="J170" s="61">
        <f ca="1">SUM(J168:J169)</f>
        <v>0</v>
      </c>
      <c r="K170" s="61">
        <f ca="1">SUM(K168:K169)</f>
        <v>31318540</v>
      </c>
      <c r="L170" s="44"/>
      <c r="R170" s="99"/>
      <c r="S170" s="99"/>
      <c r="T170" s="99"/>
    </row>
    <row r="171" spans="1:20" s="36" customFormat="1">
      <c r="A171" s="30"/>
      <c r="B171" s="527" t="e">
        <f ca="1">"Terbilang : ( "&amp;L172&amp;" Rupiah )"</f>
        <v>#NAME?</v>
      </c>
      <c r="C171" s="528"/>
      <c r="D171" s="528"/>
      <c r="E171" s="528"/>
      <c r="F171" s="528"/>
      <c r="G171" s="528"/>
      <c r="H171" s="528"/>
      <c r="I171" s="528"/>
      <c r="J171" s="528"/>
      <c r="K171" s="529"/>
      <c r="L171" s="44"/>
      <c r="R171" s="58"/>
      <c r="S171" s="58"/>
      <c r="T171" s="58"/>
    </row>
    <row r="172" spans="1:20" s="36" customFormat="1">
      <c r="A172" s="30"/>
      <c r="B172" s="530"/>
      <c r="C172" s="531"/>
      <c r="D172" s="531"/>
      <c r="E172" s="531"/>
      <c r="F172" s="531"/>
      <c r="G172" s="531"/>
      <c r="H172" s="531"/>
      <c r="I172" s="531"/>
      <c r="J172" s="531"/>
      <c r="K172" s="532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5"/>
      <c r="I175" s="525"/>
      <c r="J175" s="526"/>
      <c r="K175" s="52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5"/>
      <c r="I176" s="525"/>
      <c r="J176" s="526"/>
      <c r="K176" s="52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5"/>
      <c r="I177" s="525"/>
      <c r="J177" s="526"/>
      <c r="K177" s="52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5"/>
      <c r="I182" s="525"/>
      <c r="J182" s="526"/>
      <c r="K182" s="52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SUMIFS(RAB!$F$14:$F$76,RAB!$C$14:$C$76,C224)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SUMIFS(RAB!$F$14:$F$76,RAB!$C$14:$C$76,C225)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SUMIFS(RAB!$F$14:$F$76,RAB!$C$14:$C$76,C226)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SUMIFS(RAB!$F$14:$F$76,RAB!$C$14:$C$76,C227)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SUMIFS(RAB!$F$14:$F$76,RAB!$C$14:$C$76,C228)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SUMIFS(RAB!$F$14:$F$76,RAB!$C$14:$C$76,C229)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SUMIFS(RAB!$F$14:$F$76,RAB!$C$14:$C$76,C230)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SUMIFS(RAB!$F$14:$F$76,RAB!$C$14:$C$76,C231)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SUMIFS(RAB!$F$14:$F$76,RAB!$C$14:$C$76,C232)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SUMIFS(RAB!$F$14:$F$76,RAB!$C$14:$C$76,C233)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SUMIFS(RAB!$F$14:$F$76,RAB!$C$14:$C$76,C234)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SUMIFS(RAB!$F$14:$F$76,RAB!$C$14:$C$76,C235)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SUMIFS(RAB!$F$14:$F$76,RAB!$C$14:$C$76,C236)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SUMIFS(RAB!$F$14:$F$76,RAB!$C$14:$C$76,C237)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SUMIFS(RAB!$F$14:$F$76,RAB!$C$14:$C$76,C238)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SUMIFS(RAB!$F$14:$F$76,RAB!$C$14:$C$76,C239)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SUMIFS(RAB!$F$14:$F$76,RAB!$C$14:$C$76,C240)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SUMIFS(RAB!$F$14:$F$76,RAB!$C$14:$C$76,C241)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SUMIFS(RAB!$F$14:$F$76,RAB!$C$14:$C$76,C242)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SUMIFS(RAB!$F$14:$F$76,RAB!$C$14:$C$76,C243)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SUMIFS(RAB!$F$14:$F$76,RAB!$C$14:$C$76,C244)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SUMIFS(RAB!$F$14:$F$76,RAB!$C$14:$C$76,C245)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SUMIFS(RAB!$F$14:$F$76,RAB!$C$14:$C$76,C246)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SUMIFS(RAB!$F$14:$F$76,RAB!$C$14:$C$76,C247)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SUMIFS(RAB!$F$14:$F$76,RAB!$C$14:$C$76,C248)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SUMIFS(RAB!$F$14:$F$76,RAB!$C$14:$C$76,C249)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SUMIFS(RAB!$F$14:$F$76,RAB!$C$14:$C$76,C250)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SUMIFS(RAB!$F$14:$F$76,RAB!$C$14:$C$76,C251)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SUMIFS(RAB!$F$14:$F$76,RAB!$C$14:$C$76,C252)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SUMIFS(RAB!$F$14:$F$76,RAB!$C$14:$C$76,C253)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SUMIFS(RAB!$F$14:$F$76,RAB!$C$14:$C$76,C254)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SUMIFS(RAB!$F$14:$F$76,RAB!$C$14:$C$76,C255)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SUMIFS(RAB!$F$14:$F$76,RAB!$C$14:$C$76,C256)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SUMIFS(RAB!$F$14:$F$76,RAB!$C$14:$C$76,C257)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SUMIFS(RAB!$F$14:$F$76,RAB!$C$14:$C$76,C258)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SUMIFS(RAB!$F$14:$F$76,RAB!$C$14:$C$76,C259)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SUMIFS(RAB!$F$14:$F$76,RAB!$C$14:$C$76,C260)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SUMIFS(RAB!$F$14:$F$76,RAB!$C$14:$C$76,C261)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SUMIFS(RAB!$F$14:$F$76,RAB!$C$14:$C$76,C262)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SUMIFS(RAB!$F$14:$F$76,RAB!$C$14:$C$76,C263)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SUMIFS(RAB!$F$14:$F$76,RAB!$C$14:$C$76,C264)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SUMIFS(RAB!$F$14:$F$76,RAB!$C$14:$C$76,C265)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SUMIFS(RAB!$F$14:$F$76,RAB!$C$14:$C$76,C266)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SUMIFS(RAB!$F$14:$F$76,RAB!$C$14:$C$76,C267)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SUMIFS(RAB!$F$14:$F$76,RAB!$C$14:$C$76,C268)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SUMIFS(RAB!$F$14:$F$76,RAB!$C$14:$C$76,C269)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SUMIFS(RAB!$F$14:$F$76,RAB!$C$14:$C$76,C270)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SUMIFS(RAB!$F$14:$F$76,RAB!$C$14:$C$76,C271)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SUMIFS(RAB!$F$14:$F$76,RAB!$C$14:$C$76,C272)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SUMIFS(RAB!$F$14:$F$76,RAB!$C$14:$C$76,C273)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SUMIFS(RAB!$F$14:$F$76,RAB!$C$14:$C$76,C274)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SUMIFS(RAB!$F$14:$F$76,RAB!$C$14:$C$76,C275)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SUMIFS(RAB!$F$14:$F$76,RAB!$C$14:$C$76,C276)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SUMIFS(RAB!$F$14:$F$76,RAB!$C$14:$C$76,C277)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SUMIFS(RAB!$F$14:$F$76,RAB!$C$14:$C$76,C278)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SUMIFS(RAB!$F$14:$F$76,RAB!$C$14:$C$76,C279)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SUMIFS(RAB!$F$14:$F$76,RAB!$C$14:$C$76,C280)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SUMIFS(RAB!$F$14:$F$76,RAB!$C$14:$C$76,C281)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SUMIFS(RAB!$F$14:$F$76,RAB!$C$14:$C$76,C282)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SUMIFS(RAB!$F$14:$F$76,RAB!$C$14:$C$76,C283)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SUMIFS(RAB!$F$14:$F$76,RAB!$C$14:$C$76,C284)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SUMIFS(RAB!$F$14:$F$76,RAB!$C$14:$C$76,C285)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SUMIFS(RAB!$F$14:$F$76,RAB!$C$14:$C$76,C286)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SUMIFS(RAB!$F$14:$F$76,RAB!$C$14:$C$76,C287)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SUMIFS(RAB!$F$14:$F$76,RAB!$C$14:$C$76,C288)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SUMIFS(RAB!$F$14:$F$76,RAB!$C$14:$C$76,C289)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SUMIFS(RAB!$F$14:$F$76,RAB!$C$14:$C$76,C290)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SUMIFS(RAB!$F$14:$F$76,RAB!$C$14:$C$76,C291)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SUMIFS(RAB!$F$14:$F$76,RAB!$C$14:$C$76,C292)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SUMIFS(RAB!$F$14:$F$76,RAB!$C$14:$C$76,C293)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SUMIFS(RAB!$F$14:$F$76,RAB!$C$14:$C$76,C294)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SUMIFS(RAB!$F$14:$F$76,RAB!$C$14:$C$76,C295)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SUMIFS(RAB!$F$14:$F$76,RAB!$C$14:$C$76,C296)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SUMIFS(RAB!$F$14:$F$76,RAB!$C$14:$C$76,C297)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SUMIFS(RAB!$F$14:$F$76,RAB!$C$14:$C$76,C298)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SUMIFS(RAB!$F$14:$F$76,RAB!$C$14:$C$76,C299)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SUMIFS(RAB!$F$14:$F$76,RAB!$C$14:$C$76,C300)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SUMIFS(RAB!$F$14:$F$76,RAB!$C$14:$C$76,C301)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SUMIFS(RAB!$F$14:$F$76,RAB!$C$14:$C$76,C302)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SUMIFS(RAB!$F$14:$F$76,RAB!$C$14:$C$76,C303)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SUMIFS(RAB!$F$14:$F$76,RAB!$C$14:$C$76,C304)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SUMIFS(RAB!$F$14:$F$76,RAB!$C$14:$C$76,C305)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SUMIFS(RAB!$F$14:$F$76,RAB!$C$14:$C$76,C306)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SUMIFS(RAB!$F$14:$F$76,RAB!$C$14:$C$76,C307)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SUMIFS(RAB!$F$14:$F$76,RAB!$C$14:$C$76,C308)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SUMIFS(RAB!$F$14:$F$76,RAB!$C$14:$C$76,C309)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SUMIFS(RAB!$F$14:$F$76,RAB!$C$14:$C$76,C310)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SUMIFS(RAB!$F$14:$F$76,RAB!$C$14:$C$76,C311)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SUMIFS(RAB!$F$14:$F$76,RAB!$C$14:$C$76,C312)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SUMIFS(RAB!$F$14:$F$76,RAB!$C$14:$C$76,C313)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SUMIFS(RAB!$F$14:$F$76,RAB!$C$14:$C$76,C314)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SUMIFS(RAB!$F$14:$F$76,RAB!$C$14:$C$76,C315)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SUMIFS(RAB!$F$14:$F$76,RAB!$C$14:$C$76,C316)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SUMIFS(RAB!$F$14:$F$76,RAB!$C$14:$C$76,C317)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SUMIFS(RAB!$F$14:$F$76,RAB!$C$14:$C$76,C318)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SUMIFS(RAB!$F$14:$F$76,RAB!$C$14:$C$76,C319)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SUMIFS(RAB!$F$14:$F$76,RAB!$C$14:$C$76,C320)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SUMIFS(RAB!$F$14:$F$76,RAB!$C$14:$C$76,C321)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SUMIFS(RAB!$F$14:$F$76,RAB!$C$14:$C$76,C322)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SUMIFS(RAB!$F$14:$F$76,RAB!$C$14:$C$76,C323)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SUMIFS(RAB!$F$14:$F$76,RAB!$C$14:$C$76,C324)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SUMIFS(RAB!$F$14:$F$76,RAB!$C$14:$C$76,C325)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SUMIFS(RAB!$F$14:$F$76,RAB!$C$14:$C$76,C326)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SUMIFS(RAB!$F$14:$F$76,RAB!$C$14:$C$76,C327)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SUMIFS(RAB!$F$14:$F$76,RAB!$C$14:$C$76,C328)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SUMIFS(RAB!$F$14:$F$76,RAB!$C$14:$C$76,C329)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SUMIFS(RAB!$F$14:$F$76,RAB!$C$14:$C$76,C330)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SUMIFS(RAB!$F$14:$F$76,RAB!$C$14:$C$76,C331)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SUMIFS(RAB!$F$14:$F$76,RAB!$C$14:$C$76,C332)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SUMIFS(RAB!$F$14:$F$76,RAB!$C$14:$C$76,C333)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SUMIFS(RAB!$F$14:$F$76,RAB!$C$14:$C$76,C334)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SUMIFS(RAB!$F$14:$F$76,RAB!$C$14:$C$76,C335)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SUMIFS(RAB!$F$14:$F$76,RAB!$C$14:$C$76,C336)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SUMIFS(RAB!$F$14:$F$76,RAB!$C$14:$C$76,C337)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SUMIFS(RAB!$F$14:$F$76,RAB!$C$14:$C$76,C338)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SUMIFS(RAB!$F$14:$F$76,RAB!$C$14:$C$76,C339)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SUMIFS(RAB!$F$14:$F$76,RAB!$C$14:$C$76,C340)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SUMIFS(RAB!$F$14:$F$76,RAB!$C$14:$C$76,C341)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SUMIFS(RAB!$F$14:$F$76,RAB!$C$14:$C$76,C342)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SUMIFS(RAB!$F$14:$F$76,RAB!$C$14:$C$76,C343)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SUMIFS(RAB!$F$14:$F$76,RAB!$C$14:$C$76,C344)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SUMIFS(RAB!$F$14:$F$76,RAB!$C$14:$C$76,C345)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SUMIFS(RAB!$F$14:$F$76,RAB!$C$14:$C$76,C346)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SUMIFS(RAB!$F$14:$F$76,RAB!$C$14:$C$76,C347)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SUMIFS(RAB!$F$14:$F$76,RAB!$C$14:$C$76,C348)</f>
        <v>35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SUMIFS(RAB!$F$14:$F$76,RAB!$C$14:$C$76,C349)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SUMIFS(RAB!$F$14:$F$76,RAB!$C$14:$C$76,C350)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SUMIFS(RAB!$F$14:$F$76,RAB!$C$14:$C$76,C351)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SUMIFS(RAB!$F$14:$F$76,RAB!$C$14:$C$76,C352)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SUMIFS(RAB!$F$14:$F$76,RAB!$C$14:$C$76,C353)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SUMIFS(RAB!$F$14:$F$76,RAB!$C$14:$C$76,C354)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SUMIFS(RAB!$F$14:$F$76,RAB!$C$14:$C$76,C355)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SUMIFS(RAB!$F$14:$F$76,RAB!$C$14:$C$76,C356)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SUMIFS(RAB!$F$14:$F$76,RAB!$C$14:$C$76,C357)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SUMIFS(RAB!$F$14:$F$76,RAB!$C$14:$C$76,C358)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SUMIFS(RAB!$F$14:$F$76,RAB!$C$14:$C$76,C359)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SUMIFS(RAB!$F$14:$F$76,RAB!$C$14:$C$76,C360)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SUMIFS(RAB!$F$14:$F$76,RAB!$C$14:$C$76,C361)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SUMIFS(RAB!$F$14:$F$76,RAB!$C$14:$C$76,C362)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SUMIFS(RAB!$F$14:$F$76,RAB!$C$14:$C$76,C363)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SUMIFS(RAB!$F$14:$F$76,RAB!$C$14:$C$76,C364)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SUMIFS(RAB!$F$14:$F$76,RAB!$C$14:$C$76,C365)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SUMIFS(RAB!$F$14:$F$76,RAB!$C$14:$C$76,C366)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SUMIFS(RAB!$F$14:$F$76,RAB!$C$14:$C$76,C367)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SUMIFS(RAB!$F$14:$F$76,RAB!$C$14:$C$76,C368)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SUMIFS(RAB!$F$14:$F$76,RAB!$C$14:$C$76,C369)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SUMIFS(RAB!$F$14:$F$76,RAB!$C$14:$C$76,C370)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SUMIFS(RAB!$F$14:$F$76,RAB!$C$14:$C$76,C371)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SUMIFS(RAB!$F$14:$F$76,RAB!$C$14:$C$76,C372)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SUMIFS(RAB!$F$14:$F$76,RAB!$C$14:$C$76,C373)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42" activePane="bottomRight" state="frozen"/>
      <selection activeCell="D209" sqref="D209"/>
      <selection pane="topRight" activeCell="D209" sqref="D209"/>
      <selection pane="bottomLeft" activeCell="D209" sqref="D209"/>
      <selection pane="bottomRight" activeCell="C864" sqref="C86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2" t="s">
        <v>31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13</v>
      </c>
      <c r="C4" s="554" t="s">
        <v>982</v>
      </c>
      <c r="D4" s="554" t="s">
        <v>32</v>
      </c>
      <c r="E4" s="553" t="s">
        <v>33</v>
      </c>
      <c r="F4" s="108" t="s">
        <v>1574</v>
      </c>
      <c r="G4" s="108" t="s">
        <v>1573</v>
      </c>
      <c r="H4" s="551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1528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1529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1530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1531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1532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1533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1534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1535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1536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1537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1538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1539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1540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1541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1542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1543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1544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1545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1546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1547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1548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1549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1550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1551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1552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1553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1554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1555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1556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1557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1558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1559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1560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1561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1562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1563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1564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1565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1566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1567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1568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9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9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1569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1570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1571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1572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0">
        <v>2740</v>
      </c>
      <c r="G1433" s="3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1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1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1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1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1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P27"/>
  <sheetViews>
    <sheetView topLeftCell="A19" zoomScale="55" zoomScaleNormal="55" zoomScaleSheetLayoutView="85" workbookViewId="0">
      <selection activeCell="D9" sqref="D9:E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59" t="s">
        <v>1425</v>
      </c>
      <c r="C2" s="559"/>
      <c r="D2" s="559"/>
      <c r="E2" s="559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64" t="s">
        <v>1499</v>
      </c>
      <c r="C4" s="565"/>
      <c r="D4" s="565"/>
      <c r="E4" s="566"/>
      <c r="F4" s="348"/>
      <c r="G4" s="348"/>
      <c r="H4" s="349"/>
      <c r="I4" s="591" t="s">
        <v>1500</v>
      </c>
      <c r="J4" s="592"/>
      <c r="K4" s="592"/>
      <c r="L4" s="593"/>
    </row>
    <row r="5" spans="1:16" ht="34.5" customHeight="1">
      <c r="A5" s="193"/>
      <c r="B5" s="351" t="s">
        <v>1349</v>
      </c>
      <c r="C5" s="200" t="s">
        <v>9</v>
      </c>
      <c r="D5" s="560" t="str">
        <f>DATA!D14</f>
        <v>SMA N 1 MRANGGEN</v>
      </c>
      <c r="E5" s="561"/>
      <c r="F5" s="197"/>
      <c r="G5" s="197"/>
      <c r="I5" s="352" t="s">
        <v>1349</v>
      </c>
      <c r="J5" s="200" t="s">
        <v>9</v>
      </c>
      <c r="K5" s="594" t="str">
        <f>D5</f>
        <v>SMA N 1 MRANGGEN</v>
      </c>
      <c r="L5" s="595"/>
    </row>
    <row r="6" spans="1:16" ht="31.5" customHeight="1">
      <c r="A6" s="193"/>
      <c r="B6" s="351" t="s">
        <v>1496</v>
      </c>
      <c r="C6" s="200" t="s">
        <v>9</v>
      </c>
      <c r="D6" s="569">
        <f>DATA!D17*1000</f>
        <v>0</v>
      </c>
      <c r="E6" s="570"/>
      <c r="F6" s="197"/>
      <c r="G6" s="197"/>
      <c r="I6" s="352" t="s">
        <v>1497</v>
      </c>
      <c r="J6" s="200" t="s">
        <v>9</v>
      </c>
      <c r="K6" s="596">
        <f>DATA!D20*1000</f>
        <v>11000</v>
      </c>
      <c r="L6" s="597"/>
    </row>
    <row r="7" spans="1:16" ht="30.75" customHeight="1">
      <c r="A7" s="193"/>
      <c r="B7" s="351" t="s">
        <v>1411</v>
      </c>
      <c r="C7" s="200" t="s">
        <v>9</v>
      </c>
      <c r="D7" s="567">
        <f>DATA!D18</f>
        <v>1</v>
      </c>
      <c r="E7" s="568"/>
      <c r="F7" s="350" t="s">
        <v>1424</v>
      </c>
      <c r="I7" s="352" t="s">
        <v>1411</v>
      </c>
      <c r="J7" s="200" t="s">
        <v>9</v>
      </c>
      <c r="K7" s="598">
        <f>DATA!D21</f>
        <v>1</v>
      </c>
      <c r="L7" s="599"/>
    </row>
    <row r="8" spans="1:16" ht="51" customHeight="1">
      <c r="A8" s="193"/>
      <c r="B8" s="351" t="s">
        <v>1412</v>
      </c>
      <c r="C8" s="200" t="s">
        <v>9</v>
      </c>
      <c r="D8" s="567">
        <f>DATA!D19</f>
        <v>220</v>
      </c>
      <c r="E8" s="568"/>
      <c r="F8" s="350" t="s">
        <v>1424</v>
      </c>
      <c r="G8" s="345">
        <v>220</v>
      </c>
      <c r="I8" s="352" t="s">
        <v>1412</v>
      </c>
      <c r="J8" s="200" t="s">
        <v>9</v>
      </c>
      <c r="K8" s="598">
        <f>DATA!D22</f>
        <v>220</v>
      </c>
      <c r="L8" s="599"/>
      <c r="P8" s="511" t="s">
        <v>1653</v>
      </c>
    </row>
    <row r="9" spans="1:16" ht="30" customHeight="1" thickBot="1">
      <c r="A9" s="193"/>
      <c r="B9" s="357" t="s">
        <v>1508</v>
      </c>
      <c r="C9" s="347" t="s">
        <v>9</v>
      </c>
      <c r="D9" s="562">
        <f>IF(D7=1,D6/(380/3^0.5),(D6/(380*3^0.5)))</f>
        <v>0</v>
      </c>
      <c r="E9" s="563"/>
      <c r="F9" s="196"/>
      <c r="G9" s="346">
        <v>380</v>
      </c>
      <c r="I9" s="358" t="s">
        <v>1508</v>
      </c>
      <c r="J9" s="347" t="s">
        <v>9</v>
      </c>
      <c r="K9" s="602">
        <f>IF(K7=1,K6/(380/3^0.5),(K6/(380*3^0.5)))</f>
        <v>50.138312850678027</v>
      </c>
      <c r="L9" s="603"/>
    </row>
    <row r="10" spans="1:16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6" ht="16.5" thickBot="1">
      <c r="B11" s="353" t="s">
        <v>1509</v>
      </c>
      <c r="I11" s="353" t="s">
        <v>1503</v>
      </c>
    </row>
    <row r="12" spans="1:16" ht="34.5" customHeight="1">
      <c r="A12" s="193"/>
      <c r="B12" s="381" t="s">
        <v>1501</v>
      </c>
      <c r="C12" s="375" t="s">
        <v>9</v>
      </c>
      <c r="D12" s="571" t="s">
        <v>1653</v>
      </c>
      <c r="E12" s="572"/>
      <c r="F12" s="197"/>
      <c r="G12" s="197"/>
      <c r="I12" s="374" t="s">
        <v>1501</v>
      </c>
      <c r="J12" s="375" t="s">
        <v>9</v>
      </c>
      <c r="K12" s="604" t="s">
        <v>1653</v>
      </c>
      <c r="L12" s="605"/>
    </row>
    <row r="13" spans="1:16" ht="31.5" customHeight="1">
      <c r="A13" s="193"/>
      <c r="B13" s="382" t="s">
        <v>1350</v>
      </c>
      <c r="C13" s="362" t="s">
        <v>9</v>
      </c>
      <c r="D13" s="575" t="s">
        <v>1630</v>
      </c>
      <c r="E13" s="576"/>
      <c r="F13" s="197"/>
      <c r="G13" s="197"/>
      <c r="I13" s="376" t="s">
        <v>1350</v>
      </c>
      <c r="J13" s="362" t="s">
        <v>9</v>
      </c>
      <c r="K13" s="600" t="s">
        <v>1630</v>
      </c>
      <c r="L13" s="601"/>
    </row>
    <row r="14" spans="1:16" ht="30.75" customHeight="1">
      <c r="A14" s="193"/>
      <c r="B14" s="382" t="s">
        <v>1502</v>
      </c>
      <c r="C14" s="362" t="s">
        <v>9</v>
      </c>
      <c r="D14" s="583">
        <v>50</v>
      </c>
      <c r="E14" s="584"/>
      <c r="F14" s="350" t="s">
        <v>1424</v>
      </c>
      <c r="G14" s="354">
        <v>50</v>
      </c>
      <c r="I14" s="376" t="s">
        <v>1502</v>
      </c>
      <c r="J14" s="362" t="s">
        <v>9</v>
      </c>
      <c r="K14" s="585">
        <v>160</v>
      </c>
      <c r="L14" s="586"/>
    </row>
    <row r="15" spans="1:16" ht="57" customHeight="1">
      <c r="A15" s="193"/>
      <c r="B15" s="382" t="s">
        <v>1411</v>
      </c>
      <c r="C15" s="362" t="s">
        <v>9</v>
      </c>
      <c r="D15" s="368">
        <v>3</v>
      </c>
      <c r="E15" s="377"/>
      <c r="F15" s="350" t="s">
        <v>1424</v>
      </c>
      <c r="G15" s="354">
        <v>100</v>
      </c>
      <c r="I15" s="376" t="s">
        <v>1411</v>
      </c>
      <c r="J15" s="362" t="s">
        <v>9</v>
      </c>
      <c r="K15" s="368">
        <v>3</v>
      </c>
      <c r="L15" s="377"/>
    </row>
    <row r="16" spans="1:16" ht="44.25" customHeight="1">
      <c r="A16" s="193"/>
      <c r="B16" s="382" t="s">
        <v>1512</v>
      </c>
      <c r="C16" s="362"/>
      <c r="D16" s="587">
        <v>54</v>
      </c>
      <c r="E16" s="588"/>
      <c r="F16" s="350"/>
      <c r="G16" s="354">
        <v>160</v>
      </c>
      <c r="I16" s="376" t="s">
        <v>1504</v>
      </c>
      <c r="J16" s="362" t="s">
        <v>9</v>
      </c>
      <c r="K16" s="589">
        <f>K9</f>
        <v>50.138312850678027</v>
      </c>
      <c r="L16" s="590"/>
    </row>
    <row r="17" spans="1:12" ht="34.5" customHeight="1">
      <c r="A17" s="193"/>
      <c r="B17" s="382" t="s">
        <v>1505</v>
      </c>
      <c r="C17" s="362" t="s">
        <v>9</v>
      </c>
      <c r="D17" s="577">
        <f>IF(D15=1,D14/(20/3^0.5),(D14/(20*3^0.5)))</f>
        <v>1.4433756729740645</v>
      </c>
      <c r="E17" s="578"/>
      <c r="F17" s="350" t="s">
        <v>1424</v>
      </c>
      <c r="G17" s="355">
        <v>200</v>
      </c>
      <c r="I17" s="376" t="s">
        <v>1505</v>
      </c>
      <c r="J17" s="362" t="s">
        <v>9</v>
      </c>
      <c r="K17" s="581">
        <f>IF(K15=1,K14/(20/3^0.5),(K14/(20*3^0.5)))</f>
        <v>4.6188021535170067</v>
      </c>
      <c r="L17" s="582"/>
    </row>
    <row r="18" spans="1:12" ht="34.5" customHeight="1">
      <c r="A18" s="193"/>
      <c r="B18" s="382" t="s">
        <v>1506</v>
      </c>
      <c r="C18" s="362" t="s">
        <v>9</v>
      </c>
      <c r="D18" s="577">
        <f>IF(D15=1,D14/(380/3^0.5),(D14/(380*3^0.5)))*1000</f>
        <v>75.96714068284551</v>
      </c>
      <c r="E18" s="578"/>
      <c r="F18" s="350" t="s">
        <v>1424</v>
      </c>
      <c r="G18" s="355">
        <v>250</v>
      </c>
      <c r="I18" s="376" t="s">
        <v>1506</v>
      </c>
      <c r="J18" s="362" t="s">
        <v>9</v>
      </c>
      <c r="K18" s="581">
        <f>IF(K15=1,K14/(380/3^0.5),(K14/(380*3^0.5)))*1000</f>
        <v>243.0948501851056</v>
      </c>
      <c r="L18" s="582"/>
    </row>
    <row r="19" spans="1:12" ht="30" customHeight="1">
      <c r="A19" s="193"/>
      <c r="B19" s="383" t="s">
        <v>1498</v>
      </c>
      <c r="C19" s="361" t="s">
        <v>9</v>
      </c>
      <c r="D19" s="577" t="e">
        <f>IF(D15=1,D13/(380/3^0.5),(D13/(380*3^0.5)))</f>
        <v>#VALUE!</v>
      </c>
      <c r="E19" s="578"/>
      <c r="F19" s="196"/>
      <c r="G19" s="346"/>
      <c r="I19" s="378" t="s">
        <v>1498</v>
      </c>
      <c r="J19" s="361" t="s">
        <v>9</v>
      </c>
      <c r="K19" s="581" t="e">
        <f>IF(K15=1,K13/(380/3^0.5),(K13/(380*3^0.5)))</f>
        <v>#VALUE!</v>
      </c>
      <c r="L19" s="582"/>
    </row>
    <row r="20" spans="1:12" ht="30" customHeight="1" thickBot="1">
      <c r="A20" s="193"/>
      <c r="B20" s="384" t="s">
        <v>1507</v>
      </c>
      <c r="C20" s="380" t="s">
        <v>9</v>
      </c>
      <c r="D20" s="573">
        <f>D16/D18</f>
        <v>0.71083365142626709</v>
      </c>
      <c r="E20" s="574"/>
      <c r="F20" s="196"/>
      <c r="G20" s="346"/>
      <c r="I20" s="379" t="s">
        <v>1498</v>
      </c>
      <c r="J20" s="380" t="s">
        <v>9</v>
      </c>
      <c r="K20" s="579">
        <f>K16/K18</f>
        <v>0.20624999999999999</v>
      </c>
      <c r="L20" s="580"/>
    </row>
    <row r="21" spans="1:12" ht="9.75" customHeight="1">
      <c r="A21" s="193"/>
      <c r="B21" s="369" t="s">
        <v>1507</v>
      </c>
      <c r="C21" s="370" t="s">
        <v>9</v>
      </c>
      <c r="D21" s="558">
        <v>1</v>
      </c>
      <c r="E21" s="558"/>
      <c r="F21" s="371"/>
      <c r="G21" s="372"/>
      <c r="H21" s="373"/>
      <c r="I21" s="369" t="s">
        <v>1498</v>
      </c>
      <c r="J21" s="370" t="s">
        <v>9</v>
      </c>
      <c r="K21" s="558">
        <v>1</v>
      </c>
      <c r="L21" s="558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55"/>
      <c r="C24" s="556"/>
      <c r="D24" s="556"/>
      <c r="E24" s="557"/>
      <c r="I24" s="555"/>
      <c r="J24" s="556"/>
      <c r="K24" s="556"/>
      <c r="L24" s="557"/>
    </row>
    <row r="26" spans="1:12">
      <c r="D26" s="364"/>
    </row>
    <row r="27" spans="1:12">
      <c r="D27" s="36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4" zoomScaleNormal="100" workbookViewId="0">
      <selection activeCell="L17" sqref="L17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6"/>
      <c r="C1" s="606"/>
      <c r="D1" s="606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2">
        <v>1084.1250458865841</v>
      </c>
      <c r="F5" s="388" t="s">
        <v>1575</v>
      </c>
      <c r="K5" s="387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11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10307000</v>
      </c>
    </row>
    <row r="10" spans="2:11" ht="20.100000000000001" customHeight="1">
      <c r="B10" s="214" t="s">
        <v>1417</v>
      </c>
      <c r="C10" s="215" t="s">
        <v>9</v>
      </c>
      <c r="D10" s="221">
        <f ca="1">RAB!K82</f>
        <v>36109629.613499999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722192.59227000002</v>
      </c>
    </row>
    <row r="12" spans="2:11" ht="9" customHeight="1">
      <c r="B12" s="607"/>
      <c r="C12" s="607"/>
      <c r="D12" s="607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tr">
        <f>RAB!G6</f>
        <v>SMA N 1 MRANGGEN</v>
      </c>
      <c r="E14" s="223" t="s">
        <v>1424</v>
      </c>
    </row>
    <row r="15" spans="2:11" ht="20.100000000000001" customHeight="1">
      <c r="B15" s="337" t="s">
        <v>1418</v>
      </c>
      <c r="C15" s="338" t="s">
        <v>9</v>
      </c>
      <c r="D15" s="342" t="s">
        <v>1581</v>
      </c>
      <c r="E15" s="223" t="s">
        <v>1424</v>
      </c>
    </row>
    <row r="16" spans="2:11" ht="20.100000000000001" customHeight="1">
      <c r="B16" s="337" t="s">
        <v>1419</v>
      </c>
      <c r="C16" s="338" t="s">
        <v>9</v>
      </c>
      <c r="D16" s="342" t="s">
        <v>1422</v>
      </c>
      <c r="E16" s="223" t="s">
        <v>1424</v>
      </c>
    </row>
    <row r="17" spans="2:5" ht="20.100000000000001" customHeight="1">
      <c r="B17" s="337" t="s">
        <v>1420</v>
      </c>
      <c r="C17" s="338" t="s">
        <v>9</v>
      </c>
      <c r="D17" s="343">
        <v>0</v>
      </c>
      <c r="E17" s="223" t="s">
        <v>1424</v>
      </c>
    </row>
    <row r="18" spans="2:5" ht="20.100000000000001" hidden="1" customHeight="1">
      <c r="B18" s="337" t="s">
        <v>1510</v>
      </c>
      <c r="C18" s="338"/>
      <c r="D18" s="343">
        <f>IF((D17&lt;=11),1,3)</f>
        <v>1</v>
      </c>
      <c r="E18" s="223"/>
    </row>
    <row r="19" spans="2:5" ht="20.100000000000001" hidden="1" customHeight="1">
      <c r="B19" s="337" t="s">
        <v>1511</v>
      </c>
      <c r="C19" s="338"/>
      <c r="D19" s="343">
        <f>IF((D17&lt;=11),220,380)</f>
        <v>220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11</v>
      </c>
      <c r="E20" s="223" t="s">
        <v>1424</v>
      </c>
    </row>
    <row r="21" spans="2:5" ht="20.100000000000001" hidden="1" customHeight="1">
      <c r="B21" s="337" t="s">
        <v>1510</v>
      </c>
      <c r="C21" s="338"/>
      <c r="D21" s="343">
        <f>IF((D20&lt;=11),1,3)</f>
        <v>1</v>
      </c>
      <c r="E21" s="223"/>
    </row>
    <row r="22" spans="2:5" ht="20.100000000000001" hidden="1" customHeight="1">
      <c r="B22" s="337" t="s">
        <v>1511</v>
      </c>
      <c r="C22" s="338"/>
      <c r="D22" s="343">
        <f>IF((D20&lt;=11),220,380)</f>
        <v>220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1424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1424</v>
      </c>
    </row>
    <row r="25" spans="2:5" ht="20.100000000000001" customHeight="1">
      <c r="B25" s="337" t="s">
        <v>1423</v>
      </c>
      <c r="C25" s="338" t="s">
        <v>9</v>
      </c>
      <c r="D25" s="343">
        <v>937</v>
      </c>
      <c r="E25" s="223" t="s">
        <v>1424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D1" zoomScale="85" zoomScaleNormal="85" workbookViewId="0">
      <pane ySplit="6" topLeftCell="A31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08" t="s">
        <v>1327</v>
      </c>
      <c r="C3" s="608"/>
      <c r="D3" s="608"/>
      <c r="E3" s="608"/>
      <c r="F3" s="228" t="str">
        <f>DATA!D14</f>
        <v>SMA N 1 MRANGGEN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9" t="s">
        <v>1319</v>
      </c>
      <c r="C5" s="609" t="s">
        <v>1328</v>
      </c>
      <c r="D5" s="610" t="s">
        <v>1329</v>
      </c>
      <c r="E5" s="610" t="s">
        <v>1330</v>
      </c>
      <c r="F5" s="609" t="s">
        <v>1331</v>
      </c>
      <c r="G5" s="609"/>
      <c r="H5" s="609"/>
      <c r="I5" s="609"/>
      <c r="J5" s="609"/>
      <c r="K5" s="609" t="s">
        <v>1332</v>
      </c>
      <c r="L5" s="609"/>
      <c r="M5" s="230"/>
      <c r="N5" s="613" t="s">
        <v>1333</v>
      </c>
      <c r="O5" s="610" t="s">
        <v>1334</v>
      </c>
      <c r="P5" s="610" t="s">
        <v>1335</v>
      </c>
      <c r="Q5" s="610" t="s">
        <v>1336</v>
      </c>
      <c r="R5" s="231"/>
      <c r="S5" s="232"/>
      <c r="T5" s="611" t="s">
        <v>1337</v>
      </c>
      <c r="U5" s="233"/>
    </row>
    <row r="6" spans="1:21" ht="20.100000000000001" customHeight="1">
      <c r="B6" s="609"/>
      <c r="C6" s="609"/>
      <c r="D6" s="609"/>
      <c r="E6" s="609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4"/>
      <c r="O6" s="609"/>
      <c r="P6" s="609"/>
      <c r="Q6" s="609"/>
      <c r="R6" s="231"/>
      <c r="S6" s="232"/>
      <c r="T6" s="609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3520</v>
      </c>
      <c r="D7" s="239">
        <f>C7*4/24</f>
        <v>586.66666666666663</v>
      </c>
      <c r="E7" s="239">
        <f>C7-D7</f>
        <v>2933.3333333333335</v>
      </c>
      <c r="F7" s="240">
        <f ca="1">DATA!D10/1000000</f>
        <v>36.109629613499997</v>
      </c>
      <c r="G7" s="241">
        <f ca="1">DATA!$D$11/1000000</f>
        <v>0.72219259226999999</v>
      </c>
      <c r="H7" s="241">
        <f>C7*DATA!$D$5/1000000</f>
        <v>3.816120161520776</v>
      </c>
      <c r="I7" s="241">
        <f>(C7*DATA!$D$5*DATA!$D$7)/1000000</f>
        <v>8.5862703634217455E-2</v>
      </c>
      <c r="J7" s="239">
        <f ca="1">SUM(F7:I7)</f>
        <v>40.733805070924994</v>
      </c>
      <c r="K7" s="242">
        <f>DATA!D9/1000000</f>
        <v>10.307</v>
      </c>
      <c r="L7" s="239">
        <f>((D7*DATA!$D$23)/1000000)+((E7*DATA!$D$24)/1000000)</f>
        <v>5.0853440000000001</v>
      </c>
      <c r="M7" s="239">
        <f>K7+L7</f>
        <v>15.392344000000001</v>
      </c>
      <c r="N7" s="239">
        <f ca="1">M7-J7</f>
        <v>-25.341461070924993</v>
      </c>
      <c r="O7" s="237">
        <v>1</v>
      </c>
      <c r="P7" s="239">
        <f ca="1">O7*N7</f>
        <v>-25.341461070924993</v>
      </c>
      <c r="Q7" s="239">
        <f ca="1">P7</f>
        <v>-25.341461070924993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5280</v>
      </c>
      <c r="D8" s="239">
        <f>C8*4/24</f>
        <v>880</v>
      </c>
      <c r="E8" s="239">
        <f t="shared" ref="E8:E32" si="0">C8-D8</f>
        <v>4400</v>
      </c>
      <c r="F8" s="237"/>
      <c r="G8" s="241">
        <f ca="1">DATA!$D$11/1000000</f>
        <v>0.72219259226999999</v>
      </c>
      <c r="H8" s="241">
        <f>C8*DATA!$D$5/1000000</f>
        <v>5.7241802422811636</v>
      </c>
      <c r="I8" s="241">
        <f>(C8*DATA!$D$5*DATA!$D$7)/1000000</f>
        <v>0.12879405545132619</v>
      </c>
      <c r="J8" s="239">
        <f t="shared" ref="J8:J32" ca="1" si="1">SUM(F8:I8)</f>
        <v>6.5751668900024898</v>
      </c>
      <c r="K8" s="244"/>
      <c r="L8" s="239">
        <f>((D8*DATA!$D$23)/1000000)+((E8*DATA!$D$24)/1000000)</f>
        <v>7.6280159999999997</v>
      </c>
      <c r="M8" s="239">
        <f t="shared" ref="M8:M32" si="2">K8+L8</f>
        <v>7.6280159999999997</v>
      </c>
      <c r="N8" s="239">
        <f ca="1">M8-J8</f>
        <v>1.0528491099975099</v>
      </c>
      <c r="O8" s="238">
        <f>1/(1+'[91]Asumsi I'!$C$3)^(KKF!A8)</f>
        <v>0.89285714285714279</v>
      </c>
      <c r="P8" s="239">
        <f ca="1">O8*N8</f>
        <v>0.94004384821206233</v>
      </c>
      <c r="Q8" s="239">
        <f ca="1">Q7+P8</f>
        <v>-24.401417222712929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5280</v>
      </c>
      <c r="D9" s="239">
        <f t="shared" ref="D9:D32" si="5">C9*4/24</f>
        <v>880</v>
      </c>
      <c r="E9" s="239">
        <f t="shared" si="0"/>
        <v>4400</v>
      </c>
      <c r="F9" s="237"/>
      <c r="G9" s="241">
        <f ca="1">DATA!$D$11/1000000</f>
        <v>0.72219259226999999</v>
      </c>
      <c r="H9" s="241">
        <f>C9*DATA!$D$5/1000000</f>
        <v>5.7241802422811636</v>
      </c>
      <c r="I9" s="241">
        <f>(C9*DATA!$D$5*DATA!$D$7)/1000000</f>
        <v>0.12879405545132619</v>
      </c>
      <c r="J9" s="239">
        <f t="shared" ca="1" si="1"/>
        <v>6.5751668900024898</v>
      </c>
      <c r="K9" s="239"/>
      <c r="L9" s="239">
        <f>((D9*DATA!$D$23)/1000000)+((E9*DATA!$D$24)/1000000)</f>
        <v>7.6280159999999997</v>
      </c>
      <c r="M9" s="239">
        <f t="shared" si="2"/>
        <v>7.6280159999999997</v>
      </c>
      <c r="N9" s="239">
        <f t="shared" ref="N9:N32" ca="1" si="6">M9-J9</f>
        <v>1.0528491099975099</v>
      </c>
      <c r="O9" s="245">
        <f>1/(1+'[91]Asumsi I'!$C$3)^(KKF!A9)</f>
        <v>0.79719387755102034</v>
      </c>
      <c r="P9" s="239">
        <f t="shared" ref="P9:P32" ca="1" si="7">O9*N9</f>
        <v>0.83932486447505561</v>
      </c>
      <c r="Q9" s="239">
        <f ca="1">Q8+P9</f>
        <v>-23.562092358237873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5280</v>
      </c>
      <c r="D10" s="239">
        <f t="shared" si="5"/>
        <v>880</v>
      </c>
      <c r="E10" s="239">
        <f t="shared" si="0"/>
        <v>4400</v>
      </c>
      <c r="F10" s="237"/>
      <c r="G10" s="241">
        <f ca="1">DATA!$D$11/1000000</f>
        <v>0.72219259226999999</v>
      </c>
      <c r="H10" s="241">
        <f>C10*DATA!$D$5/1000000</f>
        <v>5.7241802422811636</v>
      </c>
      <c r="I10" s="241">
        <f>(C10*DATA!$D$5*DATA!$D$7)/1000000</f>
        <v>0.12879405545132619</v>
      </c>
      <c r="J10" s="239">
        <f t="shared" ca="1" si="1"/>
        <v>6.5751668900024898</v>
      </c>
      <c r="K10" s="237"/>
      <c r="L10" s="239">
        <f>((D10*DATA!$D$23)/1000000)+((E10*DATA!$D$24)/1000000)</f>
        <v>7.6280159999999997</v>
      </c>
      <c r="M10" s="239">
        <f t="shared" si="2"/>
        <v>7.6280159999999997</v>
      </c>
      <c r="N10" s="239">
        <f t="shared" ca="1" si="6"/>
        <v>1.0528491099975099</v>
      </c>
      <c r="O10" s="238">
        <f>1/(1+'[91]Asumsi I'!$C$3)^(KKF!A10)</f>
        <v>0.71178024781341087</v>
      </c>
      <c r="P10" s="239">
        <f t="shared" ca="1" si="7"/>
        <v>0.7493972004241567</v>
      </c>
      <c r="Q10" s="239">
        <f t="shared" ref="Q10:Q30" ca="1" si="9">Q9+P10</f>
        <v>-22.812695157813717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5280</v>
      </c>
      <c r="D11" s="239">
        <f t="shared" si="5"/>
        <v>880</v>
      </c>
      <c r="E11" s="239">
        <f t="shared" si="0"/>
        <v>4400</v>
      </c>
      <c r="F11" s="237"/>
      <c r="G11" s="241">
        <f ca="1">DATA!$D$11/1000000</f>
        <v>0.72219259226999999</v>
      </c>
      <c r="H11" s="241">
        <f>C11*DATA!$D$5/1000000</f>
        <v>5.7241802422811636</v>
      </c>
      <c r="I11" s="241">
        <f>(C11*DATA!$D$5*DATA!$D$7)/1000000</f>
        <v>0.12879405545132619</v>
      </c>
      <c r="J11" s="239">
        <f t="shared" ca="1" si="1"/>
        <v>6.5751668900024898</v>
      </c>
      <c r="K11" s="237"/>
      <c r="L11" s="239">
        <f>((D11*DATA!$D$23)/1000000)+((E11*DATA!$D$24)/1000000)</f>
        <v>7.6280159999999997</v>
      </c>
      <c r="M11" s="239">
        <f t="shared" si="2"/>
        <v>7.6280159999999997</v>
      </c>
      <c r="N11" s="239">
        <f t="shared" ca="1" si="6"/>
        <v>1.0528491099975099</v>
      </c>
      <c r="O11" s="238">
        <f>1/(1+'[91]Asumsi I'!$C$3)^(KKF!A11)</f>
        <v>0.63551807840483121</v>
      </c>
      <c r="P11" s="239">
        <f t="shared" ca="1" si="7"/>
        <v>0.66910464323585428</v>
      </c>
      <c r="Q11" s="239">
        <f t="shared" ca="1" si="9"/>
        <v>-22.143590514577863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5280</v>
      </c>
      <c r="D12" s="239">
        <f t="shared" si="5"/>
        <v>880</v>
      </c>
      <c r="E12" s="239">
        <f t="shared" si="0"/>
        <v>4400</v>
      </c>
      <c r="F12" s="237"/>
      <c r="G12" s="241">
        <f ca="1">DATA!$D$11/1000000</f>
        <v>0.72219259226999999</v>
      </c>
      <c r="H12" s="241">
        <f>C12*DATA!$D$5/1000000</f>
        <v>5.7241802422811636</v>
      </c>
      <c r="I12" s="241">
        <f>(C12*DATA!$D$5*DATA!$D$7)/1000000</f>
        <v>0.12879405545132619</v>
      </c>
      <c r="J12" s="239">
        <f t="shared" ca="1" si="1"/>
        <v>6.5751668900024898</v>
      </c>
      <c r="K12" s="237"/>
      <c r="L12" s="239">
        <f>((D12*DATA!$D$23)/1000000)+((E12*DATA!$D$24)/1000000)</f>
        <v>7.6280159999999997</v>
      </c>
      <c r="M12" s="239">
        <f t="shared" si="2"/>
        <v>7.6280159999999997</v>
      </c>
      <c r="N12" s="239">
        <f t="shared" ca="1" si="6"/>
        <v>1.0528491099975099</v>
      </c>
      <c r="O12" s="238">
        <f>1/(1+'[91]Asumsi I'!$C$3)^(KKF!A12)</f>
        <v>0.56742685571859919</v>
      </c>
      <c r="P12" s="239">
        <f t="shared" ca="1" si="7"/>
        <v>0.59741486003201261</v>
      </c>
      <c r="Q12" s="239">
        <f t="shared" ca="1" si="9"/>
        <v>-21.546175654545848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5280</v>
      </c>
      <c r="D13" s="239">
        <f t="shared" si="5"/>
        <v>880</v>
      </c>
      <c r="E13" s="239">
        <f t="shared" si="0"/>
        <v>4400</v>
      </c>
      <c r="F13" s="237"/>
      <c r="G13" s="241">
        <f ca="1">DATA!$D$11/1000000</f>
        <v>0.72219259226999999</v>
      </c>
      <c r="H13" s="241">
        <f>C13*DATA!$D$5/1000000</f>
        <v>5.7241802422811636</v>
      </c>
      <c r="I13" s="241">
        <f>(C13*DATA!$D$5*DATA!$D$7)/1000000</f>
        <v>0.12879405545132619</v>
      </c>
      <c r="J13" s="239">
        <f t="shared" ca="1" si="1"/>
        <v>6.5751668900024898</v>
      </c>
      <c r="K13" s="237"/>
      <c r="L13" s="239">
        <f>((D13*DATA!$D$23)/1000000)+((E13*DATA!$D$24)/1000000)</f>
        <v>7.6280159999999997</v>
      </c>
      <c r="M13" s="239">
        <f t="shared" si="2"/>
        <v>7.6280159999999997</v>
      </c>
      <c r="N13" s="239">
        <f t="shared" ca="1" si="6"/>
        <v>1.0528491099975099</v>
      </c>
      <c r="O13" s="238">
        <f>1/(1+'[91]Asumsi I'!$C$3)^(KKF!A13)</f>
        <v>0.50663112117732068</v>
      </c>
      <c r="P13" s="239">
        <f t="shared" ca="1" si="7"/>
        <v>0.53340612502858264</v>
      </c>
      <c r="Q13" s="239">
        <f t="shared" ca="1" si="9"/>
        <v>-21.012769529517264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5280</v>
      </c>
      <c r="D14" s="239">
        <f t="shared" si="5"/>
        <v>880</v>
      </c>
      <c r="E14" s="239">
        <f t="shared" si="0"/>
        <v>4400</v>
      </c>
      <c r="F14" s="237"/>
      <c r="G14" s="241">
        <f ca="1">DATA!$D$11/1000000</f>
        <v>0.72219259226999999</v>
      </c>
      <c r="H14" s="241">
        <f>C14*DATA!$D$5/1000000</f>
        <v>5.7241802422811636</v>
      </c>
      <c r="I14" s="241">
        <f>(C14*DATA!$D$5*DATA!$D$7)/1000000</f>
        <v>0.12879405545132619</v>
      </c>
      <c r="J14" s="239">
        <f t="shared" ca="1" si="1"/>
        <v>6.5751668900024898</v>
      </c>
      <c r="K14" s="237"/>
      <c r="L14" s="239">
        <f>((D14*DATA!$D$23)/1000000)+((E14*DATA!$D$24)/1000000)</f>
        <v>7.6280159999999997</v>
      </c>
      <c r="M14" s="239">
        <f t="shared" si="2"/>
        <v>7.6280159999999997</v>
      </c>
      <c r="N14" s="239">
        <f t="shared" ca="1" si="6"/>
        <v>1.0528491099975099</v>
      </c>
      <c r="O14" s="238">
        <f>1/(1+'[91]Asumsi I'!$C$3)^(KKF!A14)</f>
        <v>0.45234921533689343</v>
      </c>
      <c r="P14" s="239">
        <f t="shared" ca="1" si="7"/>
        <v>0.47625546877552022</v>
      </c>
      <c r="Q14" s="239">
        <f t="shared" ca="1" si="9"/>
        <v>-20.536514060741744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5280</v>
      </c>
      <c r="D15" s="239">
        <f t="shared" si="5"/>
        <v>880</v>
      </c>
      <c r="E15" s="239">
        <f t="shared" si="0"/>
        <v>4400</v>
      </c>
      <c r="F15" s="237"/>
      <c r="G15" s="241">
        <f ca="1">DATA!$D$11/1000000</f>
        <v>0.72219259226999999</v>
      </c>
      <c r="H15" s="241">
        <f>C15*DATA!$D$5/1000000</f>
        <v>5.7241802422811636</v>
      </c>
      <c r="I15" s="241">
        <f>(C15*DATA!$D$5*DATA!$D$7)/1000000</f>
        <v>0.12879405545132619</v>
      </c>
      <c r="J15" s="239">
        <f t="shared" ca="1" si="1"/>
        <v>6.5751668900024898</v>
      </c>
      <c r="K15" s="237"/>
      <c r="L15" s="239">
        <f>((D15*DATA!$D$23)/1000000)+((E15*DATA!$D$24)/1000000)</f>
        <v>7.6280159999999997</v>
      </c>
      <c r="M15" s="239">
        <f t="shared" si="2"/>
        <v>7.6280159999999997</v>
      </c>
      <c r="N15" s="239">
        <f t="shared" ca="1" si="6"/>
        <v>1.0528491099975099</v>
      </c>
      <c r="O15" s="238">
        <f>1/(1+'[91]Asumsi I'!$C$3)^(KKF!A15)</f>
        <v>0.4038832279793691</v>
      </c>
      <c r="P15" s="239">
        <f t="shared" ca="1" si="7"/>
        <v>0.42522809712100013</v>
      </c>
      <c r="Q15" s="239">
        <f t="shared" ca="1" si="9"/>
        <v>-20.111285963620745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5280</v>
      </c>
      <c r="D16" s="239">
        <f t="shared" si="5"/>
        <v>880</v>
      </c>
      <c r="E16" s="239">
        <f t="shared" si="0"/>
        <v>4400</v>
      </c>
      <c r="F16" s="237"/>
      <c r="G16" s="241">
        <f ca="1">DATA!$D$11/1000000</f>
        <v>0.72219259226999999</v>
      </c>
      <c r="H16" s="241">
        <f>C16*DATA!$D$5/1000000</f>
        <v>5.7241802422811636</v>
      </c>
      <c r="I16" s="241">
        <f>(C16*DATA!$D$5*DATA!$D$7)/1000000</f>
        <v>0.12879405545132619</v>
      </c>
      <c r="J16" s="239">
        <f t="shared" ca="1" si="1"/>
        <v>6.5751668900024898</v>
      </c>
      <c r="K16" s="237"/>
      <c r="L16" s="239">
        <f>((D16*DATA!$D$23)/1000000)+((E16*DATA!$D$24)/1000000)</f>
        <v>7.6280159999999997</v>
      </c>
      <c r="M16" s="239">
        <f t="shared" si="2"/>
        <v>7.6280159999999997</v>
      </c>
      <c r="N16" s="239">
        <f t="shared" ca="1" si="6"/>
        <v>1.0528491099975099</v>
      </c>
      <c r="O16" s="238">
        <f>1/(1+'[91]Asumsi I'!$C$3)^(KKF!A16)</f>
        <v>0.36061002498157957</v>
      </c>
      <c r="P16" s="239">
        <f t="shared" ca="1" si="7"/>
        <v>0.37966794385803587</v>
      </c>
      <c r="Q16" s="239">
        <f t="shared" ca="1" si="9"/>
        <v>-19.73161801976271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5280</v>
      </c>
      <c r="D17" s="239">
        <f t="shared" si="5"/>
        <v>880</v>
      </c>
      <c r="E17" s="239">
        <f t="shared" si="0"/>
        <v>4400</v>
      </c>
      <c r="F17" s="237"/>
      <c r="G17" s="241">
        <f ca="1">DATA!$D$11/1000000</f>
        <v>0.72219259226999999</v>
      </c>
      <c r="H17" s="241">
        <f>C17*DATA!$D$5/1000000</f>
        <v>5.7241802422811636</v>
      </c>
      <c r="I17" s="241">
        <f>(C17*DATA!$D$5*DATA!$D$7)/1000000</f>
        <v>0.12879405545132619</v>
      </c>
      <c r="J17" s="239">
        <f t="shared" ca="1" si="1"/>
        <v>6.5751668900024898</v>
      </c>
      <c r="K17" s="237"/>
      <c r="L17" s="239">
        <f>((D17*DATA!$D$23)/1000000)+((E17*DATA!$D$24)/1000000)</f>
        <v>7.6280159999999997</v>
      </c>
      <c r="M17" s="239">
        <f t="shared" si="2"/>
        <v>7.6280159999999997</v>
      </c>
      <c r="N17" s="239">
        <f t="shared" ca="1" si="6"/>
        <v>1.0528491099975099</v>
      </c>
      <c r="O17" s="238">
        <f>1/(1+'[91]Asumsi I'!$C$3)^(KKF!A17)</f>
        <v>0.32197323659069599</v>
      </c>
      <c r="P17" s="239">
        <f t="shared" ca="1" si="7"/>
        <v>0.33898923558753197</v>
      </c>
      <c r="Q17" s="239">
        <f t="shared" ca="1" si="9"/>
        <v>-19.392628784175177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5280</v>
      </c>
      <c r="D18" s="239">
        <f t="shared" si="5"/>
        <v>880</v>
      </c>
      <c r="E18" s="239">
        <f t="shared" si="0"/>
        <v>4400</v>
      </c>
      <c r="F18" s="237"/>
      <c r="G18" s="241">
        <f ca="1">DATA!$D$11/1000000</f>
        <v>0.72219259226999999</v>
      </c>
      <c r="H18" s="241">
        <f>C18*DATA!$D$5/1000000</f>
        <v>5.7241802422811636</v>
      </c>
      <c r="I18" s="241">
        <f>(C18*DATA!$D$5*DATA!$D$7)/1000000</f>
        <v>0.12879405545132619</v>
      </c>
      <c r="J18" s="239">
        <f t="shared" ca="1" si="1"/>
        <v>6.5751668900024898</v>
      </c>
      <c r="K18" s="237"/>
      <c r="L18" s="239">
        <f>((D18*DATA!$D$23)/1000000)+((E18*DATA!$D$24)/1000000)</f>
        <v>7.6280159999999997</v>
      </c>
      <c r="M18" s="239">
        <f t="shared" si="2"/>
        <v>7.6280159999999997</v>
      </c>
      <c r="N18" s="239">
        <f t="shared" ca="1" si="6"/>
        <v>1.0528491099975099</v>
      </c>
      <c r="O18" s="238">
        <f>1/(1+'[91]Asumsi I'!$C$3)^(KKF!A18)</f>
        <v>0.28747610409883567</v>
      </c>
      <c r="P18" s="239">
        <f t="shared" ca="1" si="7"/>
        <v>0.30266896034601065</v>
      </c>
      <c r="Q18" s="239">
        <f t="shared" ca="1" si="9"/>
        <v>-19.089959823829165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5280</v>
      </c>
      <c r="D19" s="239">
        <f t="shared" si="5"/>
        <v>880</v>
      </c>
      <c r="E19" s="239">
        <f t="shared" si="0"/>
        <v>4400</v>
      </c>
      <c r="F19" s="237"/>
      <c r="G19" s="241">
        <f ca="1">DATA!$D$11/1000000</f>
        <v>0.72219259226999999</v>
      </c>
      <c r="H19" s="241">
        <f>C19*DATA!$D$5/1000000</f>
        <v>5.7241802422811636</v>
      </c>
      <c r="I19" s="241">
        <f>(C19*DATA!$D$5*DATA!$D$7)/1000000</f>
        <v>0.12879405545132619</v>
      </c>
      <c r="J19" s="239">
        <f t="shared" ca="1" si="1"/>
        <v>6.5751668900024898</v>
      </c>
      <c r="K19" s="237"/>
      <c r="L19" s="239">
        <f>((D19*DATA!$D$23)/1000000)+((E19*DATA!$D$24)/1000000)</f>
        <v>7.6280159999999997</v>
      </c>
      <c r="M19" s="239">
        <f t="shared" si="2"/>
        <v>7.6280159999999997</v>
      </c>
      <c r="N19" s="239">
        <f t="shared" ca="1" si="6"/>
        <v>1.0528491099975099</v>
      </c>
      <c r="O19" s="238">
        <f>1/(1+'[91]Asumsi I'!$C$3)^(KKF!A19)</f>
        <v>0.25667509294538904</v>
      </c>
      <c r="P19" s="239">
        <f t="shared" ca="1" si="7"/>
        <v>0.27024014316608097</v>
      </c>
      <c r="Q19" s="239">
        <f t="shared" ca="1" si="9"/>
        <v>-18.819719680663084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5280</v>
      </c>
      <c r="D20" s="239">
        <f t="shared" si="5"/>
        <v>880</v>
      </c>
      <c r="E20" s="239">
        <f t="shared" si="0"/>
        <v>4400</v>
      </c>
      <c r="F20" s="237"/>
      <c r="G20" s="241">
        <f ca="1">DATA!$D$11/1000000</f>
        <v>0.72219259226999999</v>
      </c>
      <c r="H20" s="241">
        <f>C20*DATA!$D$5/1000000</f>
        <v>5.7241802422811636</v>
      </c>
      <c r="I20" s="241">
        <f>(C20*DATA!$D$5*DATA!$D$7)/1000000</f>
        <v>0.12879405545132619</v>
      </c>
      <c r="J20" s="239">
        <f t="shared" ca="1" si="1"/>
        <v>6.5751668900024898</v>
      </c>
      <c r="K20" s="237"/>
      <c r="L20" s="239">
        <f>((D20*DATA!$D$23)/1000000)+((E20*DATA!$D$24)/1000000)</f>
        <v>7.6280159999999997</v>
      </c>
      <c r="M20" s="239">
        <f t="shared" si="2"/>
        <v>7.6280159999999997</v>
      </c>
      <c r="N20" s="239">
        <f t="shared" ca="1" si="6"/>
        <v>1.0528491099975099</v>
      </c>
      <c r="O20" s="238">
        <f>1/(1+'[91]Asumsi I'!$C$3)^(KKF!A20)</f>
        <v>0.22917419012981158</v>
      </c>
      <c r="P20" s="239">
        <f t="shared" ca="1" si="7"/>
        <v>0.24128584211257223</v>
      </c>
      <c r="Q20" s="239">
        <f t="shared" ca="1" si="9"/>
        <v>-18.578433838550513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5280</v>
      </c>
      <c r="D21" s="239">
        <f t="shared" si="5"/>
        <v>880</v>
      </c>
      <c r="E21" s="239">
        <f t="shared" si="0"/>
        <v>4400</v>
      </c>
      <c r="F21" s="237"/>
      <c r="G21" s="241">
        <f ca="1">DATA!$D$11/1000000</f>
        <v>0.72219259226999999</v>
      </c>
      <c r="H21" s="241">
        <f>C21*DATA!$D$5/1000000</f>
        <v>5.7241802422811636</v>
      </c>
      <c r="I21" s="241">
        <f>(C21*DATA!$D$5*DATA!$D$7)/1000000</f>
        <v>0.12879405545132619</v>
      </c>
      <c r="J21" s="239">
        <f t="shared" ca="1" si="1"/>
        <v>6.5751668900024898</v>
      </c>
      <c r="K21" s="237"/>
      <c r="L21" s="239">
        <f>((D21*DATA!$D$23)/1000000)+((E21*DATA!$D$24)/1000000)</f>
        <v>7.6280159999999997</v>
      </c>
      <c r="M21" s="239">
        <f t="shared" si="2"/>
        <v>7.6280159999999997</v>
      </c>
      <c r="N21" s="239">
        <f t="shared" ca="1" si="6"/>
        <v>1.0528491099975099</v>
      </c>
      <c r="O21" s="238">
        <f>1/(1+'[91]Asumsi I'!$C$3)^(KKF!A21)</f>
        <v>0.20461981261590317</v>
      </c>
      <c r="P21" s="239">
        <f t="shared" ca="1" si="7"/>
        <v>0.21543378760051091</v>
      </c>
      <c r="Q21" s="239">
        <f t="shared" ca="1" si="9"/>
        <v>-18.363000050950003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5280</v>
      </c>
      <c r="D22" s="239">
        <f t="shared" si="5"/>
        <v>880</v>
      </c>
      <c r="E22" s="239">
        <f t="shared" si="0"/>
        <v>4400</v>
      </c>
      <c r="F22" s="237"/>
      <c r="G22" s="241">
        <f ca="1">DATA!$D$11/1000000</f>
        <v>0.72219259226999999</v>
      </c>
      <c r="H22" s="241">
        <f>C22*DATA!$D$5/1000000</f>
        <v>5.7241802422811636</v>
      </c>
      <c r="I22" s="241">
        <f>(C22*DATA!$D$5*DATA!$D$7)/1000000</f>
        <v>0.12879405545132619</v>
      </c>
      <c r="J22" s="239">
        <f t="shared" ca="1" si="1"/>
        <v>6.5751668900024898</v>
      </c>
      <c r="K22" s="237"/>
      <c r="L22" s="239">
        <f>((D22*DATA!$D$23)/1000000)+((E22*DATA!$D$24)/1000000)</f>
        <v>7.6280159999999997</v>
      </c>
      <c r="M22" s="239">
        <f t="shared" si="2"/>
        <v>7.6280159999999997</v>
      </c>
      <c r="N22" s="239">
        <f t="shared" ca="1" si="6"/>
        <v>1.0528491099975099</v>
      </c>
      <c r="O22" s="238">
        <f>1/(1+'[91]Asumsi I'!$C$3)^(KKF!A22)</f>
        <v>0.18269626126419927</v>
      </c>
      <c r="P22" s="239">
        <f t="shared" ca="1" si="7"/>
        <v>0.19235159607188476</v>
      </c>
      <c r="Q22" s="239">
        <f t="shared" ca="1" si="9"/>
        <v>-18.170648454878119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5280</v>
      </c>
      <c r="D23" s="239">
        <f t="shared" si="5"/>
        <v>880</v>
      </c>
      <c r="E23" s="239">
        <f t="shared" si="0"/>
        <v>4400</v>
      </c>
      <c r="F23" s="237"/>
      <c r="G23" s="241">
        <f ca="1">DATA!$D$11/1000000</f>
        <v>0.72219259226999999</v>
      </c>
      <c r="H23" s="241">
        <f>C23*DATA!$D$5/1000000</f>
        <v>5.7241802422811636</v>
      </c>
      <c r="I23" s="241">
        <f>(C23*DATA!$D$5*DATA!$D$7)/1000000</f>
        <v>0.12879405545132619</v>
      </c>
      <c r="J23" s="239">
        <f t="shared" ca="1" si="1"/>
        <v>6.5751668900024898</v>
      </c>
      <c r="K23" s="237"/>
      <c r="L23" s="239">
        <f>((D23*DATA!$D$23)/1000000)+((E23*DATA!$D$24)/1000000)</f>
        <v>7.6280159999999997</v>
      </c>
      <c r="M23" s="239">
        <f t="shared" si="2"/>
        <v>7.6280159999999997</v>
      </c>
      <c r="N23" s="239">
        <f t="shared" ca="1" si="6"/>
        <v>1.0528491099975099</v>
      </c>
      <c r="O23" s="238">
        <f>1/(1+'[91]Asumsi I'!$C$3)^(KKF!A23)</f>
        <v>0.16312166184303503</v>
      </c>
      <c r="P23" s="239">
        <f t="shared" ca="1" si="7"/>
        <v>0.17174249649275419</v>
      </c>
      <c r="Q23" s="239">
        <f t="shared" ca="1" si="9"/>
        <v>-17.998905958385365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5280</v>
      </c>
      <c r="D24" s="239">
        <f t="shared" si="5"/>
        <v>880</v>
      </c>
      <c r="E24" s="239">
        <f t="shared" si="0"/>
        <v>4400</v>
      </c>
      <c r="F24" s="237"/>
      <c r="G24" s="241">
        <f ca="1">DATA!$D$11/1000000</f>
        <v>0.72219259226999999</v>
      </c>
      <c r="H24" s="241">
        <f>C24*DATA!$D$5/1000000</f>
        <v>5.7241802422811636</v>
      </c>
      <c r="I24" s="241">
        <f>(C24*DATA!$D$5*DATA!$D$7)/1000000</f>
        <v>0.12879405545132619</v>
      </c>
      <c r="J24" s="239">
        <f t="shared" ca="1" si="1"/>
        <v>6.5751668900024898</v>
      </c>
      <c r="K24" s="237"/>
      <c r="L24" s="239">
        <f>((D24*DATA!$D$23)/1000000)+((E24*DATA!$D$24)/1000000)</f>
        <v>7.6280159999999997</v>
      </c>
      <c r="M24" s="239">
        <f t="shared" si="2"/>
        <v>7.6280159999999997</v>
      </c>
      <c r="N24" s="239">
        <f t="shared" ca="1" si="6"/>
        <v>1.0528491099975099</v>
      </c>
      <c r="O24" s="238">
        <f>1/(1+'[91]Asumsi I'!$C$3)^(KKF!A24)</f>
        <v>0.14564434093128129</v>
      </c>
      <c r="P24" s="239">
        <f t="shared" ca="1" si="7"/>
        <v>0.15334151472567339</v>
      </c>
      <c r="Q24" s="239">
        <f t="shared" ca="1" si="9"/>
        <v>-17.84556444365969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5280</v>
      </c>
      <c r="D25" s="239">
        <f t="shared" si="5"/>
        <v>880</v>
      </c>
      <c r="E25" s="239">
        <f t="shared" si="0"/>
        <v>4400</v>
      </c>
      <c r="F25" s="237"/>
      <c r="G25" s="241">
        <f ca="1">DATA!$D$11/1000000</f>
        <v>0.72219259226999999</v>
      </c>
      <c r="H25" s="241">
        <f>C25*DATA!$D$5/1000000</f>
        <v>5.7241802422811636</v>
      </c>
      <c r="I25" s="241">
        <f>(C25*DATA!$D$5*DATA!$D$7)/1000000</f>
        <v>0.12879405545132619</v>
      </c>
      <c r="J25" s="239">
        <f t="shared" ca="1" si="1"/>
        <v>6.5751668900024898</v>
      </c>
      <c r="K25" s="237"/>
      <c r="L25" s="239">
        <f>((D25*DATA!$D$23)/1000000)+((E25*DATA!$D$24)/1000000)</f>
        <v>7.6280159999999997</v>
      </c>
      <c r="M25" s="239">
        <f t="shared" si="2"/>
        <v>7.6280159999999997</v>
      </c>
      <c r="N25" s="239">
        <f t="shared" ca="1" si="6"/>
        <v>1.0528491099975099</v>
      </c>
      <c r="O25" s="238">
        <f>1/(1+'[91]Asumsi I'!$C$3)^(KKF!A25)</f>
        <v>0.13003959011721541</v>
      </c>
      <c r="P25" s="239">
        <f t="shared" ca="1" si="7"/>
        <v>0.13691206671935124</v>
      </c>
      <c r="Q25" s="239">
        <f t="shared" ca="1" si="9"/>
        <v>-17.708652376940339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5280</v>
      </c>
      <c r="D26" s="239">
        <f t="shared" si="5"/>
        <v>880</v>
      </c>
      <c r="E26" s="239">
        <f t="shared" si="0"/>
        <v>4400</v>
      </c>
      <c r="F26" s="237"/>
      <c r="G26" s="241">
        <f ca="1">DATA!$D$11/1000000</f>
        <v>0.72219259226999999</v>
      </c>
      <c r="H26" s="241">
        <f>C26*DATA!$D$5/1000000</f>
        <v>5.7241802422811636</v>
      </c>
      <c r="I26" s="241">
        <f>(C26*DATA!$D$5*DATA!$D$7)/1000000</f>
        <v>0.12879405545132619</v>
      </c>
      <c r="J26" s="239">
        <f t="shared" ca="1" si="1"/>
        <v>6.5751668900024898</v>
      </c>
      <c r="K26" s="237"/>
      <c r="L26" s="239">
        <f>((D26*DATA!$D$23)/1000000)+((E26*DATA!$D$24)/1000000)</f>
        <v>7.6280159999999997</v>
      </c>
      <c r="M26" s="239">
        <f t="shared" si="2"/>
        <v>7.6280159999999997</v>
      </c>
      <c r="N26" s="239">
        <f t="shared" ca="1" si="6"/>
        <v>1.0528491099975099</v>
      </c>
      <c r="O26" s="238">
        <f>1/(1+'[91]Asumsi I'!$C$3)^(KKF!A26)</f>
        <v>0.1161067768903709</v>
      </c>
      <c r="P26" s="239">
        <f t="shared" ca="1" si="7"/>
        <v>0.12224291671370645</v>
      </c>
      <c r="Q26" s="239">
        <f t="shared" ca="1" si="9"/>
        <v>-17.586409460226633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5280</v>
      </c>
      <c r="D27" s="239">
        <f t="shared" si="5"/>
        <v>880</v>
      </c>
      <c r="E27" s="239">
        <f t="shared" si="0"/>
        <v>4400</v>
      </c>
      <c r="F27" s="237"/>
      <c r="G27" s="241">
        <f ca="1">DATA!$D$11/1000000</f>
        <v>0.72219259226999999</v>
      </c>
      <c r="H27" s="241">
        <f>C27*DATA!$D$5/1000000</f>
        <v>5.7241802422811636</v>
      </c>
      <c r="I27" s="241">
        <f>(C27*DATA!$D$5*DATA!$D$7)/1000000</f>
        <v>0.12879405545132619</v>
      </c>
      <c r="J27" s="239">
        <f t="shared" ca="1" si="1"/>
        <v>6.5751668900024898</v>
      </c>
      <c r="K27" s="237"/>
      <c r="L27" s="239">
        <f>((D27*DATA!$D$23)/1000000)+((E27*DATA!$D$24)/1000000)</f>
        <v>7.6280159999999997</v>
      </c>
      <c r="M27" s="239">
        <f t="shared" si="2"/>
        <v>7.6280159999999997</v>
      </c>
      <c r="N27" s="239">
        <f t="shared" ca="1" si="6"/>
        <v>1.0528491099975099</v>
      </c>
      <c r="O27" s="238">
        <f>1/(1+'[91]Asumsi I'!$C$3)^(KKF!A27)</f>
        <v>0.1036667650806883</v>
      </c>
      <c r="P27" s="239">
        <f t="shared" ca="1" si="7"/>
        <v>0.10914546135152361</v>
      </c>
      <c r="Q27" s="239">
        <f t="shared" ca="1" si="9"/>
        <v>-17.47726399887511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5280</v>
      </c>
      <c r="D28" s="239">
        <f t="shared" si="5"/>
        <v>880</v>
      </c>
      <c r="E28" s="239">
        <f t="shared" si="0"/>
        <v>4400</v>
      </c>
      <c r="F28" s="237"/>
      <c r="G28" s="241">
        <f ca="1">DATA!$D$11/1000000</f>
        <v>0.72219259226999999</v>
      </c>
      <c r="H28" s="241">
        <f>C28*DATA!$D$5/1000000</f>
        <v>5.7241802422811636</v>
      </c>
      <c r="I28" s="241">
        <f>(C28*DATA!$D$5*DATA!$D$7)/1000000</f>
        <v>0.12879405545132619</v>
      </c>
      <c r="J28" s="239">
        <f t="shared" ca="1" si="1"/>
        <v>6.5751668900024898</v>
      </c>
      <c r="K28" s="237"/>
      <c r="L28" s="239">
        <f>((D28*DATA!$D$23)/1000000)+((E28*DATA!$D$24)/1000000)</f>
        <v>7.6280159999999997</v>
      </c>
      <c r="M28" s="239">
        <f t="shared" si="2"/>
        <v>7.6280159999999997</v>
      </c>
      <c r="N28" s="239">
        <f t="shared" ca="1" si="6"/>
        <v>1.0528491099975099</v>
      </c>
      <c r="O28" s="238">
        <f>1/(1+'[91]Asumsi I'!$C$3)^(KKF!A28)</f>
        <v>9.2559611679185971E-2</v>
      </c>
      <c r="P28" s="239">
        <f t="shared" ca="1" si="7"/>
        <v>9.7451304778146078E-2</v>
      </c>
      <c r="Q28" s="239">
        <f t="shared" ca="1" si="9"/>
        <v>-17.379812694096962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5280</v>
      </c>
      <c r="D29" s="239">
        <f t="shared" si="5"/>
        <v>880</v>
      </c>
      <c r="E29" s="239">
        <f t="shared" si="0"/>
        <v>4400</v>
      </c>
      <c r="F29" s="237"/>
      <c r="G29" s="241">
        <f ca="1">DATA!$D$11/1000000</f>
        <v>0.72219259226999999</v>
      </c>
      <c r="H29" s="241">
        <f>C29*DATA!$D$5/1000000</f>
        <v>5.7241802422811636</v>
      </c>
      <c r="I29" s="241">
        <f>(C29*DATA!$D$5*DATA!$D$7)/1000000</f>
        <v>0.12879405545132619</v>
      </c>
      <c r="J29" s="239">
        <f t="shared" ca="1" si="1"/>
        <v>6.5751668900024898</v>
      </c>
      <c r="K29" s="237"/>
      <c r="L29" s="239">
        <f>((D29*DATA!$D$23)/1000000)+((E29*DATA!$D$24)/1000000)</f>
        <v>7.6280159999999997</v>
      </c>
      <c r="M29" s="239">
        <f t="shared" si="2"/>
        <v>7.6280159999999997</v>
      </c>
      <c r="N29" s="239">
        <f t="shared" ca="1" si="6"/>
        <v>1.0528491099975099</v>
      </c>
      <c r="O29" s="238">
        <f>1/(1+'[91]Asumsi I'!$C$3)^(KKF!A29)</f>
        <v>8.2642510427844609E-2</v>
      </c>
      <c r="P29" s="239">
        <f t="shared" ca="1" si="7"/>
        <v>8.7010093551916134E-2</v>
      </c>
      <c r="Q29" s="239">
        <f t="shared" ca="1" si="9"/>
        <v>-17.292802600545045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5280</v>
      </c>
      <c r="D30" s="239">
        <f t="shared" si="5"/>
        <v>880</v>
      </c>
      <c r="E30" s="239">
        <f t="shared" si="0"/>
        <v>4400</v>
      </c>
      <c r="F30" s="237"/>
      <c r="G30" s="241">
        <f ca="1">DATA!$D$11/1000000</f>
        <v>0.72219259226999999</v>
      </c>
      <c r="H30" s="241">
        <f>C30*DATA!$D$5/1000000</f>
        <v>5.7241802422811636</v>
      </c>
      <c r="I30" s="241">
        <f>(C30*DATA!$D$5*DATA!$D$7)/1000000</f>
        <v>0.12879405545132619</v>
      </c>
      <c r="J30" s="239">
        <f t="shared" ca="1" si="1"/>
        <v>6.5751668900024898</v>
      </c>
      <c r="K30" s="237"/>
      <c r="L30" s="239">
        <f>((D30*DATA!$D$23)/1000000)+((E30*DATA!$D$24)/1000000)</f>
        <v>7.6280159999999997</v>
      </c>
      <c r="M30" s="239">
        <f t="shared" si="2"/>
        <v>7.6280159999999997</v>
      </c>
      <c r="N30" s="239">
        <f t="shared" ca="1" si="6"/>
        <v>1.0528491099975099</v>
      </c>
      <c r="O30" s="238">
        <f>1/(1+'[91]Asumsi I'!$C$3)^(KKF!A30)</f>
        <v>7.3787955739146982E-2</v>
      </c>
      <c r="P30" s="239">
        <f t="shared" ca="1" si="7"/>
        <v>7.7687583528496557E-2</v>
      </c>
      <c r="Q30" s="239">
        <f t="shared" ca="1" si="9"/>
        <v>-17.215115017016547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5280</v>
      </c>
      <c r="D31" s="239">
        <f t="shared" si="5"/>
        <v>880</v>
      </c>
      <c r="E31" s="239">
        <f t="shared" si="0"/>
        <v>4400</v>
      </c>
      <c r="F31" s="237"/>
      <c r="G31" s="241">
        <f ca="1">DATA!$D$11/1000000</f>
        <v>0.72219259226999999</v>
      </c>
      <c r="H31" s="241">
        <f>C31*DATA!$D$5/1000000</f>
        <v>5.7241802422811636</v>
      </c>
      <c r="I31" s="241">
        <f>(C31*DATA!$D$5*DATA!$D$7)/1000000</f>
        <v>0.12879405545132619</v>
      </c>
      <c r="J31" s="239">
        <f t="shared" ca="1" si="1"/>
        <v>6.5751668900024898</v>
      </c>
      <c r="K31" s="237"/>
      <c r="L31" s="239">
        <f>((D31*DATA!$D$23)/1000000)+((E31*DATA!$D$24)/1000000)</f>
        <v>7.6280159999999997</v>
      </c>
      <c r="M31" s="239">
        <f t="shared" si="2"/>
        <v>7.6280159999999997</v>
      </c>
      <c r="N31" s="239">
        <f t="shared" ca="1" si="6"/>
        <v>1.0528491099975099</v>
      </c>
      <c r="O31" s="238">
        <f>1/(1+'[91]Asumsi I'!$C$3)^(KKF!A31)</f>
        <v>6.5882103338524081E-2</v>
      </c>
      <c r="P31" s="239">
        <f t="shared" ca="1" si="7"/>
        <v>6.9363913864729052E-2</v>
      </c>
      <c r="Q31" s="239">
        <f ca="1">Q30+P31</f>
        <v>-17.145751103151817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5280</v>
      </c>
      <c r="D32" s="239">
        <f t="shared" si="5"/>
        <v>880</v>
      </c>
      <c r="E32" s="239">
        <f t="shared" si="0"/>
        <v>4400</v>
      </c>
      <c r="F32" s="237"/>
      <c r="G32" s="241">
        <f ca="1">DATA!$D$11/1000000</f>
        <v>0.72219259226999999</v>
      </c>
      <c r="H32" s="241">
        <f>C32*DATA!$D$5/1000000</f>
        <v>5.7241802422811636</v>
      </c>
      <c r="I32" s="241">
        <f>(C32*DATA!$D$5*DATA!$D$7)/1000000</f>
        <v>0.12879405545132619</v>
      </c>
      <c r="J32" s="239">
        <f t="shared" ca="1" si="1"/>
        <v>6.5751668900024898</v>
      </c>
      <c r="K32" s="237"/>
      <c r="L32" s="239">
        <f>((D32*DATA!$D$23)/1000000)+((E32*DATA!$D$24)/1000000)</f>
        <v>7.6280159999999997</v>
      </c>
      <c r="M32" s="239">
        <f t="shared" si="2"/>
        <v>7.6280159999999997</v>
      </c>
      <c r="N32" s="239">
        <f t="shared" ca="1" si="6"/>
        <v>1.0528491099975099</v>
      </c>
      <c r="O32" s="238">
        <f>1/(1+'[91]Asumsi I'!$C$3)^(KKF!A32)</f>
        <v>5.8823306552253637E-2</v>
      </c>
      <c r="P32" s="239">
        <f t="shared" ca="1" si="7"/>
        <v>6.1932065950650934E-2</v>
      </c>
      <c r="Q32" s="239">
        <f ca="1">Q31+P32</f>
        <v>-17.083819037201167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2" t="s">
        <v>1344</v>
      </c>
      <c r="G33" s="612"/>
      <c r="H33" s="612"/>
      <c r="I33" s="247"/>
      <c r="J33" s="248">
        <f ca="1">SUM(J7:J32)</f>
        <v>205.11297732098728</v>
      </c>
      <c r="K33" s="612" t="s">
        <v>1345</v>
      </c>
      <c r="L33" s="612"/>
      <c r="M33" s="248">
        <f>SUM(M7:M32)</f>
        <v>206.09274400000004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38.689119536816946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1.0047767171624615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-15.253409854643897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2.9395361809188003E-3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97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I68" sqref="I68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15" t="s">
        <v>1006</v>
      </c>
      <c r="P3" s="615"/>
      <c r="Q3" s="269"/>
      <c r="T3" s="267"/>
      <c r="U3" s="268" t="s">
        <v>1011</v>
      </c>
      <c r="V3" s="267"/>
    </row>
    <row r="4" spans="1:22" ht="15.75" customHeight="1">
      <c r="B4" s="616" t="s">
        <v>993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33" t="s">
        <v>1657</v>
      </c>
      <c r="H6" s="533"/>
      <c r="I6" s="533"/>
      <c r="J6" s="533"/>
      <c r="K6" s="533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1658</v>
      </c>
      <c r="H7" s="27"/>
      <c r="I7" s="27"/>
      <c r="J7" s="107"/>
      <c r="K7" s="439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18" t="s">
        <v>0</v>
      </c>
      <c r="C11" s="620" t="s">
        <v>1</v>
      </c>
      <c r="D11" s="623" t="s">
        <v>32</v>
      </c>
      <c r="E11" s="623" t="s">
        <v>33</v>
      </c>
      <c r="F11" s="623" t="s">
        <v>2</v>
      </c>
      <c r="G11" s="625" t="s">
        <v>31</v>
      </c>
      <c r="H11" s="623" t="s">
        <v>3</v>
      </c>
      <c r="I11" s="623"/>
      <c r="J11" s="623"/>
      <c r="K11" s="630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19"/>
      <c r="C12" s="621"/>
      <c r="D12" s="624"/>
      <c r="E12" s="624"/>
      <c r="F12" s="624"/>
      <c r="G12" s="626"/>
      <c r="H12" s="628" t="s">
        <v>36</v>
      </c>
      <c r="I12" s="628" t="s">
        <v>5</v>
      </c>
      <c r="J12" s="624" t="s">
        <v>37</v>
      </c>
      <c r="K12" s="631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31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76" t="s">
        <v>470</v>
      </c>
      <c r="C15" s="477" t="s">
        <v>1576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0" ca="1" si="0">IF(OR(D15="MDU",D15="MDU-KD"),(IF($O$3="RAB NON MDU","PLN KD",G15*F15)),0)</f>
        <v>0</v>
      </c>
      <c r="I15" s="284">
        <f t="shared" ref="I15:I20" ca="1" si="1">IF(D15="HDW",G15*F15,0)</f>
        <v>0</v>
      </c>
      <c r="J15" s="284">
        <f t="shared" ref="J15:J20" ca="1" si="2">IF(D15="JASA",G15*F15,0)</f>
        <v>0</v>
      </c>
      <c r="K15" s="285">
        <f t="shared" ref="K15:K22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9"/>
      <c r="C16" s="109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79"/>
      <c r="C17" s="496"/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289"/>
      <c r="G17" s="283">
        <f ca="1">IF(ISERROR(OFFSET('HARGA SATUAN'!$I$6,MATCH(RAB!C17,'HARGA SATUAN'!$C$7:$C$1492,0),0)),0,OFFSET('HARGA SATUAN'!$I$6,MATCH(RAB!C17,'HARGA SATUAN'!$C$7:$C$1492,0),0))</f>
        <v>0</v>
      </c>
      <c r="H17" s="284">
        <f t="shared" ca="1" si="0"/>
        <v>0</v>
      </c>
      <c r="I17" s="284">
        <f t="shared" ca="1" si="1"/>
        <v>0</v>
      </c>
      <c r="J17" s="284">
        <f t="shared" ca="1" si="2"/>
        <v>0</v>
      </c>
      <c r="K17" s="285">
        <f t="shared" ca="1" si="3"/>
        <v>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79"/>
      <c r="C18" s="109"/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289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ref="H18:H19" ca="1" si="4">IF(OR(D18="MDU",D18="MDU-KD"),(IF($O$3="RAB NON MDU","PLN KD",G18*F18)),0)</f>
        <v>0</v>
      </c>
      <c r="I18" s="284">
        <f t="shared" ref="I18:I19" ca="1" si="5">IF(D18="HDW",G18*F18,0)</f>
        <v>0</v>
      </c>
      <c r="J18" s="284">
        <f t="shared" ref="J18:J19" ca="1" si="6">IF(D18="JASA",G18*F18,0)</f>
        <v>0</v>
      </c>
      <c r="K18" s="285">
        <f t="shared" ref="K18:K19" ca="1" si="7">SUM(H18:J18)</f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79"/>
      <c r="C19" s="496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289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7"/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79"/>
      <c r="C20" s="109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289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479"/>
      <c r="C21" s="496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289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ref="H21:H22" ca="1" si="8">IF(OR(D21="MDU",D21="MDU-KD"),(IF($O$3="RAB NON MDU","PLN KD",G21*F21)),0)</f>
        <v>0</v>
      </c>
      <c r="I21" s="284">
        <f t="shared" ref="I21:I22" ca="1" si="9">IF(D21="HDW",G21*F21,0)</f>
        <v>0</v>
      </c>
      <c r="J21" s="284">
        <f t="shared" ref="J21:J22" ca="1" si="10">IF(D21="JASA",G21*F21,0)</f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8" t="s">
        <v>495</v>
      </c>
      <c r="C22" s="280" t="s">
        <v>1577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3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8"/>
        <v>0</v>
      </c>
      <c r="I22" s="284">
        <f t="shared" ca="1" si="9"/>
        <v>0</v>
      </c>
      <c r="J22" s="284">
        <f t="shared" ca="1" si="10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/>
      <c r="B23" s="479"/>
      <c r="C23" s="496"/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393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ref="H23:H62" ca="1" si="11">IF(OR(D23="MDU",D23="MDU-KD"),(IF($O$3="RAB NON MDU","PLN KD",G23*F23)),0)</f>
        <v>0</v>
      </c>
      <c r="I23" s="284">
        <f t="shared" ref="I23:I62" ca="1" si="12">IF(D23="HDW",G23*F23,0)</f>
        <v>0</v>
      </c>
      <c r="J23" s="284">
        <f t="shared" ref="J23:J62" ca="1" si="13">IF(D23="JASA",G23*F23,0)</f>
        <v>0</v>
      </c>
      <c r="K23" s="285">
        <f t="shared" ref="K23:K62" ca="1" si="14">SUM(H23:J23)</f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 t="e">
        <f>IF(AND(C24=0,#REF!=0,#REF!=0),"BLANKS",1)</f>
        <v>#REF!</v>
      </c>
      <c r="B24" s="509" t="s">
        <v>1005</v>
      </c>
      <c r="C24" s="508" t="s">
        <v>1659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23">
        <v>1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11"/>
        <v>0</v>
      </c>
      <c r="I24" s="284">
        <f t="shared" ca="1" si="12"/>
        <v>0</v>
      </c>
      <c r="J24" s="284">
        <f t="shared" ca="1" si="13"/>
        <v>0</v>
      </c>
      <c r="K24" s="285">
        <f t="shared" ca="1" si="14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IF(AND(C25=0,C26=0,#REF!=0),"BLANKS",1)</f>
        <v>#REF!</v>
      </c>
      <c r="B25" s="509">
        <v>1</v>
      </c>
      <c r="C25" s="508" t="s">
        <v>522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507">
        <f>F24*1</f>
        <v>1</v>
      </c>
      <c r="G25" s="283">
        <f ca="1">IF(ISERROR(OFFSET('HARGA SATUAN'!$I$6,MATCH(RAB!C25,'HARGA SATUAN'!$C$7:$C$1492,0),0)),0,OFFSET('HARGA SATUAN'!$I$6,MATCH(RAB!C25,'HARGA SATUAN'!$C$7:$C$1492,0),0))</f>
        <v>27845400</v>
      </c>
      <c r="H25" s="284">
        <f t="shared" ca="1" si="11"/>
        <v>27845400</v>
      </c>
      <c r="I25" s="284">
        <f t="shared" ca="1" si="12"/>
        <v>0</v>
      </c>
      <c r="J25" s="284">
        <f t="shared" ca="1" si="13"/>
        <v>0</v>
      </c>
      <c r="K25" s="285">
        <f t="shared" ca="1" si="14"/>
        <v>27845400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 t="e">
        <f>IF(AND(C26=0,#REF!=0,#REF!=0),"BLANKS",1)</f>
        <v>#REF!</v>
      </c>
      <c r="B26" s="509">
        <v>2</v>
      </c>
      <c r="C26" s="508" t="s">
        <v>1513</v>
      </c>
      <c r="D26" s="281" t="str">
        <f ca="1">IF(ISERROR(OFFSET('HARGA SATUAN'!$D$6,MATCH(RAB!C26,'HARGA SATUAN'!$C$7:$C$1492,0),0)),"",OFFSET('HARGA SATUAN'!$D$6,MATCH(RAB!C26,'HARGA SATUAN'!$C$7:$C$1492,0),0))</f>
        <v/>
      </c>
      <c r="E26" s="282" t="str">
        <f ca="1">IF(B26="+","Unit",IF(ISERROR(OFFSET('HARGA SATUAN'!$E$6,MATCH(RAB!C26,'HARGA SATUAN'!$C$7:$C$1492,0),0)),"",OFFSET('HARGA SATUAN'!$E$6,MATCH(RAB!C26,'HARGA SATUAN'!$C$7:$C$1492,0),0)))</f>
        <v/>
      </c>
      <c r="F26" s="507"/>
      <c r="G26" s="283">
        <f ca="1">IF(ISERROR(OFFSET('HARGA SATUAN'!$I$6,MATCH(RAB!C26,'HARGA SATUAN'!$C$7:$C$1492,0),0)),0,OFFSET('HARGA SATUAN'!$I$6,MATCH(RAB!C26,'HARGA SATUAN'!$C$7:$C$1492,0),0))</f>
        <v>0</v>
      </c>
      <c r="H26" s="284">
        <f t="shared" ca="1" si="11"/>
        <v>0</v>
      </c>
      <c r="I26" s="284">
        <f t="shared" ca="1" si="12"/>
        <v>0</v>
      </c>
      <c r="J26" s="284">
        <f t="shared" ca="1" si="13"/>
        <v>0</v>
      </c>
      <c r="K26" s="285">
        <f t="shared" ca="1" si="14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>
        <f t="shared" ref="A27:A29" si="15">IF(AND(C27=0,C28=0,C29=0),"BLANKS",1)</f>
        <v>1</v>
      </c>
      <c r="B27" s="509"/>
      <c r="C27" s="508" t="s">
        <v>55</v>
      </c>
      <c r="D27" s="281" t="str">
        <f ca="1">IF(ISERROR(OFFSET('HARGA SATUAN'!$D$6,MATCH(RAB!C27,'HARGA SATUAN'!$C$7:$C$1492,0),0)),"",OFFSET('HARGA SATUAN'!$D$6,MATCH(RAB!C27,'HARGA SATUAN'!$C$7:$C$1492,0),0))</f>
        <v>MDU-KD</v>
      </c>
      <c r="E27" s="282" t="str">
        <f ca="1">IF(B27="+","Unit",IF(ISERROR(OFFSET('HARGA SATUAN'!$E$6,MATCH(RAB!C27,'HARGA SATUAN'!$C$7:$C$1492,0),0)),"",OFFSET('HARGA SATUAN'!$E$6,MATCH(RAB!C27,'HARGA SATUAN'!$C$7:$C$1492,0),0)))</f>
        <v>Mtr</v>
      </c>
      <c r="F27" s="507">
        <f>F24*2</f>
        <v>2</v>
      </c>
      <c r="G27" s="283">
        <f ca="1">IF(ISERROR(OFFSET('HARGA SATUAN'!$I$6,MATCH(RAB!C27,'HARGA SATUAN'!$C$7:$C$1492,0),0)),0,OFFSET('HARGA SATUAN'!$I$6,MATCH(RAB!C27,'HARGA SATUAN'!$C$7:$C$1492,0),0))</f>
        <v>14200</v>
      </c>
      <c r="H27" s="284">
        <f t="shared" ref="H27:H35" ca="1" si="16">IF(OR(D27="MDU",D27="MDU-KD"),(IF($O$3="RAB NON MDU","PLN KD",G27*F27)),0)</f>
        <v>28400</v>
      </c>
      <c r="I27" s="284">
        <f t="shared" ref="I27:I35" ca="1" si="17">IF(D27="HDW",G27*F27,0)</f>
        <v>0</v>
      </c>
      <c r="J27" s="284">
        <f t="shared" ref="J27:J35" ca="1" si="18">IF(D27="JASA",G27*F27,0)</f>
        <v>0</v>
      </c>
      <c r="K27" s="285">
        <f t="shared" ref="K27:K35" ca="1" si="19">SUM(H27:J27)</f>
        <v>28400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>
        <f t="shared" si="15"/>
        <v>1</v>
      </c>
      <c r="B28" s="509"/>
      <c r="C28" s="508" t="s">
        <v>1660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507">
        <f>F24*2</f>
        <v>2</v>
      </c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16"/>
        <v>0</v>
      </c>
      <c r="I28" s="284">
        <f t="shared" ca="1" si="17"/>
        <v>0</v>
      </c>
      <c r="J28" s="284">
        <f t="shared" ca="1" si="18"/>
        <v>0</v>
      </c>
      <c r="K28" s="285">
        <f t="shared" ca="1" si="19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si="15"/>
        <v>1</v>
      </c>
      <c r="B29" s="509">
        <v>3</v>
      </c>
      <c r="C29" s="508" t="s">
        <v>197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507">
        <f>F24*1</f>
        <v>1</v>
      </c>
      <c r="G29" s="283">
        <f ca="1">IF(ISERROR(OFFSET('HARGA SATUAN'!$I$6,MATCH(RAB!C29,'HARGA SATUAN'!$C$7:$C$1492,0),0)),0,OFFSET('HARGA SATUAN'!$I$6,MATCH(RAB!C29,'HARGA SATUAN'!$C$7:$C$1492,0),0))</f>
        <v>87000</v>
      </c>
      <c r="H29" s="284">
        <f t="shared" ca="1" si="16"/>
        <v>0</v>
      </c>
      <c r="I29" s="284">
        <f t="shared" ca="1" si="17"/>
        <v>87000</v>
      </c>
      <c r="J29" s="284">
        <f t="shared" ca="1" si="18"/>
        <v>0</v>
      </c>
      <c r="K29" s="285">
        <f t="shared" ca="1" si="19"/>
        <v>87000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30">
      <c r="A30" s="259" t="e">
        <f>IF(AND(C30=0,C31=0,#REF!=0),"BLANKS",1)</f>
        <v>#REF!</v>
      </c>
      <c r="B30" s="509">
        <v>4</v>
      </c>
      <c r="C30" s="508" t="s">
        <v>166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507">
        <f>F24*2</f>
        <v>2</v>
      </c>
      <c r="G30" s="283">
        <f ca="1">IF(ISERROR(OFFSET('HARGA SATUAN'!$I$6,MATCH(RAB!C30,'HARGA SATUAN'!$C$7:$C$1492,0),0)),0,OFFSET('HARGA SATUAN'!$I$6,MATCH(RAB!C30,'HARGA SATUAN'!$C$7:$C$1492,0),0))</f>
        <v>404600</v>
      </c>
      <c r="H30" s="284">
        <f t="shared" ca="1" si="16"/>
        <v>0</v>
      </c>
      <c r="I30" s="284">
        <f t="shared" ca="1" si="17"/>
        <v>809200</v>
      </c>
      <c r="J30" s="284">
        <f t="shared" ca="1" si="18"/>
        <v>0</v>
      </c>
      <c r="K30" s="285">
        <f t="shared" ca="1" si="19"/>
        <v>809200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509">
        <v>5</v>
      </c>
      <c r="C31" s="508" t="s">
        <v>174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507">
        <f>F24*3</f>
        <v>3</v>
      </c>
      <c r="G31" s="283">
        <f ca="1">IF(ISERROR(OFFSET('HARGA SATUAN'!$I$6,MATCH(RAB!C31,'HARGA SATUAN'!$C$7:$C$1492,0),0)),0,OFFSET('HARGA SATUAN'!$I$6,MATCH(RAB!C31,'HARGA SATUAN'!$C$7:$C$1492,0),0))</f>
        <v>15900</v>
      </c>
      <c r="H31" s="284">
        <f t="shared" ca="1" si="16"/>
        <v>0</v>
      </c>
      <c r="I31" s="284">
        <f t="shared" ca="1" si="17"/>
        <v>47700</v>
      </c>
      <c r="J31" s="284">
        <f t="shared" ca="1" si="18"/>
        <v>0</v>
      </c>
      <c r="K31" s="285">
        <f t="shared" ca="1" si="19"/>
        <v>47700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>
        <f t="shared" ref="A32:A34" si="20">IF(AND(C32=0,C33=0,C34=0),"BLANKS",1)</f>
        <v>1</v>
      </c>
      <c r="B32" s="509">
        <v>6</v>
      </c>
      <c r="C32" s="508" t="s">
        <v>177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507">
        <f>F24*2</f>
        <v>2</v>
      </c>
      <c r="G32" s="283">
        <f ca="1">IF(ISERROR(OFFSET('HARGA SATUAN'!$I$6,MATCH(RAB!C32,'HARGA SATUAN'!$C$7:$C$1492,0),0)),0,OFFSET('HARGA SATUAN'!$I$6,MATCH(RAB!C32,'HARGA SATUAN'!$C$7:$C$1492,0),0))</f>
        <v>17100</v>
      </c>
      <c r="H32" s="284">
        <f t="shared" ca="1" si="16"/>
        <v>0</v>
      </c>
      <c r="I32" s="284">
        <f t="shared" ca="1" si="17"/>
        <v>34200</v>
      </c>
      <c r="J32" s="284">
        <f t="shared" ca="1" si="18"/>
        <v>0</v>
      </c>
      <c r="K32" s="285">
        <f t="shared" ca="1" si="19"/>
        <v>34200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>
        <f t="shared" si="20"/>
        <v>1</v>
      </c>
      <c r="B33" s="509">
        <v>7</v>
      </c>
      <c r="C33" s="508" t="s">
        <v>1661</v>
      </c>
      <c r="D33" s="281" t="str">
        <f ca="1">IF(ISERROR(OFFSET('HARGA SATUAN'!$D$6,MATCH(RAB!C33,'HARGA SATUAN'!$C$7:$C$1492,0),0)),"",OFFSET('HARGA SATUAN'!$D$6,MATCH(RAB!C33,'HARGA SATUAN'!$C$7:$C$1492,0),0))</f>
        <v/>
      </c>
      <c r="E33" s="282" t="str">
        <f ca="1">IF(B33="+","Unit",IF(ISERROR(OFFSET('HARGA SATUAN'!$E$6,MATCH(RAB!C33,'HARGA SATUAN'!$C$7:$C$1492,0),0)),"",OFFSET('HARGA SATUAN'!$E$6,MATCH(RAB!C33,'HARGA SATUAN'!$C$7:$C$1492,0),0)))</f>
        <v/>
      </c>
      <c r="F33" s="507">
        <f>F24*4</f>
        <v>4</v>
      </c>
      <c r="G33" s="283">
        <f ca="1">IF(ISERROR(OFFSET('HARGA SATUAN'!$I$6,MATCH(RAB!C33,'HARGA SATUAN'!$C$7:$C$1492,0),0)),0,OFFSET('HARGA SATUAN'!$I$6,MATCH(RAB!C33,'HARGA SATUAN'!$C$7:$C$1492,0),0))</f>
        <v>0</v>
      </c>
      <c r="H33" s="284">
        <f t="shared" ca="1" si="16"/>
        <v>0</v>
      </c>
      <c r="I33" s="284">
        <f t="shared" ca="1" si="17"/>
        <v>0</v>
      </c>
      <c r="J33" s="284">
        <f t="shared" ca="1" si="18"/>
        <v>0</v>
      </c>
      <c r="K33" s="285">
        <f t="shared" ca="1" si="19"/>
        <v>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>
        <f t="shared" si="20"/>
        <v>1</v>
      </c>
      <c r="B34" s="509">
        <v>8</v>
      </c>
      <c r="C34" s="508" t="s">
        <v>139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Set</v>
      </c>
      <c r="F34" s="507">
        <f>F24*1</f>
        <v>1</v>
      </c>
      <c r="G34" s="283">
        <f ca="1">IF(ISERROR(OFFSET('HARGA SATUAN'!$I$6,MATCH(RAB!C34,'HARGA SATUAN'!$C$7:$C$1492,0),0)),0,OFFSET('HARGA SATUAN'!$I$6,MATCH(RAB!C34,'HARGA SATUAN'!$C$7:$C$1492,0),0))</f>
        <v>67800</v>
      </c>
      <c r="H34" s="284">
        <f t="shared" ca="1" si="16"/>
        <v>0</v>
      </c>
      <c r="I34" s="284">
        <f t="shared" ca="1" si="17"/>
        <v>67800</v>
      </c>
      <c r="J34" s="284">
        <f t="shared" ca="1" si="18"/>
        <v>0</v>
      </c>
      <c r="K34" s="285">
        <f t="shared" ca="1" si="19"/>
        <v>67800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IF(AND(C35=0,C36=0,#REF!=0),"BLANKS",1)</f>
        <v>#REF!</v>
      </c>
      <c r="B35" s="509">
        <v>9</v>
      </c>
      <c r="C35" s="508" t="s">
        <v>22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Mtr</v>
      </c>
      <c r="F35" s="507">
        <f>F24*2</f>
        <v>2</v>
      </c>
      <c r="G35" s="283">
        <f ca="1">IF(ISERROR(OFFSET('HARGA SATUAN'!$I$6,MATCH(RAB!C35,'HARGA SATUAN'!$C$7:$C$1492,0),0)),0,OFFSET('HARGA SATUAN'!$I$6,MATCH(RAB!C35,'HARGA SATUAN'!$C$7:$C$1492,0),0))</f>
        <v>30000</v>
      </c>
      <c r="H35" s="284">
        <f t="shared" ca="1" si="16"/>
        <v>0</v>
      </c>
      <c r="I35" s="284">
        <f t="shared" ca="1" si="17"/>
        <v>60000</v>
      </c>
      <c r="J35" s="284">
        <f t="shared" ca="1" si="18"/>
        <v>0</v>
      </c>
      <c r="K35" s="285">
        <f t="shared" ca="1" si="19"/>
        <v>60000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/>
      <c r="B36" s="509">
        <v>10</v>
      </c>
      <c r="C36" s="508" t="s">
        <v>771</v>
      </c>
      <c r="D36" s="281" t="str">
        <f ca="1">IF(ISERROR(OFFSET('HARGA SATUAN'!$D$6,MATCH(RAB!C36,'HARGA SATUAN'!$C$7:$C$1492,0),0)),"",OFFSET('HARGA SATUAN'!$D$6,MATCH(RAB!C36,'HARGA SATUAN'!$C$7:$C$1492,0),0))</f>
        <v>JASA</v>
      </c>
      <c r="E36" s="282" t="str">
        <f ca="1">IF(B36="+","Unit",IF(ISERROR(OFFSET('HARGA SATUAN'!$E$6,MATCH(RAB!C36,'HARGA SATUAN'!$C$7:$C$1492,0),0)),"",OFFSET('HARGA SATUAN'!$E$6,MATCH(RAB!C36,'HARGA SATUAN'!$C$7:$C$1492,0),0)))</f>
        <v>Unit</v>
      </c>
      <c r="F36" s="507">
        <f>F24*1</f>
        <v>1</v>
      </c>
      <c r="G36" s="283">
        <f ca="1">IF(ISERROR(OFFSET('HARGA SATUAN'!$I$6,MATCH(RAB!C36,'HARGA SATUAN'!$C$7:$C$1492,0),0)),0,OFFSET('HARGA SATUAN'!$I$6,MATCH(RAB!C36,'HARGA SATUAN'!$C$7:$C$1492,0),0))</f>
        <v>346400</v>
      </c>
      <c r="H36" s="284">
        <f t="shared" ca="1" si="11"/>
        <v>0</v>
      </c>
      <c r="I36" s="284">
        <f t="shared" ca="1" si="12"/>
        <v>0</v>
      </c>
      <c r="J36" s="284">
        <f t="shared" ca="1" si="13"/>
        <v>346400</v>
      </c>
      <c r="K36" s="285">
        <f t="shared" ca="1" si="14"/>
        <v>346400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IF(AND(C37=0,#REF!=0,#REF!=0),"BLANKS",1)</f>
        <v>#REF!</v>
      </c>
      <c r="B37" s="509"/>
      <c r="C37" s="508"/>
      <c r="D37" s="281" t="str">
        <f ca="1">IF(ISERROR(OFFSET('HARGA SATUAN'!$D$6,MATCH(RAB!C37,'HARGA SATUAN'!$C$7:$C$1492,0),0)),"",OFFSET('HARGA SATUAN'!$D$6,MATCH(RAB!C37,'HARGA SATUAN'!$C$7:$C$1492,0),0))</f>
        <v/>
      </c>
      <c r="E37" s="282" t="str">
        <f ca="1">IF(B37="+","Unit",IF(ISERROR(OFFSET('HARGA SATUAN'!$E$6,MATCH(RAB!C37,'HARGA SATUAN'!$C$7:$C$1492,0),0)),"",OFFSET('HARGA SATUAN'!$E$6,MATCH(RAB!C37,'HARGA SATUAN'!$C$7:$C$1492,0),0)))</f>
        <v/>
      </c>
      <c r="F37" s="510"/>
      <c r="G37" s="283">
        <f ca="1">IF(ISERROR(OFFSET('HARGA SATUAN'!$I$6,MATCH(RAB!C37,'HARGA SATUAN'!$C$7:$C$1492,0),0)),0,OFFSET('HARGA SATUAN'!$I$6,MATCH(RAB!C37,'HARGA SATUAN'!$C$7:$C$1492,0),0))</f>
        <v>0</v>
      </c>
      <c r="H37" s="284">
        <f t="shared" ca="1" si="11"/>
        <v>0</v>
      </c>
      <c r="I37" s="284">
        <f t="shared" ca="1" si="12"/>
        <v>0</v>
      </c>
      <c r="J37" s="284">
        <f t="shared" ca="1" si="13"/>
        <v>0</v>
      </c>
      <c r="K37" s="285">
        <f t="shared" ca="1" si="14"/>
        <v>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IF(AND(#REF!=0,#REF!=0,#REF!=0),"BLANKS",1)</f>
        <v>#REF!</v>
      </c>
      <c r="B38" s="497"/>
      <c r="C38" s="498"/>
      <c r="D38" s="281" t="str">
        <f ca="1">IF(ISERROR(OFFSET('HARGA SATUAN'!$D$6,MATCH(RAB!C38,'HARGA SATUAN'!$C$7:$C$1492,0),0)),"",OFFSET('HARGA SATUAN'!$D$6,MATCH(RAB!C38,'HARGA SATUAN'!$C$7:$C$1492,0),0))</f>
        <v/>
      </c>
      <c r="E38" s="282" t="str">
        <f ca="1">IF(B38="+","Unit",IF(ISERROR(OFFSET('HARGA SATUAN'!$E$6,MATCH(RAB!C38,'HARGA SATUAN'!$C$7:$C$1492,0),0)),"",OFFSET('HARGA SATUAN'!$E$6,MATCH(RAB!C38,'HARGA SATUAN'!$C$7:$C$1492,0),0)))</f>
        <v/>
      </c>
      <c r="F38" s="506"/>
      <c r="G38" s="283">
        <f ca="1">IF(ISERROR(OFFSET('HARGA SATUAN'!$I$6,MATCH(RAB!C38,'HARGA SATUAN'!$C$7:$C$1492,0),0)),0,OFFSET('HARGA SATUAN'!$I$6,MATCH(RAB!C38,'HARGA SATUAN'!$C$7:$C$1492,0),0))</f>
        <v>0</v>
      </c>
      <c r="H38" s="284">
        <f t="shared" ref="H38:H42" ca="1" si="21">IF(OR(D38="MDU",D38="MDU-KD"),(IF($O$3="RAB NON MDU","PLN KD",G38*F38)),0)</f>
        <v>0</v>
      </c>
      <c r="I38" s="284">
        <f t="shared" ref="I38:I42" ca="1" si="22">IF(D38="HDW",G38*F38,0)</f>
        <v>0</v>
      </c>
      <c r="J38" s="284">
        <f t="shared" ref="J38:J42" ca="1" si="23">IF(D38="JASA",G38*F38,0)</f>
        <v>0</v>
      </c>
      <c r="K38" s="285">
        <f t="shared" ref="K38:K42" ca="1" si="24">SUM(H38:J38)</f>
        <v>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IF(AND(#REF!=0,#REF!=0,#REF!=0),"BLANKS",1)</f>
        <v>#REF!</v>
      </c>
      <c r="B39" s="497"/>
      <c r="C39" s="498"/>
      <c r="D39" s="281" t="str">
        <f ca="1">IF(ISERROR(OFFSET('HARGA SATUAN'!$D$6,MATCH(RAB!C39,'HARGA SATUAN'!$C$7:$C$1492,0),0)),"",OFFSET('HARGA SATUAN'!$D$6,MATCH(RAB!C39,'HARGA SATUAN'!$C$7:$C$1492,0),0))</f>
        <v/>
      </c>
      <c r="E39" s="282" t="str">
        <f ca="1">IF(B39="+","Unit",IF(ISERROR(OFFSET('HARGA SATUAN'!$E$6,MATCH(RAB!C39,'HARGA SATUAN'!$C$7:$C$1492,0),0)),"",OFFSET('HARGA SATUAN'!$E$6,MATCH(RAB!C39,'HARGA SATUAN'!$C$7:$C$1492,0),0)))</f>
        <v/>
      </c>
      <c r="F39" s="506"/>
      <c r="G39" s="283">
        <f ca="1">IF(ISERROR(OFFSET('HARGA SATUAN'!$I$6,MATCH(RAB!C39,'HARGA SATUAN'!$C$7:$C$1492,0),0)),0,OFFSET('HARGA SATUAN'!$I$6,MATCH(RAB!C39,'HARGA SATUAN'!$C$7:$C$1492,0),0))</f>
        <v>0</v>
      </c>
      <c r="H39" s="284">
        <f t="shared" ca="1" si="21"/>
        <v>0</v>
      </c>
      <c r="I39" s="284">
        <f t="shared" ca="1" si="22"/>
        <v>0</v>
      </c>
      <c r="J39" s="284">
        <f t="shared" ca="1" si="23"/>
        <v>0</v>
      </c>
      <c r="K39" s="285">
        <f t="shared" ca="1" si="24"/>
        <v>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e">
        <f>IF(AND(#REF!=0,C73=0,C74=0),"BLANKS",1)</f>
        <v>#REF!</v>
      </c>
      <c r="B40" s="497" t="s">
        <v>1005</v>
      </c>
      <c r="C40" s="498" t="s">
        <v>1514</v>
      </c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>Unit</v>
      </c>
      <c r="F40" s="506">
        <v>2</v>
      </c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21"/>
        <v>0</v>
      </c>
      <c r="I40" s="284">
        <f t="shared" ca="1" si="22"/>
        <v>0</v>
      </c>
      <c r="J40" s="284">
        <f t="shared" ca="1" si="23"/>
        <v>0</v>
      </c>
      <c r="K40" s="285">
        <f t="shared" ca="1" si="24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IF(AND(#REF!=0,C65=0,C66=0),"BLANKS",1)</f>
        <v>#REF!</v>
      </c>
      <c r="B41" s="497">
        <v>1</v>
      </c>
      <c r="C41" s="498" t="s">
        <v>19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06">
        <f>F40*1</f>
        <v>2</v>
      </c>
      <c r="G41" s="283">
        <f ca="1">IF(ISERROR(OFFSET('HARGA SATUAN'!$I$6,MATCH(RAB!C41,'HARGA SATUAN'!$C$7:$C$1492,0),0)),0,OFFSET('HARGA SATUAN'!$I$6,MATCH(RAB!C41,'HARGA SATUAN'!$C$7:$C$1492,0),0))</f>
        <v>185200</v>
      </c>
      <c r="H41" s="284">
        <f t="shared" ca="1" si="21"/>
        <v>0</v>
      </c>
      <c r="I41" s="284">
        <f t="shared" ca="1" si="22"/>
        <v>370400</v>
      </c>
      <c r="J41" s="284">
        <f t="shared" ca="1" si="23"/>
        <v>0</v>
      </c>
      <c r="K41" s="285">
        <f t="shared" ca="1" si="24"/>
        <v>370400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IF(AND(#REF!=0,#REF!=0,#REF!=0),"BLANKS",1)</f>
        <v>#REF!</v>
      </c>
      <c r="B42" s="497">
        <v>2</v>
      </c>
      <c r="C42" s="498" t="s">
        <v>20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506">
        <f>F40*1</f>
        <v>2</v>
      </c>
      <c r="G42" s="283">
        <f ca="1">IF(ISERROR(OFFSET('HARGA SATUAN'!$I$6,MATCH(RAB!C42,'HARGA SATUAN'!$C$7:$C$1492,0),0)),0,OFFSET('HARGA SATUAN'!$I$6,MATCH(RAB!C42,'HARGA SATUAN'!$C$7:$C$1492,0),0))</f>
        <v>47459</v>
      </c>
      <c r="H42" s="284">
        <f t="shared" ca="1" si="21"/>
        <v>0</v>
      </c>
      <c r="I42" s="284">
        <f t="shared" ca="1" si="22"/>
        <v>94918</v>
      </c>
      <c r="J42" s="284">
        <f t="shared" ca="1" si="23"/>
        <v>0</v>
      </c>
      <c r="K42" s="285">
        <f t="shared" ca="1" si="24"/>
        <v>94918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/>
      <c r="B43" s="497">
        <v>3</v>
      </c>
      <c r="C43" s="498" t="s">
        <v>21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506">
        <f>F40*1</f>
        <v>2</v>
      </c>
      <c r="G43" s="283">
        <f ca="1">IF(ISERROR(OFFSET('HARGA SATUAN'!$I$6,MATCH(RAB!C43,'HARGA SATUAN'!$C$7:$C$1492,0),0)),0,OFFSET('HARGA SATUAN'!$I$6,MATCH(RAB!C43,'HARGA SATUAN'!$C$7:$C$1492,0),0))</f>
        <v>4880</v>
      </c>
      <c r="H43" s="284"/>
      <c r="I43" s="284"/>
      <c r="J43" s="284"/>
      <c r="K43" s="285"/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IF(AND(#REF!=0,#REF!=0,#REF!=0),"BLANKS",1)</f>
        <v>#REF!</v>
      </c>
      <c r="B44" s="497">
        <v>4</v>
      </c>
      <c r="C44" s="498" t="s">
        <v>22</v>
      </c>
      <c r="D44" s="281" t="str">
        <f ca="1">IF(ISERROR(OFFSET('HARGA SATUAN'!$D$6,MATCH(RAB!C44,'HARGA SATUAN'!$C$7:$C$1492,0),0)),"",OFFSET('HARGA SATUAN'!$D$6,MATCH(RAB!C44,'HARGA SATUAN'!$C$7:$C$1492,0),0))</f>
        <v>HDW</v>
      </c>
      <c r="E44" s="282" t="str">
        <f ca="1">IF(B44="+","Unit",IF(ISERROR(OFFSET('HARGA SATUAN'!$E$6,MATCH(RAB!C44,'HARGA SATUAN'!$C$7:$C$1492,0),0)),"",OFFSET('HARGA SATUAN'!$E$6,MATCH(RAB!C44,'HARGA SATUAN'!$C$7:$C$1492,0),0)))</f>
        <v>Mtr</v>
      </c>
      <c r="F44" s="506">
        <f>F40*10</f>
        <v>20</v>
      </c>
      <c r="G44" s="283">
        <f ca="1">IF(ISERROR(OFFSET('HARGA SATUAN'!$I$6,MATCH(RAB!C44,'HARGA SATUAN'!$C$7:$C$1492,0),0)),0,OFFSET('HARGA SATUAN'!$I$6,MATCH(RAB!C44,'HARGA SATUAN'!$C$7:$C$1492,0),0))</f>
        <v>30000</v>
      </c>
      <c r="H44" s="284">
        <f t="shared" ref="H44:H50" ca="1" si="25">IF(OR(D44="MDU",D44="MDU-KD"),(IF($O$3="RAB NON MDU","PLN KD",G44*F44)),0)</f>
        <v>0</v>
      </c>
      <c r="I44" s="284">
        <f t="shared" ref="I44:I50" ca="1" si="26">IF(D44="HDW",G44*F44,0)</f>
        <v>600000</v>
      </c>
      <c r="J44" s="284">
        <f t="shared" ref="J44:J50" ca="1" si="27">IF(D44="JASA",G44*F44,0)</f>
        <v>0</v>
      </c>
      <c r="K44" s="285">
        <f t="shared" ref="K44:K50" ca="1" si="28">SUM(H44:J44)</f>
        <v>600000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IF(AND(#REF!=0,#REF!=0,#REF!=0),"BLANKS",1)</f>
        <v>#REF!</v>
      </c>
      <c r="B45" s="497">
        <v>5</v>
      </c>
      <c r="C45" s="498" t="s">
        <v>23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506">
        <f>F40*2</f>
        <v>4</v>
      </c>
      <c r="G45" s="283">
        <f ca="1">IF(ISERROR(OFFSET('HARGA SATUAN'!$I$6,MATCH(RAB!C45,'HARGA SATUAN'!$C$7:$C$1492,0),0)),0,OFFSET('HARGA SATUAN'!$I$6,MATCH(RAB!C45,'HARGA SATUAN'!$C$7:$C$1492,0),0))</f>
        <v>9500</v>
      </c>
      <c r="H45" s="284">
        <f t="shared" ca="1" si="25"/>
        <v>0</v>
      </c>
      <c r="I45" s="284">
        <f t="shared" ca="1" si="26"/>
        <v>38000</v>
      </c>
      <c r="J45" s="284">
        <f t="shared" ca="1" si="27"/>
        <v>0</v>
      </c>
      <c r="K45" s="285">
        <f t="shared" ca="1" si="28"/>
        <v>38000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IF(AND(#REF!=0,#REF!=0,#REF!=0),"BLANKS",1)</f>
        <v>#REF!</v>
      </c>
      <c r="B46" s="497">
        <v>6</v>
      </c>
      <c r="C46" s="498" t="s">
        <v>24</v>
      </c>
      <c r="D46" s="281" t="str">
        <f ca="1">IF(ISERROR(OFFSET('HARGA SATUAN'!$D$6,MATCH(RAB!C46,'HARGA SATUAN'!$C$7:$C$1492,0),0)),"",OFFSET('HARGA SATUAN'!$D$6,MATCH(RAB!C46,'HARGA SATUAN'!$C$7:$C$1492,0),0))</f>
        <v>HDW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F40*5.5</f>
        <v>11</v>
      </c>
      <c r="G46" s="283">
        <f ca="1">IF(ISERROR(OFFSET('HARGA SATUAN'!$I$6,MATCH(RAB!C46,'HARGA SATUAN'!$C$7:$C$1492,0),0)),0,OFFSET('HARGA SATUAN'!$I$6,MATCH(RAB!C46,'HARGA SATUAN'!$C$7:$C$1492,0),0))</f>
        <v>6100</v>
      </c>
      <c r="H46" s="284">
        <f t="shared" ca="1" si="25"/>
        <v>0</v>
      </c>
      <c r="I46" s="284">
        <f t="shared" ca="1" si="26"/>
        <v>67100</v>
      </c>
      <c r="J46" s="284">
        <f t="shared" ca="1" si="27"/>
        <v>0</v>
      </c>
      <c r="K46" s="285">
        <f t="shared" ca="1" si="28"/>
        <v>67100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 t="e">
        <f>IF(AND(#REF!=0,#REF!=0,#REF!=0),"BLANKS",1)</f>
        <v>#REF!</v>
      </c>
      <c r="B47" s="497">
        <v>7</v>
      </c>
      <c r="C47" s="498" t="s">
        <v>25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506">
        <f>F40*6</f>
        <v>12</v>
      </c>
      <c r="G47" s="283">
        <f ca="1">IF(ISERROR(OFFSET('HARGA SATUAN'!$I$6,MATCH(RAB!C47,'HARGA SATUAN'!$C$7:$C$1492,0),0)),0,OFFSET('HARGA SATUAN'!$I$6,MATCH(RAB!C47,'HARGA SATUAN'!$C$7:$C$1492,0),0))</f>
        <v>2300</v>
      </c>
      <c r="H47" s="284">
        <f t="shared" ca="1" si="25"/>
        <v>0</v>
      </c>
      <c r="I47" s="284">
        <f t="shared" ca="1" si="26"/>
        <v>27600</v>
      </c>
      <c r="J47" s="284">
        <f t="shared" ca="1" si="27"/>
        <v>0</v>
      </c>
      <c r="K47" s="285">
        <f t="shared" ca="1" si="28"/>
        <v>27600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 t="e">
        <f>IF(AND(#REF!=0,#REF!=0,#REF!=0),"BLANKS",1)</f>
        <v>#REF!</v>
      </c>
      <c r="B48" s="497">
        <v>8</v>
      </c>
      <c r="C48" s="498" t="s">
        <v>1515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Mtr</v>
      </c>
      <c r="F48" s="506">
        <f>F40*4.8</f>
        <v>9.6</v>
      </c>
      <c r="G48" s="283">
        <f ca="1">IF(ISERROR(OFFSET('HARGA SATUAN'!$I$6,MATCH(RAB!C48,'HARGA SATUAN'!$C$7:$C$1492,0),0)),0,OFFSET('HARGA SATUAN'!$I$6,MATCH(RAB!C48,'HARGA SATUAN'!$C$7:$C$1492,0),0))</f>
        <v>23310</v>
      </c>
      <c r="H48" s="284">
        <f t="shared" ca="1" si="25"/>
        <v>0</v>
      </c>
      <c r="I48" s="284">
        <f t="shared" ca="1" si="26"/>
        <v>223776</v>
      </c>
      <c r="J48" s="284">
        <f t="shared" ca="1" si="27"/>
        <v>0</v>
      </c>
      <c r="K48" s="285">
        <f t="shared" ca="1" si="28"/>
        <v>223776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IF(AND(#REF!=0,#REF!=0,#REF!=0),"BLANKS",1)</f>
        <v>#REF!</v>
      </c>
      <c r="B49" s="497">
        <v>9</v>
      </c>
      <c r="C49" s="498" t="s">
        <v>726</v>
      </c>
      <c r="D49" s="281" t="str">
        <f ca="1">IF(ISERROR(OFFSET('HARGA SATUAN'!$D$6,MATCH(RAB!C49,'HARGA SATUAN'!$C$7:$C$1492,0),0)),"",OFFSET('HARGA SATUAN'!$D$6,MATCH(RAB!C49,'HARGA SATUAN'!$C$7:$C$1492,0),0))</f>
        <v>JASA</v>
      </c>
      <c r="E49" s="282" t="str">
        <f ca="1">IF(B49="+","Unit",IF(ISERROR(OFFSET('HARGA SATUAN'!$E$6,MATCH(RAB!C49,'HARGA SATUAN'!$C$7:$C$1492,0),0)),"",OFFSET('HARGA SATUAN'!$E$6,MATCH(RAB!C49,'HARGA SATUAN'!$C$7:$C$1492,0),0)))</f>
        <v>Unit</v>
      </c>
      <c r="F49" s="506">
        <f>F40*1</f>
        <v>2</v>
      </c>
      <c r="G49" s="283">
        <f ca="1">IF(ISERROR(OFFSET('HARGA SATUAN'!$I$6,MATCH(RAB!C49,'HARGA SATUAN'!$C$7:$C$1492,0),0)),0,OFFSET('HARGA SATUAN'!$I$6,MATCH(RAB!C49,'HARGA SATUAN'!$C$7:$C$1492,0),0))</f>
        <v>65400</v>
      </c>
      <c r="H49" s="284">
        <f t="shared" ca="1" si="25"/>
        <v>0</v>
      </c>
      <c r="I49" s="284">
        <f t="shared" ca="1" si="26"/>
        <v>0</v>
      </c>
      <c r="J49" s="284">
        <f t="shared" ca="1" si="27"/>
        <v>130800</v>
      </c>
      <c r="K49" s="285">
        <f t="shared" ca="1" si="28"/>
        <v>130800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 t="e">
        <f>IF(AND(#REF!=0,#REF!=0,#REF!=0),"BLANKS",1)</f>
        <v>#REF!</v>
      </c>
      <c r="B50" s="497"/>
      <c r="C50" s="498"/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/>
      </c>
      <c r="F50" s="506"/>
      <c r="G50" s="283">
        <f ca="1">IF(ISERROR(OFFSET('HARGA SATUAN'!$I$6,MATCH(RAB!C50,'HARGA SATUAN'!$C$7:$C$1492,0),0)),0,OFFSET('HARGA SATUAN'!$I$6,MATCH(RAB!C50,'HARGA SATUAN'!$C$7:$C$1492,0),0))</f>
        <v>0</v>
      </c>
      <c r="H50" s="284">
        <f t="shared" ca="1" si="25"/>
        <v>0</v>
      </c>
      <c r="I50" s="284">
        <f t="shared" ca="1" si="26"/>
        <v>0</v>
      </c>
      <c r="J50" s="284">
        <f t="shared" ca="1" si="27"/>
        <v>0</v>
      </c>
      <c r="K50" s="285">
        <f t="shared" ca="1" si="28"/>
        <v>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e">
        <f>IF(AND(#REF!=0,#REF!=0,#REF!=0),"BLANKS",1)</f>
        <v>#REF!</v>
      </c>
      <c r="B51" s="497"/>
      <c r="C51" s="499"/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501"/>
      <c r="G51" s="283">
        <f ca="1">IF(ISERROR(OFFSET('HARGA SATUAN'!$I$6,MATCH(RAB!C51,'HARGA SATUAN'!$C$7:$C$1492,0),0)),0,OFFSET('HARGA SATUAN'!$I$6,MATCH(RAB!C51,'HARGA SATUAN'!$C$7:$C$1492,0),0))</f>
        <v>0</v>
      </c>
      <c r="H51" s="284">
        <f t="shared" ref="H51" ca="1" si="29">IF(OR(D51="MDU",D51="MDU-KD"),(IF($O$3="RAB NON MDU","PLN KD",G51*F51)),0)</f>
        <v>0</v>
      </c>
      <c r="I51" s="284">
        <f t="shared" ref="I51" ca="1" si="30">IF(D51="HDW",G51*F51,0)</f>
        <v>0</v>
      </c>
      <c r="J51" s="284">
        <f t="shared" ref="J51" ca="1" si="31">IF(D51="JASA",G51*F51,0)</f>
        <v>0</v>
      </c>
      <c r="K51" s="285">
        <f t="shared" ref="K51" ca="1" si="32">SUM(H51:J51)</f>
        <v>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IF(AND(C52=0,C53=0,#REF!=0),"BLANKS",1)</f>
        <v>#REF!</v>
      </c>
      <c r="B52" s="509"/>
      <c r="C52" s="109"/>
      <c r="D52" s="281" t="str">
        <f ca="1">IF(ISERROR(OFFSET('HARGA SATUAN'!$D$6,MATCH(RAB!C52,'HARGA SATUAN'!$C$7:$C$1492,0),0)),"",OFFSET('HARGA SATUAN'!$D$6,MATCH(RAB!C52,'HARGA SATUAN'!$C$7:$C$1492,0),0))</f>
        <v/>
      </c>
      <c r="E52" s="282" t="str">
        <f ca="1">IF(B52="+","Unit",IF(ISERROR(OFFSET('HARGA SATUAN'!$E$6,MATCH(RAB!C52,'HARGA SATUAN'!$C$7:$C$1492,0),0)),"",OFFSET('HARGA SATUAN'!$E$6,MATCH(RAB!C52,'HARGA SATUAN'!$C$7:$C$1492,0),0)))</f>
        <v/>
      </c>
      <c r="F52" s="393"/>
      <c r="G52" s="283">
        <f ca="1">IF(ISERROR(OFFSET('HARGA SATUAN'!$I$6,MATCH(RAB!C52,'HARGA SATUAN'!$C$7:$C$1492,0),0)),0,OFFSET('HARGA SATUAN'!$I$6,MATCH(RAB!C52,'HARGA SATUAN'!$C$7:$C$1492,0),0))</f>
        <v>0</v>
      </c>
      <c r="H52" s="284">
        <f t="shared" ca="1" si="11"/>
        <v>0</v>
      </c>
      <c r="I52" s="284">
        <f t="shared" ca="1" si="12"/>
        <v>0</v>
      </c>
      <c r="J52" s="284">
        <f t="shared" ca="1" si="13"/>
        <v>0</v>
      </c>
      <c r="K52" s="285">
        <f t="shared" ca="1" si="14"/>
        <v>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28.5">
      <c r="A53" s="259" t="e">
        <f>IF(AND(C53=0,#REF!=0,#REF!=0),"BLANKS",1)</f>
        <v>#REF!</v>
      </c>
      <c r="B53" s="395" t="s">
        <v>514</v>
      </c>
      <c r="C53" s="396" t="s">
        <v>1578</v>
      </c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393"/>
      <c r="G53" s="283">
        <f ca="1">IF(ISERROR(OFFSET('HARGA SATUAN'!$I$6,MATCH(RAB!C53,'HARGA SATUAN'!$C$7:$C$1492,0),0)),0,OFFSET('HARGA SATUAN'!$I$6,MATCH(RAB!C53,'HARGA SATUAN'!$C$7:$C$1492,0),0))</f>
        <v>0</v>
      </c>
      <c r="H53" s="284">
        <f t="shared" ca="1" si="11"/>
        <v>0</v>
      </c>
      <c r="I53" s="284">
        <f t="shared" ca="1" si="12"/>
        <v>0</v>
      </c>
      <c r="J53" s="284">
        <f t="shared" ca="1" si="13"/>
        <v>0</v>
      </c>
      <c r="K53" s="285">
        <f t="shared" ca="1" si="14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s">
        <v>1413</v>
      </c>
      <c r="B54" s="293"/>
      <c r="C54" s="294"/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/>
      </c>
      <c r="F54" s="393"/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11"/>
        <v>0</v>
      </c>
      <c r="I54" s="284">
        <f t="shared" ca="1" si="12"/>
        <v>0</v>
      </c>
      <c r="J54" s="284">
        <f t="shared" ca="1" si="13"/>
        <v>0</v>
      </c>
      <c r="K54" s="285">
        <f t="shared" ca="1" si="14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293"/>
      <c r="C55" s="109"/>
      <c r="D55" s="281" t="str">
        <f ca="1">IF(ISERROR(OFFSET('HARGA SATUAN'!$D$6,MATCH(RAB!C55,'HARGA SATUAN'!$C$7:$C$1492,0),0)),"",OFFSET('HARGA SATUAN'!$D$6,MATCH(RAB!C55,'HARGA SATUAN'!$C$7:$C$1492,0),0))</f>
        <v/>
      </c>
      <c r="E55" s="282" t="str">
        <f ca="1">IF(B55="+","Unit",IF(ISERROR(OFFSET('HARGA SATUAN'!$E$6,MATCH(RAB!C55,'HARGA SATUAN'!$C$7:$C$1492,0),0)),"",OFFSET('HARGA SATUAN'!$E$6,MATCH(RAB!C55,'HARGA SATUAN'!$C$7:$C$1492,0),0)))</f>
        <v/>
      </c>
      <c r="F55" s="393"/>
      <c r="G55" s="283">
        <f ca="1">IF(ISERROR(OFFSET('HARGA SATUAN'!$I$6,MATCH(RAB!C55,'HARGA SATUAN'!$C$7:$C$1492,0),0)),0,OFFSET('HARGA SATUAN'!$I$6,MATCH(RAB!C55,'HARGA SATUAN'!$C$7:$C$1492,0),0))</f>
        <v>0</v>
      </c>
      <c r="H55" s="284">
        <f t="shared" ca="1" si="11"/>
        <v>0</v>
      </c>
      <c r="I55" s="284">
        <f t="shared" ca="1" si="12"/>
        <v>0</v>
      </c>
      <c r="J55" s="284">
        <f t="shared" ca="1" si="13"/>
        <v>0</v>
      </c>
      <c r="K55" s="285">
        <f t="shared" ca="1" si="14"/>
        <v>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s">
        <v>1413</v>
      </c>
      <c r="B56" s="293"/>
      <c r="C56" s="109"/>
      <c r="D56" s="281" t="str">
        <f ca="1">IF(ISERROR(OFFSET('HARGA SATUAN'!$D$6,MATCH(RAB!C56,'HARGA SATUAN'!$C$7:$C$1492,0),0)),"",OFFSET('HARGA SATUAN'!$D$6,MATCH(RAB!C56,'HARGA SATUAN'!$C$7:$C$1492,0),0))</f>
        <v/>
      </c>
      <c r="E56" s="282" t="str">
        <f ca="1">IF(B56="+","Unit",IF(ISERROR(OFFSET('HARGA SATUAN'!$E$6,MATCH(RAB!C56,'HARGA SATUAN'!$C$7:$C$1492,0),0)),"",OFFSET('HARGA SATUAN'!$E$6,MATCH(RAB!C56,'HARGA SATUAN'!$C$7:$C$1492,0),0)))</f>
        <v/>
      </c>
      <c r="F56" s="393"/>
      <c r="G56" s="283">
        <f ca="1">IF(ISERROR(OFFSET('HARGA SATUAN'!$I$6,MATCH(RAB!C56,'HARGA SATUAN'!$C$7:$C$1492,0),0)),0,OFFSET('HARGA SATUAN'!$I$6,MATCH(RAB!C56,'HARGA SATUAN'!$C$7:$C$1492,0),0))</f>
        <v>0</v>
      </c>
      <c r="H56" s="284">
        <f t="shared" ca="1" si="11"/>
        <v>0</v>
      </c>
      <c r="I56" s="284">
        <f t="shared" ca="1" si="12"/>
        <v>0</v>
      </c>
      <c r="J56" s="284">
        <f t="shared" ca="1" si="13"/>
        <v>0</v>
      </c>
      <c r="K56" s="285">
        <f t="shared" ca="1" si="14"/>
        <v>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 t="e">
        <f>IF(AND(C57=0,#REF!=0,#REF!=0),"BLANKS",1)</f>
        <v>#REF!</v>
      </c>
      <c r="B57" s="293"/>
      <c r="C57" s="109"/>
      <c r="D57" s="281" t="str">
        <f ca="1">IF(ISERROR(OFFSET('HARGA SATUAN'!$D$6,MATCH(RAB!C57,'HARGA SATUAN'!$C$7:$C$1492,0),0)),"",OFFSET('HARGA SATUAN'!$D$6,MATCH(RAB!C57,'HARGA SATUAN'!$C$7:$C$1492,0),0))</f>
        <v/>
      </c>
      <c r="E57" s="282" t="str">
        <f ca="1">IF(B57="+","Unit",IF(ISERROR(OFFSET('HARGA SATUAN'!$E$6,MATCH(RAB!C57,'HARGA SATUAN'!$C$7:$C$1492,0),0)),"",OFFSET('HARGA SATUAN'!$E$6,MATCH(RAB!C57,'HARGA SATUAN'!$C$7:$C$1492,0),0)))</f>
        <v/>
      </c>
      <c r="F57" s="393"/>
      <c r="G57" s="283">
        <f ca="1">IF(ISERROR(OFFSET('HARGA SATUAN'!$I$6,MATCH(RAB!C57,'HARGA SATUAN'!$C$7:$C$1492,0),0)),0,OFFSET('HARGA SATUAN'!$I$6,MATCH(RAB!C57,'HARGA SATUAN'!$C$7:$C$1492,0),0))</f>
        <v>0</v>
      </c>
      <c r="H57" s="284">
        <f t="shared" ref="H57:H58" ca="1" si="33">IF(OR(D57="MDU",D57="MDU-KD"),(IF($O$3="RAB NON MDU","PLN KD",G57*F57)),0)</f>
        <v>0</v>
      </c>
      <c r="I57" s="284">
        <f t="shared" ref="I57:I58" ca="1" si="34">IF(D57="HDW",G57*F57,0)</f>
        <v>0</v>
      </c>
      <c r="J57" s="284">
        <f t="shared" ref="J57:J58" ca="1" si="35">IF(D57="JASA",G57*F57,0)</f>
        <v>0</v>
      </c>
      <c r="K57" s="285">
        <f t="shared" ref="K57:K58" ca="1" si="36">SUM(H57:J57)</f>
        <v>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s">
        <v>1413</v>
      </c>
      <c r="B58" s="293"/>
      <c r="C58" s="109"/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393"/>
      <c r="G58" s="283">
        <f ca="1">IF(ISERROR(OFFSET('HARGA SATUAN'!$I$6,MATCH(RAB!C58,'HARGA SATUAN'!$C$7:$C$1492,0),0)),0,OFFSET('HARGA SATUAN'!$I$6,MATCH(RAB!C58,'HARGA SATUAN'!$C$7:$C$1492,0),0))</f>
        <v>0</v>
      </c>
      <c r="H58" s="284">
        <f t="shared" ca="1" si="33"/>
        <v>0</v>
      </c>
      <c r="I58" s="284">
        <f t="shared" ca="1" si="34"/>
        <v>0</v>
      </c>
      <c r="J58" s="284">
        <f t="shared" ca="1" si="35"/>
        <v>0</v>
      </c>
      <c r="K58" s="285">
        <f t="shared" ca="1" si="36"/>
        <v>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IF(AND(C59=0,#REF!=0,#REF!=0),"BLANKS",1)</f>
        <v>#REF!</v>
      </c>
      <c r="B59" s="395"/>
      <c r="C59" s="396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393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ca="1" si="11"/>
        <v>0</v>
      </c>
      <c r="I59" s="284">
        <f t="shared" ca="1" si="12"/>
        <v>0</v>
      </c>
      <c r="J59" s="284">
        <f t="shared" ca="1" si="13"/>
        <v>0</v>
      </c>
      <c r="K59" s="285">
        <f t="shared" ca="1" si="14"/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/>
      <c r="B60" s="395" t="s">
        <v>516</v>
      </c>
      <c r="C60" s="396" t="s">
        <v>1579</v>
      </c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/>
      </c>
      <c r="F60" s="393"/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ca="1" si="11"/>
        <v>0</v>
      </c>
      <c r="I60" s="284">
        <f t="shared" ca="1" si="12"/>
        <v>0</v>
      </c>
      <c r="J60" s="284">
        <f t="shared" ca="1" si="13"/>
        <v>0</v>
      </c>
      <c r="K60" s="285">
        <f t="shared" ca="1" si="14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IF(AND(C61=0,C62=0,#REF!=0),"BLANKS",1)</f>
        <v>#REF!</v>
      </c>
      <c r="B61" s="397" t="s">
        <v>1005</v>
      </c>
      <c r="C61" s="398" t="s">
        <v>1662</v>
      </c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>Unit</v>
      </c>
      <c r="F61" s="512">
        <v>1</v>
      </c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ca="1" si="11"/>
        <v>0</v>
      </c>
      <c r="I61" s="284">
        <f t="shared" ca="1" si="12"/>
        <v>0</v>
      </c>
      <c r="J61" s="284">
        <f t="shared" ca="1" si="13"/>
        <v>0</v>
      </c>
      <c r="K61" s="285">
        <f t="shared" ca="1" si="14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IF(AND(C62=0,#REF!=0,#REF!=0),"BLANKS",1)</f>
        <v>#REF!</v>
      </c>
      <c r="B62" s="497">
        <v>1</v>
      </c>
      <c r="C62" s="109" t="s">
        <v>472</v>
      </c>
      <c r="D62" s="281" t="str">
        <f ca="1">IF(ISERROR(OFFSET('HARGA SATUAN'!$D$6,MATCH(RAB!C62,'HARGA SATUAN'!$C$7:$C$1492,0),0)),"",OFFSET('HARGA SATUAN'!$D$6,MATCH(RAB!C62,'HARGA SATUAN'!$C$7:$C$1492,0),0))</f>
        <v>MDU-KD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512">
        <f>F61*1</f>
        <v>1</v>
      </c>
      <c r="G62" s="283">
        <f ca="1">IF(ISERROR(OFFSET('HARGA SATUAN'!$I$6,MATCH(RAB!C62,'HARGA SATUAN'!$C$7:$C$1492,0),0)),0,OFFSET('HARGA SATUAN'!$I$6,MATCH(RAB!C62,'HARGA SATUAN'!$C$7:$C$1492,0),0))</f>
        <v>327600</v>
      </c>
      <c r="H62" s="284">
        <f t="shared" ca="1" si="11"/>
        <v>327600</v>
      </c>
      <c r="I62" s="284">
        <f t="shared" ca="1" si="12"/>
        <v>0</v>
      </c>
      <c r="J62" s="284">
        <f t="shared" ca="1" si="13"/>
        <v>0</v>
      </c>
      <c r="K62" s="285">
        <f t="shared" ca="1" si="14"/>
        <v>327600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 t="s">
        <v>1413</v>
      </c>
      <c r="B63" s="497">
        <v>2</v>
      </c>
      <c r="C63" s="500" t="s">
        <v>483</v>
      </c>
      <c r="D63" s="281" t="s">
        <v>1633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512">
        <f>F61*1</f>
        <v>1</v>
      </c>
      <c r="G63" s="283">
        <f ca="1">IF(ISERROR(OFFSET('HARGA SATUAN'!$I$6,MATCH(RAB!C63,'HARGA SATUAN'!$C$7:$C$1492,0),0)),0,OFFSET('HARGA SATUAN'!$I$6,MATCH(RAB!C63,'HARGA SATUAN'!$C$7:$C$1492,0),0))</f>
        <v>39000</v>
      </c>
      <c r="H63" s="284">
        <f t="shared" ref="H63" si="37">IF(OR(D63="MDU",D63="MDU-KD"),(IF($O$3="RAB NON MDU","PLN KD",G63*F63)),0)</f>
        <v>0</v>
      </c>
      <c r="I63" s="284">
        <f t="shared" ref="I63" si="38">IF(D63="HDW",G63*F63,0)</f>
        <v>0</v>
      </c>
      <c r="J63" s="284">
        <f t="shared" ref="J63" si="39">IF(D63="JASA",G63*F63,0)</f>
        <v>0</v>
      </c>
      <c r="K63" s="285">
        <f t="shared" ref="K63" si="40">SUM(H63:J63)</f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IF(AND(C64=0,#REF!=0,#REF!=0),"BLANKS",1)</f>
        <v>#REF!</v>
      </c>
      <c r="B64" s="497">
        <v>3</v>
      </c>
      <c r="C64" s="500" t="s">
        <v>64</v>
      </c>
      <c r="D64" s="281" t="str">
        <f ca="1">IF(ISERROR(OFFSET('HARGA SATUAN'!$D$6,MATCH(RAB!C64,'HARGA SATUAN'!$C$7:$C$1492,0),0)),"",OFFSET('HARGA SATUAN'!$D$6,MATCH(RAB!C64,'HARGA SATUAN'!$C$7:$C$1492,0),0))</f>
        <v>MDU-KD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512">
        <f>F61*35</f>
        <v>35</v>
      </c>
      <c r="G64" s="283">
        <f ca="1">IF(ISERROR(OFFSET('HARGA SATUAN'!$I$6,MATCH(RAB!C64,'HARGA SATUAN'!$C$7:$C$1492,0),0)),0,OFFSET('HARGA SATUAN'!$I$6,MATCH(RAB!C64,'HARGA SATUAN'!$C$7:$C$1492,0),0))</f>
        <v>6600</v>
      </c>
      <c r="H64" s="284">
        <f t="shared" ref="H64:H69" ca="1" si="41">IF(OR(D64="MDU",D64="MDU-KD"),(IF($O$3="RAB NON MDU","PLN KD",G64*F64)),0)</f>
        <v>231000</v>
      </c>
      <c r="I64" s="284">
        <f t="shared" ref="I64:I69" ca="1" si="42">IF(D64="HDW",G64*F64,0)</f>
        <v>0</v>
      </c>
      <c r="J64" s="284">
        <f t="shared" ref="J64:J69" ca="1" si="43">IF(D64="JASA",G64*F64,0)</f>
        <v>0</v>
      </c>
      <c r="K64" s="285">
        <f t="shared" ref="K64:K69" ca="1" si="44">SUM(H64:J64)</f>
        <v>231000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s">
        <v>1413</v>
      </c>
      <c r="B65" s="497">
        <v>4</v>
      </c>
      <c r="C65" s="500" t="s">
        <v>788</v>
      </c>
      <c r="D65" s="281" t="str">
        <f ca="1">IF(ISERROR(OFFSET('HARGA SATUAN'!$D$6,MATCH(RAB!C65,'HARGA SATUAN'!$C$7:$C$1492,0),0)),"",OFFSET('HARGA SATUAN'!$D$6,MATCH(RAB!C65,'HARGA SATUAN'!$C$7:$C$1492,0),0))</f>
        <v>JASA</v>
      </c>
      <c r="E65" s="282" t="str">
        <f ca="1">IF(B65="+","Unit",IF(ISERROR(OFFSET('HARGA SATUAN'!$E$6,MATCH(RAB!C65,'HARGA SATUAN'!$C$7:$C$1492,0),0)),"",OFFSET('HARGA SATUAN'!$E$6,MATCH(RAB!C65,'HARGA SATUAN'!$C$7:$C$1492,0),0)))</f>
        <v>Unit</v>
      </c>
      <c r="F65" s="512">
        <f>F61*1</f>
        <v>1</v>
      </c>
      <c r="G65" s="283">
        <f ca="1">IF(ISERROR(OFFSET('HARGA SATUAN'!$I$6,MATCH(RAB!C65,'HARGA SATUAN'!$C$7:$C$1492,0),0)),0,OFFSET('HARGA SATUAN'!$I$6,MATCH(RAB!C65,'HARGA SATUAN'!$C$7:$C$1492,0),0))</f>
        <v>54400</v>
      </c>
      <c r="H65" s="284">
        <f t="shared" ca="1" si="41"/>
        <v>0</v>
      </c>
      <c r="I65" s="284">
        <f t="shared" ca="1" si="42"/>
        <v>0</v>
      </c>
      <c r="J65" s="284">
        <f t="shared" ca="1" si="43"/>
        <v>54400</v>
      </c>
      <c r="K65" s="285">
        <f t="shared" ca="1" si="44"/>
        <v>54400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IF(AND(C66=0,#REF!=0,#REF!=0),"BLANKS",1)</f>
        <v>#REF!</v>
      </c>
      <c r="B66" s="497"/>
      <c r="C66" s="500"/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/>
      </c>
      <c r="F66" s="393"/>
      <c r="G66" s="283">
        <f ca="1">IF(ISERROR(OFFSET('HARGA SATUAN'!$I$6,MATCH(RAB!C66,'HARGA SATUAN'!$C$7:$C$1492,0),0)),0,OFFSET('HARGA SATUAN'!$I$6,MATCH(RAB!C66,'HARGA SATUAN'!$C$7:$C$1492,0),0))</f>
        <v>0</v>
      </c>
      <c r="H66" s="284">
        <f t="shared" ca="1" si="41"/>
        <v>0</v>
      </c>
      <c r="I66" s="284">
        <f t="shared" ca="1" si="42"/>
        <v>0</v>
      </c>
      <c r="J66" s="284">
        <f t="shared" ca="1" si="43"/>
        <v>0</v>
      </c>
      <c r="K66" s="285">
        <f t="shared" ca="1" si="44"/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/>
      <c r="B67" s="293"/>
      <c r="C67" s="396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393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41"/>
        <v>0</v>
      </c>
      <c r="I67" s="284">
        <f t="shared" ca="1" si="42"/>
        <v>0</v>
      </c>
      <c r="J67" s="284">
        <f t="shared" ca="1" si="43"/>
        <v>0</v>
      </c>
      <c r="K67" s="285">
        <f t="shared" ca="1" si="44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 t="e">
        <f>IF(AND(C68=0,C69=0,#REF!=0),"BLANKS",1)</f>
        <v>#REF!</v>
      </c>
      <c r="B68" s="395" t="s">
        <v>520</v>
      </c>
      <c r="C68" s="396" t="s">
        <v>1580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/>
      </c>
      <c r="F68" s="393"/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41"/>
        <v>0</v>
      </c>
      <c r="I68" s="284">
        <f t="shared" ca="1" si="42"/>
        <v>0</v>
      </c>
      <c r="J68" s="284">
        <f t="shared" ca="1" si="43"/>
        <v>0</v>
      </c>
      <c r="K68" s="285">
        <f t="shared" ca="1" si="44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e">
        <f>IF(AND(C69=0,#REF!=0,#REF!=0),"BLANKS",1)</f>
        <v>#REF!</v>
      </c>
      <c r="B69" s="293">
        <v>1</v>
      </c>
      <c r="C69" s="109" t="s">
        <v>971</v>
      </c>
      <c r="D69" s="281" t="str">
        <f ca="1">IF(ISERROR(OFFSET('HARGA SATUAN'!$D$6,MATCH(RAB!C69,'HARGA SATUAN'!$C$7:$C$1492,0),0)),"",OFFSET('HARGA SATUAN'!$D$6,MATCH(RAB!C69,'HARGA SATUAN'!$C$7:$C$1492,0),0))</f>
        <v>JASA</v>
      </c>
      <c r="E69" s="282" t="str">
        <f ca="1">IF(B69="+","Unit",IF(ISERROR(OFFSET('HARGA SATUAN'!$E$6,MATCH(RAB!C69,'HARGA SATUAN'!$C$7:$C$1492,0),0)),"",OFFSET('HARGA SATUAN'!$E$6,MATCH(RAB!C69,'HARGA SATUAN'!$C$7:$C$1492,0),0)))</f>
        <v>Unit</v>
      </c>
      <c r="F69" s="393">
        <v>1</v>
      </c>
      <c r="G69" s="283">
        <f ca="1">IF(ISERROR(OFFSET('HARGA SATUAN'!$I$6,MATCH(RAB!C69,'HARGA SATUAN'!$C$7:$C$1492,0),0)),0,OFFSET('HARGA SATUAN'!$I$6,MATCH(RAB!C69,'HARGA SATUAN'!$C$7:$C$1492,0),0))</f>
        <v>32640</v>
      </c>
      <c r="H69" s="284">
        <f t="shared" ca="1" si="41"/>
        <v>0</v>
      </c>
      <c r="I69" s="284">
        <f t="shared" ca="1" si="42"/>
        <v>0</v>
      </c>
      <c r="J69" s="284">
        <f t="shared" ca="1" si="43"/>
        <v>32640</v>
      </c>
      <c r="K69" s="285">
        <f t="shared" ca="1" si="44"/>
        <v>32640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/>
      <c r="B70" s="293">
        <v>2</v>
      </c>
      <c r="C70" s="109" t="s">
        <v>951</v>
      </c>
      <c r="D70" s="281" t="str">
        <f ca="1">IF(ISERROR(OFFSET('HARGA SATUAN'!$D$6,MATCH(RAB!C70,'HARGA SATUAN'!$C$7:$C$1492,0),0)),"",OFFSET('HARGA SATUAN'!$D$6,MATCH(RAB!C70,'HARGA SATUAN'!$C$7:$C$1492,0),0))</f>
        <v>JASA</v>
      </c>
      <c r="E70" s="282" t="str">
        <f ca="1">IF(B70="+","Unit",IF(ISERROR(OFFSET('HARGA SATUAN'!$E$6,MATCH(RAB!C70,'HARGA SATUAN'!$C$7:$C$1492,0),0)),"",OFFSET('HARGA SATUAN'!$E$6,MATCH(RAB!C70,'HARGA SATUAN'!$C$7:$C$1492,0),0)))</f>
        <v>Unit</v>
      </c>
      <c r="F70" s="393">
        <v>1</v>
      </c>
      <c r="G70" s="283">
        <f ca="1">IF(ISERROR(OFFSET('HARGA SATUAN'!$I$6,MATCH(RAB!C70,'HARGA SATUAN'!$C$7:$C$1492,0),0)),0,OFFSET('HARGA SATUAN'!$I$6,MATCH(RAB!C70,'HARGA SATUAN'!$C$7:$C$1492,0),0))</f>
        <v>213420</v>
      </c>
      <c r="H70" s="284">
        <f t="shared" ref="H70:H73" ca="1" si="45">IF(OR(D70="MDU",D70="MDU-KD"),(IF($O$3="RAB NON MDU","PLN KD",G70*F70)),0)</f>
        <v>0</v>
      </c>
      <c r="I70" s="284">
        <f t="shared" ref="I70:I73" ca="1" si="46">IF(D70="HDW",G70*F70,0)</f>
        <v>0</v>
      </c>
      <c r="J70" s="284">
        <f t="shared" ref="J70:J73" ca="1" si="47">IF(D70="JASA",G70*F70,0)</f>
        <v>213420</v>
      </c>
      <c r="K70" s="285">
        <f t="shared" ref="K70:K73" ca="1" si="48">SUM(H70:J70)</f>
        <v>213420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293"/>
      <c r="C71" s="109"/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/>
      </c>
      <c r="F71" s="393"/>
      <c r="G71" s="283">
        <f ca="1">IF(ISERROR(OFFSET('HARGA SATUAN'!$I$6,MATCH(RAB!C71,'HARGA SATUAN'!$C$7:$C$1492,0),0)),0,OFFSET('HARGA SATUAN'!$I$6,MATCH(RAB!C71,'HARGA SATUAN'!$C$7:$C$1492,0),0))</f>
        <v>0</v>
      </c>
      <c r="H71" s="284">
        <f t="shared" ca="1" si="45"/>
        <v>0</v>
      </c>
      <c r="I71" s="284">
        <f t="shared" ca="1" si="46"/>
        <v>0</v>
      </c>
      <c r="J71" s="284">
        <f t="shared" ca="1" si="47"/>
        <v>0</v>
      </c>
      <c r="K71" s="285">
        <f t="shared" ca="1" si="48"/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s">
        <v>1413</v>
      </c>
      <c r="B72" s="293"/>
      <c r="C72" s="109"/>
      <c r="D72" s="281" t="str">
        <f ca="1">IF(ISERROR(OFFSET('HARGA SATUAN'!$D$6,MATCH(RAB!C72,'HARGA SATUAN'!$C$7:$C$1492,0),0)),"",OFFSET('HARGA SATUAN'!$D$6,MATCH(RAB!C72,'HARGA SATUAN'!$C$7:$C$1492,0),0))</f>
        <v/>
      </c>
      <c r="E72" s="282" t="str">
        <f ca="1">IF(B72="+","Unit",IF(ISERROR(OFFSET('HARGA SATUAN'!$E$6,MATCH(RAB!C72,'HARGA SATUAN'!$C$7:$C$1492,0),0)),"",OFFSET('HARGA SATUAN'!$E$6,MATCH(RAB!C72,'HARGA SATUAN'!$C$7:$C$1492,0),0)))</f>
        <v/>
      </c>
      <c r="F72" s="393"/>
      <c r="G72" s="283">
        <f ca="1">IF(ISERROR(OFFSET('HARGA SATUAN'!$I$6,MATCH(RAB!C72,'HARGA SATUAN'!$C$7:$C$1492,0),0)),0,OFFSET('HARGA SATUAN'!$I$6,MATCH(RAB!C72,'HARGA SATUAN'!$C$7:$C$1492,0),0))</f>
        <v>0</v>
      </c>
      <c r="H72" s="284">
        <f t="shared" ca="1" si="45"/>
        <v>0</v>
      </c>
      <c r="I72" s="284">
        <f t="shared" ca="1" si="46"/>
        <v>0</v>
      </c>
      <c r="J72" s="284">
        <f t="shared" ca="1" si="47"/>
        <v>0</v>
      </c>
      <c r="K72" s="285">
        <f t="shared" ca="1" si="48"/>
        <v>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395"/>
      <c r="C73" s="396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393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45"/>
        <v>0</v>
      </c>
      <c r="I73" s="284">
        <f t="shared" ca="1" si="46"/>
        <v>0</v>
      </c>
      <c r="J73" s="284">
        <f t="shared" ca="1" si="47"/>
        <v>0</v>
      </c>
      <c r="K73" s="285">
        <f t="shared" ca="1" si="48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/>
      <c r="B74" s="397"/>
      <c r="C74" s="398"/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/>
      </c>
      <c r="F74" s="393"/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ref="H74" ca="1" si="49">IF(OR(D74="MDU",D74="MDU-KD"),(IF($O$3="RAB NON MDU","PLN KD",G74*F74)),0)</f>
        <v>0</v>
      </c>
      <c r="I74" s="284">
        <f t="shared" ref="I74" ca="1" si="50">IF(D74="HDW",G74*F74,0)</f>
        <v>0</v>
      </c>
      <c r="J74" s="284">
        <f t="shared" ref="J74" ca="1" si="51">IF(D74="JASA",G74*F74,0)</f>
        <v>0</v>
      </c>
      <c r="K74" s="285">
        <f t="shared" ref="K74" ca="1" si="52">SUM(H74:J74)</f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>
      <c r="B75" s="295"/>
      <c r="C75" s="292"/>
      <c r="D75" s="281" t="str">
        <f ca="1">IF(ISERROR(OFFSET('HARGA SATUAN'!$D$6,MATCH(RAB!C75,'HARGA SATUAN'!$C$7:$C$1492,0),0)),"",OFFSET('HARGA SATUAN'!$D$6,MATCH(RAB!C75,'HARGA SATUAN'!$C$7:$C$1492,0),0))</f>
        <v/>
      </c>
      <c r="E75" s="282" t="str">
        <f ca="1">IF(B75="+","Unit",IF(ISERROR(OFFSET('HARGA SATUAN'!$E$6,MATCH(RAB!C75,'HARGA SATUAN'!$C$7:$C$1492,0),0)),"",OFFSET('HARGA SATUAN'!$E$6,MATCH(RAB!C75,'HARGA SATUAN'!$C$7:$C$1492,0),0)))</f>
        <v/>
      </c>
      <c r="F75" s="289"/>
      <c r="G75" s="283">
        <f ca="1">IF(ISERROR(OFFSET('HARGA SATUAN'!$I$6,MATCH(RAB!C75,'HARGA SATUAN'!$C$7:$C$1492,0),0)),0,OFFSET('HARGA SATUAN'!$I$6,MATCH(RAB!C75,'HARGA SATUAN'!$C$7:$C$1492,0),0))</f>
        <v>0</v>
      </c>
      <c r="H75" s="284">
        <f t="shared" ref="H75" ca="1" si="53">IF(OR(D75="MDU",D75="MDU-KD"),(IF($O$3="RAB NON MDU","PLN KD",G75*F75)),0)</f>
        <v>0</v>
      </c>
      <c r="I75" s="284">
        <f t="shared" ref="I75" ca="1" si="54">IF(D75="HDW",G75*F75,0)</f>
        <v>0</v>
      </c>
      <c r="J75" s="284">
        <f t="shared" ref="J75" ca="1" si="55">IF(D75="JASA",G75*F75,0)</f>
        <v>0</v>
      </c>
      <c r="K75" s="285">
        <f t="shared" ref="K75" ca="1" si="56">SUM(H75:J75)</f>
        <v>0</v>
      </c>
    </row>
    <row r="76" spans="1:22">
      <c r="B76" s="296"/>
      <c r="C76" s="297" t="s">
        <v>465</v>
      </c>
      <c r="D76" s="281" t="str">
        <f ca="1">IF(ISERROR(OFFSET('HARGA SATUAN'!$D$6,MATCH(RAB!C76,'HARGA SATUAN'!$C$7:$C$1492,0),0)),"",OFFSET('HARGA SATUAN'!$D$6,MATCH(RAB!C76,'HARGA SATUAN'!$C$7:$C$1492,0),0))</f>
        <v/>
      </c>
      <c r="E76" s="282" t="str">
        <f ca="1">IF(B76="+","Unit",IF(ISERROR(OFFSET('HARGA SATUAN'!$E$6,MATCH(RAB!C76,'HARGA SATUAN'!$C$7:$C$1492,0),0)),"",OFFSET('HARGA SATUAN'!$E$6,MATCH(RAB!C76,'HARGA SATUAN'!$C$7:$C$1492,0),0)))</f>
        <v/>
      </c>
      <c r="F76" s="298"/>
      <c r="G76" s="283">
        <f ca="1">IF(ISERROR(OFFSET('HARGA SATUAN'!$I$6,MATCH(RAB!C76,'HARGA SATUAN'!$C$7:$C$1492,0),0)),0,OFFSET('HARGA SATUAN'!$I$6,MATCH(RAB!C76,'HARGA SATUAN'!$C$7:$C$1492,0),0))</f>
        <v>0</v>
      </c>
      <c r="H76" s="284">
        <f t="shared" ref="H76" ca="1" si="57">IF(OR(D76="MDU",D76="MDU-KD"),(IF($O$3="RAB NON MDU","PLN KD",G76*F76)),0)</f>
        <v>0</v>
      </c>
      <c r="I76" s="284">
        <f ca="1">IF(D76="HDW",G76*F76,0)</f>
        <v>0</v>
      </c>
      <c r="J76" s="284">
        <f ca="1">IF(D76="JASA",G76*F76,0)</f>
        <v>0</v>
      </c>
      <c r="K76" s="285">
        <f ca="1">SUM(H76:J76)</f>
        <v>0</v>
      </c>
    </row>
    <row r="77" spans="1:22">
      <c r="B77" s="299">
        <v>1</v>
      </c>
      <c r="C77" s="300" t="s">
        <v>1061</v>
      </c>
      <c r="D77" s="301" t="str">
        <f ca="1">IF(ISERROR(OFFSET('HARGA SATUAN'!$D$6,MATCH(RAB!C77,'HARGA SATUAN'!$C$7:$C$1492,0),0)),"",OFFSET('HARGA SATUAN'!$D$6,MATCH(RAB!C77,'HARGA SATUAN'!$C$7:$C$1492,0),0))</f>
        <v>JASA</v>
      </c>
      <c r="E77" s="302" t="str">
        <f ca="1">IF(ISERROR(OFFSET('HARGA SATUAN'!$E$6,MATCH(RAB!C77,'HARGA SATUAN'!$C$7:$C$1492,0),0)),"",OFFSET('HARGA SATUAN'!$E$6,MATCH(RAB!C77,'HARGA SATUAN'!$C$7:$C$1492,0),0))</f>
        <v>Lot</v>
      </c>
      <c r="F77" s="303">
        <v>1</v>
      </c>
      <c r="G77" s="304">
        <f ca="1">IF(ISERROR(OFFSET('HARGA SATUAN'!$I$6,MATCH(RAB!C77,'HARGA SATUAN'!$C$7:$C$1492,0),0)),0,OFFSET('HARGA SATUAN'!$I$6,MATCH(RAB!C77,'HARGA SATUAN'!$C$7:$C$1492,0),0))</f>
        <v>2.5000000000000001E-2</v>
      </c>
      <c r="H77" s="305"/>
      <c r="I77" s="305"/>
      <c r="J77" s="305">
        <f ca="1">SUM(K15:K75)*G77</f>
        <v>793443.85000000009</v>
      </c>
      <c r="K77" s="306">
        <f ca="1">SUM(H77:J77)</f>
        <v>793443.85000000009</v>
      </c>
    </row>
    <row r="78" spans="1:22">
      <c r="B78" s="307"/>
      <c r="C78" s="308"/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IF(ISERROR(OFFSET('HARGA SATUAN'!$E$6,MATCH(RAB!C78,'HARGA SATUAN'!$C$7:$C$1492,0),0)),"",OFFSET('HARGA SATUAN'!$E$6,MATCH(RAB!C78,'HARGA SATUAN'!$C$7:$C$1492,0),0))</f>
        <v/>
      </c>
      <c r="F78" s="298"/>
      <c r="G78" s="283" t="str">
        <f ca="1">IF(ISERROR(OFFSET('HARGA SATUAN'!$I$6,MATCH(RAB!C78,'HARGA SATUAN'!$C$7:$C$1492,0),0)),"",OFFSET('HARGA SATUAN'!$I$6,MATCH(RAB!C78,'HARGA SATUAN'!$C$7:$C$1492,0),0))</f>
        <v/>
      </c>
      <c r="H78" s="284">
        <f ca="1">IF(OR(D78="MDU",D78="MDU-KD"),IF(G78="PLN",0,G78*F78),0)</f>
        <v>0</v>
      </c>
      <c r="I78" s="284">
        <f ca="1">IF(D78="HDW",IF(G78="PLN",0,G78*F78),0)</f>
        <v>0</v>
      </c>
      <c r="J78" s="284">
        <f ca="1">IF(D78="JASA",IF(G78="PLN",0,G78*F78),0)</f>
        <v>0</v>
      </c>
      <c r="K78" s="285">
        <f ca="1">SUM(H78:J78)</f>
        <v>0</v>
      </c>
    </row>
    <row r="79" spans="1:22" ht="15.75" thickBot="1">
      <c r="B79" s="309"/>
      <c r="C79" s="310"/>
      <c r="D79" s="311"/>
      <c r="E79" s="312"/>
      <c r="F79" s="312"/>
      <c r="G79" s="312"/>
      <c r="H79" s="313"/>
      <c r="I79" s="313"/>
      <c r="J79" s="313"/>
      <c r="K79" s="314"/>
    </row>
    <row r="80" spans="1:22">
      <c r="B80" s="315"/>
      <c r="C80" s="617" t="s">
        <v>980</v>
      </c>
      <c r="D80" s="617"/>
      <c r="E80" s="617"/>
      <c r="F80" s="617"/>
      <c r="G80" s="316" t="s">
        <v>9</v>
      </c>
      <c r="H80" s="317">
        <f ca="1">SUM(H14:H78)</f>
        <v>28432400</v>
      </c>
      <c r="I80" s="317">
        <f ca="1">SUM(I14:I78)</f>
        <v>2527694</v>
      </c>
      <c r="J80" s="317">
        <f ca="1">SUM(J14:J78)</f>
        <v>1571103.85</v>
      </c>
      <c r="K80" s="317">
        <f ca="1">SUM(K14:K78)</f>
        <v>32531197.850000001</v>
      </c>
    </row>
    <row r="81" spans="2:13">
      <c r="B81" s="318"/>
      <c r="C81" s="634" t="s">
        <v>1426</v>
      </c>
      <c r="D81" s="634"/>
      <c r="E81" s="634"/>
      <c r="F81" s="634"/>
      <c r="G81" s="319" t="s">
        <v>9</v>
      </c>
      <c r="H81" s="320">
        <f ca="1">H80*0.11</f>
        <v>3127564</v>
      </c>
      <c r="I81" s="320">
        <f ca="1">I80*0.11</f>
        <v>278046.34000000003</v>
      </c>
      <c r="J81" s="320">
        <f ca="1">J80*0.11</f>
        <v>172821.4235</v>
      </c>
      <c r="K81" s="320">
        <f ca="1">K80*0.11</f>
        <v>3578431.7635000004</v>
      </c>
    </row>
    <row r="82" spans="2:13" ht="15.75" thickBot="1">
      <c r="B82" s="318"/>
      <c r="C82" s="633" t="s">
        <v>453</v>
      </c>
      <c r="D82" s="633"/>
      <c r="E82" s="633"/>
      <c r="F82" s="633"/>
      <c r="G82" s="321" t="s">
        <v>9</v>
      </c>
      <c r="H82" s="322">
        <f ca="1">SUM(H80:H81)</f>
        <v>31559964</v>
      </c>
      <c r="I82" s="322">
        <f ca="1">SUM(I80:I81)</f>
        <v>2805740.34</v>
      </c>
      <c r="J82" s="321">
        <f ca="1">SUM(J80:J81)</f>
        <v>1743925.2735000001</v>
      </c>
      <c r="K82" s="321">
        <f ca="1">SUM(K80:K81)</f>
        <v>36109629.613499999</v>
      </c>
      <c r="M82" s="386"/>
    </row>
    <row r="83" spans="2:13">
      <c r="B83" s="635" t="str">
        <f ca="1">"Terbilang : "&amp;PROPER(IF(K82=0,"nol",IF(K82&lt;0,"minus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IF(--MID(TEXT(ABS(K82),"000000000000000"),1,3)=0,"",MID(TEXT(ABS(K82),"000000000000000"),1,1)&amp;" ratus "&amp;MID(TEXT(ABS(K82),"000000000000000"),2,1)&amp;" puluh "&amp;MID(TEXT(ABS(K82),"000000000000000"),3,1)&amp;" trilyun ")&amp; IF(--MID(TEXT(ABS(K82),"000000000000000"),4,3)=0,"",MID(TEXT(ABS(K82),"000000000000000"),4,1)&amp;" ratus "&amp;MID(TEXT(ABS(K82),"000000000000000"),5,1)&amp;" puluh "&amp;MID(TEXT(ABS(K82),"000000000000000"),6,1)&amp;" milyar ")&amp; IF(--MID(TEXT(ABS(K82),"000000000000000"),7,3)=0,"",MID(TEXT(ABS(K82),"000000000000000"),7,1)&amp;" ratus "&amp;MID(TEXT(ABS(K82),"000000000000000"),8,1)&amp;" puluh "&amp;MID(TEXT(ABS(K82),"000000000000000"),9,1)&amp;" juta ")&amp; IF(--MID(TEXT(ABS(K82),"000000000000000"),10,3)=0,"",IF(--MID(TEXT(ABS(K82),"000000000000000"),10,3)=1,"*",MID(TEXT(ABS(K82),"000000000000000"),10,1)&amp;" ratus "&amp;MID(TEXT(ABS(K82),"000000000000000"),11,1)&amp;" puluh ")&amp;MID(TEXT(ABS(K82),"000000000000000"),12,1)&amp;" ribu ")&amp; IF(--MID(TEXT(ABS(K82),"000000000000000"),13,3)=0,"",MID(TEXT(ABS(K82),"000000000000000"),13,1)&amp;" ratus "&amp;MID(TEXT(ABS(K82),"000000000000000"),14,1)&amp;" puluh "&amp;MID(TEXT(ABS(K82),"000000000000000"),15,1)),1,"satu"),2,"dua"),3,"tiga"),4,"empat"),5,"lima"),6,"enam"),7,"tujuh"),8,"delapan"),9,"sembilan"),"0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Seratus Sembilan Ribu Enam Ratus Tiga Puluh Rupiah</v>
      </c>
      <c r="C83" s="636"/>
      <c r="D83" s="636"/>
      <c r="E83" s="636"/>
      <c r="F83" s="636"/>
      <c r="G83" s="636"/>
      <c r="H83" s="636"/>
      <c r="I83" s="636"/>
      <c r="J83" s="636"/>
      <c r="K83" s="637"/>
    </row>
    <row r="84" spans="2:13">
      <c r="B84" s="638"/>
      <c r="C84" s="639"/>
      <c r="D84" s="639"/>
      <c r="E84" s="639"/>
      <c r="F84" s="639"/>
      <c r="G84" s="639"/>
      <c r="H84" s="639"/>
      <c r="I84" s="639"/>
      <c r="J84" s="639"/>
      <c r="K84" s="640"/>
    </row>
    <row r="85" spans="2:13" ht="15.75" thickBot="1">
      <c r="B85" s="323" t="str">
        <f>"Harga yang dipakai adalah "&amp;'HARGA SATUAN'!I5&amp;""</f>
        <v>Harga yang dipakai adalah RAB HSS 2023</v>
      </c>
      <c r="C85" s="324"/>
      <c r="D85" s="325"/>
      <c r="E85" s="325"/>
      <c r="F85" s="325"/>
      <c r="G85" s="326"/>
      <c r="H85" s="326"/>
      <c r="I85" s="326"/>
      <c r="J85" s="326"/>
      <c r="K85" s="327"/>
    </row>
    <row r="86" spans="2:13">
      <c r="C86" s="328"/>
      <c r="E86" s="330"/>
      <c r="F86" s="330"/>
      <c r="G86" s="330"/>
    </row>
    <row r="87" spans="2:13">
      <c r="C87" s="260"/>
      <c r="E87" s="330"/>
      <c r="F87" s="330"/>
      <c r="G87" s="330"/>
      <c r="H87" s="641"/>
      <c r="I87" s="641"/>
      <c r="J87" s="642"/>
      <c r="K87" s="642"/>
    </row>
    <row r="88" spans="2:13">
      <c r="C88" s="260"/>
      <c r="E88" s="330"/>
      <c r="F88" s="330"/>
      <c r="G88" s="330"/>
      <c r="H88" s="331"/>
      <c r="I88" s="632" t="s">
        <v>1652</v>
      </c>
      <c r="J88" s="632"/>
      <c r="K88" s="632"/>
    </row>
    <row r="89" spans="2:13">
      <c r="C89" s="260"/>
      <c r="E89" s="330"/>
      <c r="F89" s="330"/>
      <c r="G89" s="330"/>
      <c r="H89" s="331"/>
      <c r="I89" s="632" t="s">
        <v>1631</v>
      </c>
      <c r="J89" s="632"/>
      <c r="K89" s="632"/>
    </row>
    <row r="90" spans="2:13">
      <c r="C90" s="260"/>
      <c r="E90" s="330"/>
      <c r="F90" s="330"/>
      <c r="G90" s="330"/>
      <c r="H90" s="332"/>
      <c r="I90" s="333"/>
      <c r="J90" s="333"/>
      <c r="K90" s="333"/>
    </row>
    <row r="91" spans="2:13">
      <c r="C91" s="260"/>
      <c r="E91" s="330"/>
      <c r="F91" s="330"/>
      <c r="G91" s="330"/>
      <c r="H91" s="332"/>
      <c r="I91" s="332"/>
      <c r="J91" s="332"/>
      <c r="K91" s="332"/>
    </row>
    <row r="92" spans="2:13">
      <c r="C92" s="260"/>
      <c r="E92" s="330"/>
      <c r="F92" s="330"/>
      <c r="G92" s="330"/>
      <c r="H92" s="332"/>
      <c r="I92" s="332"/>
      <c r="J92" s="332"/>
      <c r="K92" s="332"/>
    </row>
    <row r="93" spans="2:13">
      <c r="C93" s="260"/>
      <c r="E93" s="330"/>
      <c r="F93" s="330"/>
      <c r="G93" s="330"/>
      <c r="H93" s="332"/>
      <c r="I93" s="332"/>
      <c r="J93" s="332"/>
      <c r="K93" s="332"/>
    </row>
    <row r="94" spans="2:13">
      <c r="C94" s="260"/>
      <c r="E94" s="330"/>
      <c r="F94" s="330"/>
      <c r="G94" s="330"/>
      <c r="H94" s="334"/>
      <c r="I94" s="632" t="s">
        <v>1632</v>
      </c>
      <c r="J94" s="632"/>
      <c r="K94" s="632"/>
    </row>
    <row r="95" spans="2:13">
      <c r="C95" s="328"/>
      <c r="E95" s="330"/>
      <c r="F95" s="330"/>
      <c r="G95" s="330"/>
      <c r="H95" s="332"/>
      <c r="I95" s="332"/>
      <c r="J95" s="332"/>
      <c r="K95" s="332"/>
    </row>
    <row r="96" spans="2:13">
      <c r="C96" s="328"/>
      <c r="E96" s="330"/>
      <c r="F96" s="330"/>
      <c r="G96" s="330"/>
      <c r="H96" s="332"/>
      <c r="I96" s="332"/>
      <c r="J96" s="332"/>
      <c r="K96" s="332"/>
    </row>
    <row r="97" spans="3:11">
      <c r="C97" s="328"/>
      <c r="E97" s="330"/>
      <c r="F97" s="330"/>
      <c r="G97" s="330"/>
      <c r="H97" s="332"/>
      <c r="I97" s="332"/>
      <c r="J97" s="332"/>
      <c r="K97" s="332"/>
    </row>
  </sheetData>
  <sheetProtection sort="0" autoFilter="0"/>
  <protectedRanges>
    <protectedRange sqref="B75" name="Range1_1"/>
    <protectedRange sqref="F75" name="Range1_1_3"/>
    <protectedRange sqref="F15" name="Range1_1_2_2"/>
    <protectedRange sqref="B74:C74" name="Range1_1_5"/>
    <protectedRange sqref="B73:C73" name="Range1_1_6"/>
    <protectedRange sqref="B53:C54 B65 B22:B24 B66:C68 B59:C64 B69:B72 B55:B58 B26:C31 B32 B33:C37 B39:C42 B43:B44 B46:C50 B51" name="Range1_1_2"/>
    <protectedRange sqref="B15 B25:C25 C22:C24 C43:C44 B45:C45 B38:C38" name="Range1_6"/>
    <protectedRange sqref="C52" name="Range1_1_2_1"/>
    <protectedRange sqref="C65" name="Range1_1_2_3"/>
    <protectedRange sqref="C56 C58" name="Range1_3"/>
    <protectedRange sqref="C55 C57" name="Range1_2_1"/>
    <protectedRange sqref="C51" name="Range1_1_1_2"/>
    <protectedRange sqref="B16:B21" name="Range1_1_1_1_1"/>
    <protectedRange sqref="C21 C19 C17" name="Range1_6_1_2"/>
    <protectedRange sqref="C20 C18 C16" name="Range1_1_2_12"/>
    <protectedRange sqref="C70:C71" name="Range1_1_2_11"/>
    <protectedRange sqref="C72" name="Range1_1_2_13"/>
    <protectedRange sqref="B52" name="Range1_1_2_4"/>
  </protectedRanges>
  <mergeCells count="22">
    <mergeCell ref="I89:K89"/>
    <mergeCell ref="I94:K94"/>
    <mergeCell ref="C82:F82"/>
    <mergeCell ref="I88:K88"/>
    <mergeCell ref="C81:F81"/>
    <mergeCell ref="B83:K84"/>
    <mergeCell ref="H87:K87"/>
    <mergeCell ref="O3:P4"/>
    <mergeCell ref="B4:K4"/>
    <mergeCell ref="C80:F80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9" type="noConversion"/>
  <conditionalFormatting sqref="C15:C16 C18 C20">
    <cfRule type="cellIs" dxfId="13" priority="30" operator="equal">
      <formula>0</formula>
    </cfRule>
  </conditionalFormatting>
  <conditionalFormatting sqref="C52">
    <cfRule type="cellIs" dxfId="12" priority="33" operator="equal">
      <formula>0</formula>
    </cfRule>
  </conditionalFormatting>
  <conditionalFormatting sqref="C55:C58">
    <cfRule type="cellIs" dxfId="11" priority="32" operator="equal">
      <formula>0</formula>
    </cfRule>
  </conditionalFormatting>
  <conditionalFormatting sqref="C62">
    <cfRule type="cellIs" dxfId="10" priority="31" operator="equal">
      <formula>0</formula>
    </cfRule>
  </conditionalFormatting>
  <conditionalFormatting sqref="C69:C72">
    <cfRule type="cellIs" dxfId="9" priority="26" operator="equal">
      <formula>0</formula>
    </cfRule>
  </conditionalFormatting>
  <conditionalFormatting sqref="C75">
    <cfRule type="cellIs" dxfId="8" priority="204" operator="equal">
      <formula>0</formula>
    </cfRule>
  </conditionalFormatting>
  <conditionalFormatting sqref="E1:E3 H12:I12 O13 H75:K79 G76:H76 E78:H78 E79:F79">
    <cfRule type="cellIs" dxfId="7" priority="1007" stopIfTrue="1" operator="equal">
      <formula>0</formula>
    </cfRule>
  </conditionalFormatting>
  <conditionalFormatting sqref="E5:E37 S14:V74">
    <cfRule type="cellIs" dxfId="6" priority="5" stopIfTrue="1" operator="equal">
      <formula>0</formula>
    </cfRule>
  </conditionalFormatting>
  <conditionalFormatting sqref="E75:G77">
    <cfRule type="cellIs" dxfId="5" priority="203" stopIfTrue="1" operator="equal">
      <formula>0</formula>
    </cfRule>
  </conditionalFormatting>
  <conditionalFormatting sqref="E38:K74">
    <cfRule type="cellIs" dxfId="4" priority="1" stopIfTrue="1" operator="equal">
      <formula>0</formula>
    </cfRule>
  </conditionalFormatting>
  <conditionalFormatting sqref="F25:F36">
    <cfRule type="cellIs" dxfId="3" priority="2" stopIfTrue="1" operator="equal">
      <formula>0</formula>
    </cfRule>
  </conditionalFormatting>
  <conditionalFormatting sqref="F14:K23 G24:K36 F37:K37">
    <cfRule type="cellIs" dxfId="2" priority="10" stopIfTrue="1" operator="equal">
      <formula>0</formula>
    </cfRule>
  </conditionalFormatting>
  <conditionalFormatting sqref="G1:G13">
    <cfRule type="cellIs" dxfId="1" priority="34" stopIfTrue="1" operator="equal">
      <formula>0</formula>
    </cfRule>
  </conditionalFormatting>
  <conditionalFormatting sqref="G78:G65544 E83:E65544">
    <cfRule type="cellIs" dxfId="0" priority="14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2:F23 F25:F36 H14:K79 F38:F60 F66:F7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DE823-0DF3-4727-BE8E-4C73614AC7A8}">
  <sheetPr>
    <tabColor rgb="FF92D050"/>
  </sheetPr>
  <dimension ref="C1:AD55"/>
  <sheetViews>
    <sheetView showGridLines="0" tabSelected="1" view="pageBreakPreview" topLeftCell="A19" zoomScaleNormal="100" zoomScaleSheetLayoutView="100" workbookViewId="0">
      <selection activeCell="K6" sqref="K6:L6"/>
    </sheetView>
  </sheetViews>
  <sheetFormatPr defaultColWidth="9.140625" defaultRowHeight="12"/>
  <cols>
    <col min="1" max="2" width="1.42578125" style="475" customWidth="1"/>
    <col min="3" max="3" width="7.42578125" style="475" customWidth="1"/>
    <col min="4" max="23" width="5.7109375" style="475" customWidth="1"/>
    <col min="24" max="24" width="6.28515625" style="475" customWidth="1"/>
    <col min="25" max="26" width="5.7109375" style="475" customWidth="1"/>
    <col min="27" max="27" width="6.42578125" style="475" customWidth="1"/>
    <col min="28" max="118" width="5.7109375" style="475" customWidth="1"/>
    <col min="119" max="16384" width="9.140625" style="475"/>
  </cols>
  <sheetData>
    <row r="1" spans="3:30" ht="12.75" thickBot="1"/>
    <row r="2" spans="3:30" ht="12.75" customHeight="1">
      <c r="C2" s="399"/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0"/>
      <c r="Q2" s="400"/>
      <c r="R2" s="400"/>
      <c r="S2" s="400"/>
      <c r="T2" s="400"/>
      <c r="U2" s="400"/>
      <c r="V2" s="400"/>
      <c r="W2" s="697" t="s">
        <v>1409</v>
      </c>
      <c r="X2" s="698"/>
      <c r="Y2" s="698"/>
      <c r="Z2" s="698"/>
      <c r="AA2" s="698"/>
      <c r="AB2" s="698"/>
      <c r="AC2" s="698"/>
      <c r="AD2" s="699"/>
    </row>
    <row r="3" spans="3:30">
      <c r="C3" s="401"/>
      <c r="D3" s="494" t="s">
        <v>1664</v>
      </c>
      <c r="E3" s="494"/>
      <c r="F3" s="495"/>
      <c r="G3" s="494"/>
      <c r="H3" s="494"/>
      <c r="I3" s="494"/>
      <c r="J3" s="494"/>
      <c r="K3" s="495"/>
      <c r="L3" s="495"/>
      <c r="W3" s="700"/>
      <c r="X3" s="701"/>
      <c r="Y3" s="701"/>
      <c r="Z3" s="701"/>
      <c r="AA3" s="701"/>
      <c r="AB3" s="701"/>
      <c r="AC3" s="701"/>
      <c r="AD3" s="702"/>
    </row>
    <row r="4" spans="3:30">
      <c r="C4" s="401"/>
      <c r="D4" s="692"/>
      <c r="E4" s="692"/>
      <c r="F4" s="437" t="s">
        <v>1582</v>
      </c>
      <c r="G4" s="693" t="s">
        <v>1583</v>
      </c>
      <c r="H4" s="694"/>
      <c r="I4" s="693" t="s">
        <v>1584</v>
      </c>
      <c r="J4" s="694"/>
      <c r="K4" s="695" t="s">
        <v>1585</v>
      </c>
      <c r="L4" s="696"/>
      <c r="W4" s="402" t="s">
        <v>1586</v>
      </c>
      <c r="AD4" s="403"/>
    </row>
    <row r="5" spans="3:30">
      <c r="C5" s="401"/>
      <c r="D5" s="692" t="s">
        <v>1587</v>
      </c>
      <c r="E5" s="692"/>
      <c r="F5" s="437">
        <v>16</v>
      </c>
      <c r="G5" s="693">
        <v>63</v>
      </c>
      <c r="H5" s="694"/>
      <c r="I5" s="693">
        <v>82</v>
      </c>
      <c r="J5" s="694"/>
      <c r="K5" s="695"/>
      <c r="L5" s="696"/>
      <c r="W5" s="436" t="s">
        <v>1588</v>
      </c>
      <c r="X5" s="649" t="s">
        <v>1589</v>
      </c>
      <c r="Y5" s="649"/>
      <c r="Z5" s="649"/>
      <c r="AA5" s="649" t="s">
        <v>1590</v>
      </c>
      <c r="AB5" s="649"/>
      <c r="AC5" s="649" t="s">
        <v>1591</v>
      </c>
      <c r="AD5" s="650"/>
    </row>
    <row r="6" spans="3:30">
      <c r="C6" s="401"/>
      <c r="D6" s="692" t="s">
        <v>1592</v>
      </c>
      <c r="E6" s="692"/>
      <c r="F6" s="437">
        <v>4</v>
      </c>
      <c r="G6" s="693">
        <v>19</v>
      </c>
      <c r="H6" s="694"/>
      <c r="I6" s="693">
        <v>11</v>
      </c>
      <c r="J6" s="694"/>
      <c r="K6" s="695"/>
      <c r="L6" s="696"/>
      <c r="W6" s="436">
        <v>1</v>
      </c>
      <c r="X6" s="649" t="s">
        <v>1593</v>
      </c>
      <c r="Y6" s="649"/>
      <c r="Z6" s="649"/>
      <c r="AA6" s="649"/>
      <c r="AB6" s="649"/>
      <c r="AC6" s="649"/>
      <c r="AD6" s="650"/>
    </row>
    <row r="7" spans="3:30">
      <c r="C7" s="401"/>
      <c r="W7" s="436">
        <v>2</v>
      </c>
      <c r="X7" s="649" t="s">
        <v>1594</v>
      </c>
      <c r="Y7" s="649"/>
      <c r="Z7" s="649"/>
      <c r="AA7" s="649"/>
      <c r="AB7" s="649"/>
      <c r="AC7" s="649"/>
      <c r="AD7" s="650"/>
    </row>
    <row r="8" spans="3:30">
      <c r="C8" s="401"/>
      <c r="W8" s="436">
        <v>3</v>
      </c>
      <c r="X8" s="649" t="s">
        <v>1595</v>
      </c>
      <c r="Y8" s="649"/>
      <c r="Z8" s="649"/>
      <c r="AA8" s="649"/>
      <c r="AB8" s="649"/>
      <c r="AC8" s="649"/>
      <c r="AD8" s="650"/>
    </row>
    <row r="9" spans="3:30">
      <c r="C9" s="401"/>
      <c r="W9" s="436">
        <v>4</v>
      </c>
      <c r="X9" s="649" t="s">
        <v>1596</v>
      </c>
      <c r="Y9" s="649"/>
      <c r="Z9" s="649"/>
      <c r="AA9" s="649"/>
      <c r="AB9" s="649"/>
      <c r="AC9" s="649"/>
      <c r="AD9" s="650"/>
    </row>
    <row r="10" spans="3:30">
      <c r="C10" s="401"/>
      <c r="W10" s="436">
        <v>5</v>
      </c>
      <c r="X10" s="649" t="s">
        <v>1597</v>
      </c>
      <c r="Y10" s="649"/>
      <c r="Z10" s="649"/>
      <c r="AA10" s="649"/>
      <c r="AB10" s="649"/>
      <c r="AC10" s="649"/>
      <c r="AD10" s="650"/>
    </row>
    <row r="11" spans="3:30">
      <c r="C11" s="401"/>
      <c r="W11" s="436">
        <v>6</v>
      </c>
      <c r="X11" s="649" t="s">
        <v>1598</v>
      </c>
      <c r="Y11" s="649"/>
      <c r="Z11" s="649"/>
      <c r="AA11" s="649"/>
      <c r="AB11" s="649"/>
      <c r="AC11" s="649"/>
      <c r="AD11" s="650"/>
    </row>
    <row r="12" spans="3:30">
      <c r="C12" s="401"/>
      <c r="W12" s="436">
        <v>7</v>
      </c>
      <c r="X12" s="649" t="s">
        <v>1599</v>
      </c>
      <c r="Y12" s="649"/>
      <c r="Z12" s="649"/>
      <c r="AA12" s="649"/>
      <c r="AB12" s="649"/>
      <c r="AC12" s="649"/>
      <c r="AD12" s="650"/>
    </row>
    <row r="13" spans="3:30" ht="12.75" customHeight="1">
      <c r="C13" s="401"/>
      <c r="W13" s="436">
        <v>8</v>
      </c>
      <c r="X13" s="649" t="s">
        <v>1600</v>
      </c>
      <c r="Y13" s="649"/>
      <c r="Z13" s="649"/>
      <c r="AA13" s="649"/>
      <c r="AB13" s="649"/>
      <c r="AC13" s="649"/>
      <c r="AD13" s="650"/>
    </row>
    <row r="14" spans="3:30">
      <c r="C14" s="401"/>
      <c r="W14" s="436">
        <v>9</v>
      </c>
      <c r="X14" s="649" t="s">
        <v>1601</v>
      </c>
      <c r="Y14" s="649"/>
      <c r="Z14" s="649"/>
      <c r="AA14" s="649"/>
      <c r="AB14" s="649"/>
      <c r="AC14" s="649"/>
      <c r="AD14" s="650"/>
    </row>
    <row r="15" spans="3:30">
      <c r="C15" s="401"/>
      <c r="W15" s="436">
        <v>10</v>
      </c>
      <c r="X15" s="649" t="s">
        <v>1602</v>
      </c>
      <c r="Y15" s="649"/>
      <c r="Z15" s="649"/>
      <c r="AA15" s="649"/>
      <c r="AB15" s="649"/>
      <c r="AC15" s="649"/>
      <c r="AD15" s="650"/>
    </row>
    <row r="16" spans="3:30">
      <c r="C16" s="401"/>
      <c r="W16" s="436">
        <v>11</v>
      </c>
      <c r="X16" s="649" t="s">
        <v>1603</v>
      </c>
      <c r="Y16" s="649"/>
      <c r="Z16" s="649"/>
      <c r="AA16" s="649"/>
      <c r="AB16" s="649"/>
      <c r="AC16" s="649"/>
      <c r="AD16" s="650"/>
    </row>
    <row r="17" spans="3:30">
      <c r="C17" s="401"/>
      <c r="S17" s="404"/>
      <c r="W17" s="436">
        <v>12</v>
      </c>
      <c r="X17" s="649" t="s">
        <v>1604</v>
      </c>
      <c r="Y17" s="649"/>
      <c r="Z17" s="649"/>
      <c r="AA17" s="649"/>
      <c r="AB17" s="649"/>
      <c r="AC17" s="649"/>
      <c r="AD17" s="650"/>
    </row>
    <row r="18" spans="3:30">
      <c r="C18" s="405"/>
      <c r="D18" s="406"/>
      <c r="E18" s="406"/>
      <c r="W18" s="436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01"/>
      <c r="W19" s="434"/>
      <c r="X19" s="681"/>
      <c r="Y19" s="681"/>
      <c r="Z19" s="681"/>
      <c r="AA19" s="681"/>
      <c r="AB19" s="681"/>
      <c r="AC19" s="681"/>
      <c r="AD19" s="682"/>
    </row>
    <row r="20" spans="3:30">
      <c r="C20" s="401"/>
      <c r="W20" s="683" t="s">
        <v>1605</v>
      </c>
      <c r="X20" s="684"/>
      <c r="Y20" s="684"/>
      <c r="Z20" s="684"/>
      <c r="AA20" s="684"/>
      <c r="AB20" s="684"/>
      <c r="AC20" s="684"/>
      <c r="AD20" s="685"/>
    </row>
    <row r="21" spans="3:30">
      <c r="C21" s="401"/>
      <c r="W21" s="686" t="s">
        <v>1606</v>
      </c>
      <c r="X21" s="687"/>
      <c r="Y21" s="687"/>
      <c r="Z21" s="688"/>
      <c r="AA21" s="689" t="s">
        <v>1607</v>
      </c>
      <c r="AB21" s="690"/>
      <c r="AC21" s="690"/>
      <c r="AD21" s="691"/>
    </row>
    <row r="22" spans="3:30">
      <c r="C22" s="401"/>
      <c r="W22" s="665" t="s">
        <v>1654</v>
      </c>
      <c r="X22" s="666"/>
      <c r="Y22" s="407" t="s">
        <v>1028</v>
      </c>
      <c r="Z22" s="408">
        <v>1</v>
      </c>
      <c r="AA22" s="433"/>
      <c r="AB22" s="433"/>
      <c r="AC22" s="432"/>
      <c r="AD22" s="431"/>
    </row>
    <row r="23" spans="3:30">
      <c r="C23" s="401"/>
      <c r="W23" s="661" t="s">
        <v>1634</v>
      </c>
      <c r="X23" s="662"/>
      <c r="Y23" s="407" t="s">
        <v>1028</v>
      </c>
      <c r="Z23" s="408">
        <v>0</v>
      </c>
      <c r="AA23" s="677" t="s">
        <v>1655</v>
      </c>
      <c r="AB23" s="678"/>
      <c r="AC23" s="432" t="s">
        <v>1028</v>
      </c>
      <c r="AD23" s="431">
        <v>1</v>
      </c>
    </row>
    <row r="24" spans="3:30">
      <c r="C24" s="401"/>
      <c r="W24" s="661" t="s">
        <v>1625</v>
      </c>
      <c r="X24" s="662"/>
      <c r="Y24" s="407" t="s">
        <v>1028</v>
      </c>
      <c r="Z24" s="408">
        <v>0</v>
      </c>
      <c r="AA24" s="679" t="s">
        <v>1626</v>
      </c>
      <c r="AB24" s="680"/>
      <c r="AC24" s="432" t="s">
        <v>1028</v>
      </c>
      <c r="AD24" s="431">
        <v>0</v>
      </c>
    </row>
    <row r="25" spans="3:30">
      <c r="C25" s="401"/>
      <c r="W25" s="675" t="s">
        <v>1514</v>
      </c>
      <c r="X25" s="676"/>
      <c r="Y25" s="409" t="s">
        <v>1028</v>
      </c>
      <c r="Z25" s="410">
        <v>2</v>
      </c>
      <c r="AA25" s="677" t="s">
        <v>1627</v>
      </c>
      <c r="AB25" s="678"/>
      <c r="AC25" s="432" t="s">
        <v>1628</v>
      </c>
      <c r="AD25" s="431">
        <v>0</v>
      </c>
    </row>
    <row r="26" spans="3:30">
      <c r="C26" s="401"/>
      <c r="W26" s="675" t="s">
        <v>1629</v>
      </c>
      <c r="X26" s="676"/>
      <c r="Y26" s="407" t="s">
        <v>1628</v>
      </c>
      <c r="Z26" s="408">
        <v>0</v>
      </c>
      <c r="AA26" s="677" t="s">
        <v>1624</v>
      </c>
      <c r="AB26" s="678"/>
      <c r="AC26" s="432" t="s">
        <v>1028</v>
      </c>
      <c r="AD26" s="431">
        <v>0</v>
      </c>
    </row>
    <row r="27" spans="3:30">
      <c r="C27" s="401"/>
      <c r="W27" s="665" t="s">
        <v>1635</v>
      </c>
      <c r="X27" s="666"/>
      <c r="Y27" s="407" t="s">
        <v>1636</v>
      </c>
      <c r="Z27" s="408">
        <v>0</v>
      </c>
      <c r="AA27" s="667"/>
      <c r="AB27" s="668"/>
      <c r="AC27" s="432"/>
      <c r="AD27" s="431"/>
    </row>
    <row r="28" spans="3:30">
      <c r="C28" s="401"/>
      <c r="W28" s="661" t="s">
        <v>1637</v>
      </c>
      <c r="X28" s="662"/>
      <c r="Y28" s="407" t="s">
        <v>1028</v>
      </c>
      <c r="Z28" s="408">
        <v>0</v>
      </c>
      <c r="AA28" s="667"/>
      <c r="AB28" s="668"/>
      <c r="AC28" s="432"/>
      <c r="AD28" s="431"/>
    </row>
    <row r="29" spans="3:30">
      <c r="C29" s="401"/>
      <c r="W29" s="665" t="s">
        <v>1638</v>
      </c>
      <c r="X29" s="674"/>
      <c r="Y29" s="407" t="s">
        <v>1028</v>
      </c>
      <c r="Z29" s="408">
        <v>0</v>
      </c>
      <c r="AA29" s="667"/>
      <c r="AB29" s="668"/>
      <c r="AC29" s="432"/>
      <c r="AD29" s="431"/>
    </row>
    <row r="30" spans="3:30" ht="11.25" customHeight="1">
      <c r="C30" s="401"/>
      <c r="W30" s="665" t="s">
        <v>1639</v>
      </c>
      <c r="X30" s="674"/>
      <c r="Y30" s="407" t="s">
        <v>1028</v>
      </c>
      <c r="Z30" s="408">
        <v>0</v>
      </c>
      <c r="AA30" s="667"/>
      <c r="AB30" s="668"/>
      <c r="AC30" s="432"/>
      <c r="AD30" s="431"/>
    </row>
    <row r="31" spans="3:30">
      <c r="C31" s="401"/>
      <c r="U31" s="411"/>
      <c r="W31" s="665" t="s">
        <v>1640</v>
      </c>
      <c r="X31" s="674"/>
      <c r="Y31" s="407" t="s">
        <v>1028</v>
      </c>
      <c r="Z31" s="408">
        <v>0</v>
      </c>
      <c r="AA31" s="667"/>
      <c r="AB31" s="668"/>
      <c r="AC31" s="432"/>
      <c r="AD31" s="431"/>
    </row>
    <row r="32" spans="3:30">
      <c r="C32" s="401"/>
      <c r="U32" s="411"/>
      <c r="W32" s="665" t="s">
        <v>1641</v>
      </c>
      <c r="X32" s="674"/>
      <c r="Y32" s="407" t="s">
        <v>1028</v>
      </c>
      <c r="Z32" s="408">
        <v>0</v>
      </c>
      <c r="AA32" s="667"/>
      <c r="AB32" s="668"/>
      <c r="AC32" s="432"/>
      <c r="AD32" s="431"/>
    </row>
    <row r="33" spans="3:30">
      <c r="C33" s="401"/>
      <c r="W33" s="675" t="s">
        <v>1642</v>
      </c>
      <c r="X33" s="676"/>
      <c r="Y33" s="407" t="s">
        <v>1028</v>
      </c>
      <c r="Z33" s="410">
        <v>0</v>
      </c>
      <c r="AA33" s="667"/>
      <c r="AB33" s="668"/>
      <c r="AC33" s="432"/>
      <c r="AD33" s="431"/>
    </row>
    <row r="34" spans="3:30">
      <c r="C34" s="401"/>
      <c r="W34" s="665" t="s">
        <v>1643</v>
      </c>
      <c r="X34" s="666"/>
      <c r="Y34" s="407" t="s">
        <v>1028</v>
      </c>
      <c r="Z34" s="408">
        <v>0</v>
      </c>
      <c r="AA34" s="667"/>
      <c r="AB34" s="668"/>
      <c r="AC34" s="432"/>
      <c r="AD34" s="431"/>
    </row>
    <row r="35" spans="3:30">
      <c r="C35" s="401"/>
      <c r="W35" s="665" t="s">
        <v>1644</v>
      </c>
      <c r="X35" s="666"/>
      <c r="Y35" s="407" t="s">
        <v>1028</v>
      </c>
      <c r="Z35" s="408">
        <v>0</v>
      </c>
      <c r="AA35" s="667"/>
      <c r="AB35" s="668"/>
      <c r="AC35" s="432"/>
      <c r="AD35" s="431"/>
    </row>
    <row r="36" spans="3:30">
      <c r="C36" s="401"/>
      <c r="W36" s="669" t="s">
        <v>1645</v>
      </c>
      <c r="X36" s="670"/>
      <c r="Y36" s="407" t="s">
        <v>1628</v>
      </c>
      <c r="Z36" s="410">
        <v>0</v>
      </c>
      <c r="AA36" s="671"/>
      <c r="AB36" s="668"/>
      <c r="AC36" s="432"/>
      <c r="AD36" s="431"/>
    </row>
    <row r="37" spans="3:30" ht="12.75" customHeight="1">
      <c r="C37" s="401"/>
      <c r="W37" s="657" t="s">
        <v>1646</v>
      </c>
      <c r="X37" s="658"/>
      <c r="Y37" s="407" t="s">
        <v>1647</v>
      </c>
      <c r="Z37" s="410">
        <v>0</v>
      </c>
      <c r="AA37" s="672"/>
      <c r="AB37" s="673"/>
      <c r="AC37" s="428"/>
      <c r="AD37" s="427"/>
    </row>
    <row r="38" spans="3:30" ht="12.75" customHeight="1">
      <c r="C38" s="401"/>
      <c r="W38" s="657" t="s">
        <v>1648</v>
      </c>
      <c r="X38" s="658"/>
      <c r="Y38" s="407" t="s">
        <v>1647</v>
      </c>
      <c r="Z38" s="410">
        <v>0</v>
      </c>
      <c r="AA38" s="430"/>
      <c r="AB38" s="429"/>
      <c r="AC38" s="428"/>
      <c r="AD38" s="427"/>
    </row>
    <row r="39" spans="3:30" ht="12" customHeight="1">
      <c r="C39" s="401"/>
      <c r="W39" s="657" t="s">
        <v>1649</v>
      </c>
      <c r="X39" s="658"/>
      <c r="Y39" s="407" t="s">
        <v>1647</v>
      </c>
      <c r="Z39" s="412">
        <v>0</v>
      </c>
      <c r="AA39" s="659"/>
      <c r="AB39" s="660"/>
      <c r="AC39" s="428"/>
      <c r="AD39" s="427"/>
    </row>
    <row r="40" spans="3:30" ht="12" customHeight="1">
      <c r="C40" s="401"/>
      <c r="W40" s="661" t="s">
        <v>1651</v>
      </c>
      <c r="X40" s="662"/>
      <c r="Y40" s="409" t="s">
        <v>1628</v>
      </c>
      <c r="Z40" s="412">
        <v>0</v>
      </c>
      <c r="AA40" s="438"/>
      <c r="AB40" s="426"/>
      <c r="AC40" s="428"/>
      <c r="AD40" s="427"/>
    </row>
    <row r="41" spans="3:30" ht="12" customHeight="1">
      <c r="C41" s="401"/>
      <c r="W41" s="663"/>
      <c r="X41" s="664"/>
      <c r="Y41" s="413"/>
      <c r="Z41" s="414"/>
      <c r="AA41" s="659"/>
      <c r="AB41" s="660"/>
      <c r="AC41" s="428"/>
      <c r="AD41" s="427"/>
    </row>
    <row r="42" spans="3:30" ht="12" customHeight="1">
      <c r="C42" s="401"/>
      <c r="W42" s="654" t="s">
        <v>1656</v>
      </c>
      <c r="X42" s="655"/>
      <c r="Y42" s="655"/>
      <c r="Z42" s="655"/>
      <c r="AA42" s="655"/>
      <c r="AB42" s="655"/>
      <c r="AC42" s="655"/>
      <c r="AD42" s="656"/>
    </row>
    <row r="43" spans="3:30" ht="12" customHeight="1">
      <c r="C43" s="401"/>
      <c r="V43" s="415"/>
      <c r="W43" s="416"/>
      <c r="X43" s="417"/>
      <c r="Y43" s="417"/>
      <c r="Z43" s="417"/>
      <c r="AA43" s="417"/>
      <c r="AB43" s="417"/>
      <c r="AC43" s="417"/>
      <c r="AD43" s="418"/>
    </row>
    <row r="44" spans="3:30">
      <c r="C44" s="419"/>
      <c r="D44" s="420"/>
      <c r="E44" s="420"/>
      <c r="F44" s="420"/>
      <c r="G44" s="420"/>
      <c r="H44" s="420"/>
      <c r="I44" s="420"/>
      <c r="J44" s="420"/>
      <c r="K44" s="420"/>
      <c r="L44" s="420"/>
      <c r="M44" s="420"/>
      <c r="N44" s="420"/>
      <c r="O44" s="420"/>
      <c r="P44" s="420"/>
      <c r="Q44" s="420"/>
      <c r="R44" s="420"/>
      <c r="S44" s="420"/>
      <c r="T44" s="420"/>
      <c r="U44" s="420"/>
      <c r="V44" s="415"/>
      <c r="W44" s="647" t="s">
        <v>1608</v>
      </c>
      <c r="X44" s="648"/>
      <c r="Y44" s="649"/>
      <c r="Z44" s="649"/>
      <c r="AA44" s="649"/>
      <c r="AB44" s="649"/>
      <c r="AC44" s="649"/>
      <c r="AD44" s="650"/>
    </row>
    <row r="45" spans="3:30">
      <c r="C45" s="419"/>
      <c r="D45" s="420"/>
      <c r="E45" s="420"/>
      <c r="F45" s="420"/>
      <c r="G45" s="420"/>
      <c r="H45" s="420"/>
      <c r="I45" s="420"/>
      <c r="J45" s="420"/>
      <c r="K45" s="420"/>
      <c r="L45" s="420"/>
      <c r="M45" s="420"/>
      <c r="N45" s="420"/>
      <c r="O45" s="420"/>
      <c r="P45" s="420"/>
      <c r="Q45" s="420"/>
      <c r="R45" s="420"/>
      <c r="S45" s="420"/>
      <c r="T45" s="420"/>
      <c r="U45" s="420"/>
      <c r="V45" s="415"/>
      <c r="W45" s="647" t="s">
        <v>1609</v>
      </c>
      <c r="X45" s="648"/>
      <c r="Y45" s="649">
        <v>1</v>
      </c>
      <c r="Z45" s="649"/>
      <c r="AA45" s="649"/>
      <c r="AB45" s="649" t="s">
        <v>1610</v>
      </c>
      <c r="AC45" s="649"/>
      <c r="AD45" s="435" t="s">
        <v>1611</v>
      </c>
    </row>
    <row r="46" spans="3:30">
      <c r="C46" s="419"/>
      <c r="D46" s="420"/>
      <c r="E46" s="420"/>
      <c r="F46" s="420"/>
      <c r="G46" s="420"/>
      <c r="H46" s="420"/>
      <c r="I46" s="420"/>
      <c r="J46" s="420"/>
      <c r="K46" s="420"/>
      <c r="L46" s="420"/>
      <c r="M46" s="420"/>
      <c r="N46" s="420"/>
      <c r="O46" s="420"/>
      <c r="P46" s="420"/>
      <c r="Q46" s="420"/>
      <c r="R46" s="420"/>
      <c r="S46" s="420"/>
      <c r="T46" s="420"/>
      <c r="U46" s="420"/>
      <c r="V46" s="415"/>
      <c r="W46" s="647" t="s">
        <v>1612</v>
      </c>
      <c r="X46" s="648"/>
      <c r="Y46" s="651"/>
      <c r="Z46" s="651"/>
      <c r="AA46" s="651"/>
      <c r="AB46" s="649" t="s">
        <v>1613</v>
      </c>
      <c r="AC46" s="649"/>
      <c r="AD46" s="394"/>
    </row>
    <row r="47" spans="3:30">
      <c r="C47" s="419"/>
      <c r="D47" s="420"/>
      <c r="E47" s="420"/>
      <c r="F47" s="420"/>
      <c r="G47" s="420"/>
      <c r="H47" s="420"/>
      <c r="I47" s="420"/>
      <c r="J47" s="420"/>
      <c r="K47" s="420"/>
      <c r="L47" s="420"/>
      <c r="M47" s="420"/>
      <c r="N47" s="420"/>
      <c r="O47" s="420"/>
      <c r="P47" s="420"/>
      <c r="Q47" s="420"/>
      <c r="R47" s="420"/>
      <c r="S47" s="420"/>
      <c r="T47" s="420"/>
      <c r="U47" s="420"/>
      <c r="V47" s="415"/>
      <c r="W47" s="652" t="s">
        <v>1614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419"/>
      <c r="D48" s="420"/>
      <c r="E48" s="420"/>
      <c r="F48" s="420"/>
      <c r="G48" s="420"/>
      <c r="H48" s="420"/>
      <c r="I48" s="420"/>
      <c r="J48" s="420"/>
      <c r="K48" s="420"/>
      <c r="L48" s="420"/>
      <c r="M48" s="420"/>
      <c r="N48" s="420"/>
      <c r="O48" s="420"/>
      <c r="P48" s="420"/>
      <c r="Q48" s="420"/>
      <c r="R48" s="420"/>
      <c r="S48" s="420"/>
      <c r="T48" s="420"/>
      <c r="U48" s="420"/>
      <c r="V48" s="415"/>
      <c r="W48" s="502" t="str">
        <f>RAB!G6</f>
        <v>SMA N 1 MRANGGEN</v>
      </c>
      <c r="X48" s="502"/>
      <c r="Y48" s="502"/>
      <c r="Z48" s="502"/>
      <c r="AA48" s="502"/>
      <c r="AB48" s="502"/>
      <c r="AC48" s="502"/>
      <c r="AD48" s="503"/>
    </row>
    <row r="49" spans="3:30">
      <c r="C49" s="419"/>
      <c r="D49" s="420"/>
      <c r="E49" s="420"/>
      <c r="F49" s="420"/>
      <c r="G49" s="420"/>
      <c r="H49" s="420"/>
      <c r="I49" s="420"/>
      <c r="J49" s="420"/>
      <c r="K49" s="420"/>
      <c r="L49" s="420"/>
      <c r="M49" s="420"/>
      <c r="N49" s="420"/>
      <c r="O49" s="420"/>
      <c r="P49" s="420"/>
      <c r="Q49" s="420"/>
      <c r="R49" s="420"/>
      <c r="S49" s="420"/>
      <c r="T49" s="420"/>
      <c r="U49" s="420"/>
      <c r="V49" s="421"/>
      <c r="W49" s="502" t="str">
        <f>RAB!G7</f>
        <v>MENUR NGEMPLAK MRANGGEN</v>
      </c>
      <c r="X49" s="502"/>
      <c r="Y49" s="502"/>
      <c r="Z49" s="502"/>
      <c r="AA49" s="502"/>
      <c r="AB49" s="502"/>
      <c r="AC49" s="502"/>
      <c r="AD49" s="503"/>
    </row>
    <row r="50" spans="3:30">
      <c r="C50" s="419"/>
      <c r="D50" s="420"/>
      <c r="E50" s="420"/>
      <c r="F50" s="420"/>
      <c r="G50" s="420"/>
      <c r="H50" s="420"/>
      <c r="I50" s="420"/>
      <c r="J50" s="420"/>
      <c r="K50" s="420"/>
      <c r="L50" s="420"/>
      <c r="M50" s="420"/>
      <c r="N50" s="420"/>
      <c r="O50" s="420"/>
      <c r="P50" s="420"/>
      <c r="Q50" s="420"/>
      <c r="R50" s="420"/>
      <c r="S50" s="420"/>
      <c r="T50" s="420"/>
      <c r="U50" s="420"/>
      <c r="V50" s="421"/>
      <c r="W50" s="502"/>
      <c r="X50" s="502"/>
      <c r="Y50" s="502"/>
      <c r="Z50" s="502"/>
      <c r="AA50" s="502"/>
      <c r="AB50" s="502"/>
      <c r="AC50" s="502"/>
      <c r="AD50" s="503"/>
    </row>
    <row r="51" spans="3:30" ht="19.5" customHeight="1">
      <c r="C51" s="419"/>
      <c r="D51" s="420"/>
      <c r="E51" s="420"/>
      <c r="F51" s="420"/>
      <c r="G51" s="420"/>
      <c r="H51" s="420"/>
      <c r="I51" s="420"/>
      <c r="J51" s="420"/>
      <c r="K51" s="420"/>
      <c r="L51" s="420"/>
      <c r="M51" s="420"/>
      <c r="N51" s="420"/>
      <c r="O51" s="420"/>
      <c r="P51" s="420"/>
      <c r="Q51" s="420"/>
      <c r="R51" s="420"/>
      <c r="S51" s="420"/>
      <c r="T51" s="420"/>
      <c r="U51" s="420"/>
      <c r="V51" s="421"/>
      <c r="W51" s="504"/>
      <c r="X51" s="504"/>
      <c r="Y51" s="504"/>
      <c r="Z51" s="504"/>
      <c r="AA51" s="504"/>
      <c r="AB51" s="504"/>
      <c r="AC51" s="504"/>
      <c r="AD51" s="505"/>
    </row>
    <row r="52" spans="3:30">
      <c r="C52" s="419"/>
      <c r="D52" s="420"/>
      <c r="E52" s="420"/>
      <c r="F52" s="420"/>
      <c r="G52" s="420"/>
      <c r="H52" s="420"/>
      <c r="I52" s="420"/>
      <c r="J52" s="420"/>
      <c r="K52" s="420"/>
      <c r="L52" s="420"/>
      <c r="M52" s="420"/>
      <c r="N52" s="420"/>
      <c r="O52" s="420"/>
      <c r="P52" s="420"/>
      <c r="Q52" s="420"/>
      <c r="R52" s="420"/>
      <c r="S52" s="420"/>
      <c r="T52" s="420"/>
      <c r="U52" s="420"/>
      <c r="V52" s="415"/>
      <c r="W52" s="647" t="s">
        <v>1615</v>
      </c>
      <c r="X52" s="648"/>
      <c r="Y52" s="649" t="s">
        <v>1616</v>
      </c>
      <c r="Z52" s="649"/>
      <c r="AA52" s="649"/>
      <c r="AB52" s="649"/>
      <c r="AC52" s="649"/>
      <c r="AD52" s="650"/>
    </row>
    <row r="53" spans="3:30">
      <c r="C53" s="419"/>
      <c r="D53" s="420"/>
      <c r="E53" s="420"/>
      <c r="F53" s="420"/>
      <c r="G53" s="420"/>
      <c r="H53" s="420"/>
      <c r="I53" s="420"/>
      <c r="J53" s="420"/>
      <c r="K53" s="420"/>
      <c r="L53" s="420"/>
      <c r="M53" s="420"/>
      <c r="N53" s="420"/>
      <c r="O53" s="420"/>
      <c r="P53" s="420"/>
      <c r="Q53" s="420"/>
      <c r="R53" s="420"/>
      <c r="S53" s="420"/>
      <c r="T53" s="420"/>
      <c r="V53" s="415"/>
      <c r="W53" s="647" t="s">
        <v>1617</v>
      </c>
      <c r="X53" s="648"/>
      <c r="Y53" s="649" t="s">
        <v>1650</v>
      </c>
      <c r="Z53" s="649"/>
      <c r="AA53" s="649"/>
      <c r="AB53" s="649"/>
      <c r="AC53" s="649"/>
      <c r="AD53" s="650"/>
    </row>
    <row r="54" spans="3:30">
      <c r="C54" s="419"/>
      <c r="D54" s="420"/>
      <c r="E54" s="420"/>
      <c r="F54" s="420"/>
      <c r="G54" s="420"/>
      <c r="H54" s="420"/>
      <c r="I54" s="420"/>
      <c r="J54" s="420"/>
      <c r="K54" s="420"/>
      <c r="L54" s="420"/>
      <c r="M54" s="420"/>
      <c r="N54" s="420"/>
      <c r="O54" s="420"/>
      <c r="P54" s="420"/>
      <c r="Q54" s="420"/>
      <c r="R54" s="420"/>
      <c r="S54" s="420"/>
      <c r="T54" s="420"/>
      <c r="V54" s="415"/>
      <c r="W54" s="647" t="s">
        <v>1618</v>
      </c>
      <c r="X54" s="648"/>
      <c r="Y54" s="649" t="s">
        <v>1619</v>
      </c>
      <c r="Z54" s="649"/>
      <c r="AA54" s="649"/>
      <c r="AB54" s="649"/>
      <c r="AC54" s="649"/>
      <c r="AD54" s="650"/>
    </row>
    <row r="55" spans="3:30" ht="12.75" thickBot="1">
      <c r="C55" s="422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  <c r="S55" s="423"/>
      <c r="T55" s="423"/>
      <c r="U55" s="424"/>
      <c r="V55" s="425"/>
      <c r="W55" s="643" t="s">
        <v>1620</v>
      </c>
      <c r="X55" s="644"/>
      <c r="Y55" s="645" t="s">
        <v>1621</v>
      </c>
      <c r="Z55" s="645"/>
      <c r="AA55" s="645"/>
      <c r="AB55" s="645"/>
      <c r="AC55" s="645"/>
      <c r="AD55" s="646"/>
    </row>
  </sheetData>
  <mergeCells count="120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75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BBB9-07D4-4669-A45C-7368DE8181F3}">
  <sheetPr>
    <tabColor rgb="FF92D050"/>
  </sheetPr>
  <dimension ref="A1:AD120"/>
  <sheetViews>
    <sheetView view="pageBreakPreview" zoomScale="40" zoomScaleNormal="40" zoomScaleSheetLayoutView="40" workbookViewId="0">
      <selection activeCell="AJ45" sqref="AJ45"/>
    </sheetView>
  </sheetViews>
  <sheetFormatPr defaultColWidth="9.140625" defaultRowHeight="12.75"/>
  <cols>
    <col min="1" max="1" width="1.7109375" style="480" customWidth="1"/>
    <col min="2" max="2" width="10.7109375" style="480" customWidth="1"/>
    <col min="3" max="3" width="2.42578125" style="480" customWidth="1"/>
    <col min="4" max="20" width="9.140625" style="480"/>
    <col min="21" max="21" width="14.42578125" style="480" customWidth="1"/>
    <col min="22" max="22" width="3.140625" style="480" customWidth="1"/>
    <col min="23" max="26" width="9.140625" style="480"/>
    <col min="27" max="27" width="2.85546875" style="480" customWidth="1"/>
    <col min="28" max="30" width="4.7109375" style="480" customWidth="1"/>
    <col min="31" max="31" width="1.7109375" style="480" customWidth="1"/>
    <col min="32" max="16384" width="9.140625" style="480"/>
  </cols>
  <sheetData>
    <row r="1" spans="1:29">
      <c r="A1" s="440"/>
      <c r="B1" s="441"/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2"/>
    </row>
    <row r="2" spans="1:29">
      <c r="A2" s="443"/>
      <c r="W2" s="444"/>
    </row>
    <row r="3" spans="1:29" ht="12.75" customHeight="1">
      <c r="A3" s="443"/>
      <c r="C3" s="703" t="s">
        <v>1622</v>
      </c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444"/>
      <c r="X3" s="491"/>
      <c r="Y3" s="491"/>
      <c r="Z3" s="491"/>
      <c r="AA3" s="491"/>
      <c r="AB3" s="491"/>
      <c r="AC3" s="481"/>
    </row>
    <row r="4" spans="1:29" ht="18.75" customHeight="1">
      <c r="A4" s="443"/>
      <c r="C4" s="703"/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444"/>
      <c r="X4" s="491"/>
      <c r="Y4" s="491"/>
      <c r="Z4" s="491"/>
      <c r="AA4" s="491"/>
      <c r="AB4" s="491"/>
      <c r="AC4" s="481"/>
    </row>
    <row r="5" spans="1:29" ht="12.75" customHeight="1">
      <c r="A5" s="443"/>
      <c r="C5" s="482"/>
      <c r="W5" s="444"/>
    </row>
    <row r="6" spans="1:29" ht="12.75" customHeight="1">
      <c r="A6" s="443"/>
      <c r="C6" s="704" t="s">
        <v>1663</v>
      </c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444"/>
      <c r="Y6" s="483"/>
      <c r="Z6" s="483"/>
      <c r="AA6" s="483"/>
      <c r="AB6" s="484"/>
      <c r="AC6" s="484"/>
    </row>
    <row r="7" spans="1:29" ht="18" customHeight="1">
      <c r="A7" s="443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444"/>
      <c r="Y7" s="483"/>
      <c r="Z7" s="483"/>
      <c r="AA7" s="483"/>
      <c r="AB7" s="484"/>
      <c r="AC7" s="484"/>
    </row>
    <row r="8" spans="1:29">
      <c r="A8" s="443"/>
      <c r="W8" s="444"/>
    </row>
    <row r="9" spans="1:29">
      <c r="A9" s="443"/>
      <c r="W9" s="444"/>
    </row>
    <row r="10" spans="1:29">
      <c r="A10" s="443"/>
      <c r="W10" s="444"/>
    </row>
    <row r="11" spans="1:29">
      <c r="A11" s="443"/>
      <c r="W11" s="444"/>
    </row>
    <row r="12" spans="1:29">
      <c r="A12" s="443"/>
      <c r="D12" s="485"/>
      <c r="W12" s="444"/>
    </row>
    <row r="13" spans="1:29">
      <c r="A13" s="443"/>
      <c r="W13" s="444"/>
    </row>
    <row r="14" spans="1:29">
      <c r="A14" s="443"/>
      <c r="W14" s="444"/>
    </row>
    <row r="15" spans="1:29">
      <c r="A15" s="443"/>
      <c r="W15" s="444"/>
    </row>
    <row r="16" spans="1:29">
      <c r="A16" s="443"/>
      <c r="W16" s="444"/>
    </row>
    <row r="17" spans="1:23">
      <c r="A17" s="443"/>
      <c r="W17" s="444"/>
    </row>
    <row r="18" spans="1:23">
      <c r="A18" s="443"/>
      <c r="W18" s="444"/>
    </row>
    <row r="19" spans="1:23">
      <c r="A19" s="443"/>
      <c r="W19" s="444"/>
    </row>
    <row r="20" spans="1:23">
      <c r="A20" s="443"/>
      <c r="W20" s="444"/>
    </row>
    <row r="21" spans="1:23">
      <c r="A21" s="443"/>
      <c r="W21" s="444"/>
    </row>
    <row r="22" spans="1:23">
      <c r="A22" s="443"/>
      <c r="W22" s="444"/>
    </row>
    <row r="23" spans="1:23">
      <c r="A23" s="443"/>
      <c r="W23" s="444"/>
    </row>
    <row r="24" spans="1:23">
      <c r="A24" s="443"/>
      <c r="W24" s="444"/>
    </row>
    <row r="25" spans="1:23">
      <c r="A25" s="443"/>
      <c r="W25" s="444"/>
    </row>
    <row r="26" spans="1:23">
      <c r="A26" s="443"/>
      <c r="W26" s="444"/>
    </row>
    <row r="27" spans="1:23">
      <c r="A27" s="443"/>
      <c r="W27" s="444"/>
    </row>
    <row r="28" spans="1:23">
      <c r="A28" s="443"/>
      <c r="W28" s="444"/>
    </row>
    <row r="29" spans="1:23">
      <c r="A29" s="443"/>
      <c r="W29" s="444"/>
    </row>
    <row r="30" spans="1:23">
      <c r="A30" s="443"/>
      <c r="W30" s="444"/>
    </row>
    <row r="31" spans="1:23">
      <c r="A31" s="443"/>
      <c r="W31" s="444"/>
    </row>
    <row r="32" spans="1:23">
      <c r="A32" s="443"/>
      <c r="W32" s="444"/>
    </row>
    <row r="33" spans="1:23">
      <c r="A33" s="443"/>
      <c r="W33" s="444"/>
    </row>
    <row r="34" spans="1:23">
      <c r="A34" s="443"/>
      <c r="W34" s="444"/>
    </row>
    <row r="35" spans="1:23">
      <c r="A35" s="443"/>
      <c r="W35" s="444"/>
    </row>
    <row r="36" spans="1:23">
      <c r="A36" s="443"/>
      <c r="W36" s="444"/>
    </row>
    <row r="37" spans="1:23">
      <c r="A37" s="443"/>
      <c r="W37" s="444"/>
    </row>
    <row r="38" spans="1:23">
      <c r="A38" s="443"/>
      <c r="W38" s="444"/>
    </row>
    <row r="39" spans="1:23">
      <c r="A39" s="443"/>
      <c r="W39" s="444"/>
    </row>
    <row r="40" spans="1:23">
      <c r="A40" s="443"/>
      <c r="W40" s="444"/>
    </row>
    <row r="41" spans="1:23">
      <c r="A41" s="443"/>
      <c r="W41" s="444"/>
    </row>
    <row r="42" spans="1:23">
      <c r="A42" s="443"/>
      <c r="W42" s="444"/>
    </row>
    <row r="43" spans="1:23">
      <c r="A43" s="443"/>
      <c r="W43" s="444"/>
    </row>
    <row r="44" spans="1:23">
      <c r="A44" s="443"/>
      <c r="W44" s="444"/>
    </row>
    <row r="45" spans="1:23">
      <c r="A45" s="443"/>
      <c r="W45" s="444"/>
    </row>
    <row r="46" spans="1:23">
      <c r="A46" s="443"/>
      <c r="W46" s="444"/>
    </row>
    <row r="47" spans="1:23">
      <c r="A47" s="443"/>
      <c r="W47" s="444"/>
    </row>
    <row r="48" spans="1:23">
      <c r="A48" s="443"/>
      <c r="W48" s="444"/>
    </row>
    <row r="49" spans="1:30">
      <c r="A49" s="443"/>
      <c r="W49" s="444"/>
    </row>
    <row r="50" spans="1:30">
      <c r="A50" s="443"/>
      <c r="W50" s="444"/>
    </row>
    <row r="51" spans="1:30">
      <c r="A51" s="443"/>
      <c r="W51" s="444"/>
    </row>
    <row r="52" spans="1:30">
      <c r="A52" s="443"/>
      <c r="W52" s="444"/>
    </row>
    <row r="53" spans="1:30">
      <c r="A53" s="443"/>
      <c r="W53" s="444"/>
    </row>
    <row r="54" spans="1:30">
      <c r="A54" s="443"/>
      <c r="R54" s="486"/>
      <c r="S54" s="486"/>
      <c r="T54" s="486"/>
      <c r="U54" s="487"/>
      <c r="V54" s="487"/>
      <c r="W54" s="445"/>
      <c r="X54" s="487"/>
      <c r="Y54" s="487"/>
      <c r="Z54" s="487"/>
      <c r="AA54" s="487"/>
      <c r="AB54" s="487"/>
      <c r="AC54" s="487"/>
      <c r="AD54" s="487"/>
    </row>
    <row r="55" spans="1:30" ht="13.5" thickBot="1">
      <c r="A55" s="446"/>
      <c r="B55" s="447"/>
      <c r="C55" s="447"/>
      <c r="D55" s="447"/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92"/>
      <c r="S55" s="493"/>
      <c r="T55" s="493"/>
      <c r="U55" s="448"/>
      <c r="V55" s="449"/>
      <c r="W55" s="450"/>
      <c r="X55" s="487"/>
      <c r="Y55" s="487"/>
      <c r="Z55" s="487"/>
      <c r="AA55" s="488"/>
      <c r="AB55" s="488"/>
      <c r="AC55" s="488"/>
      <c r="AD55" s="488"/>
    </row>
    <row r="56" spans="1:30">
      <c r="U56" s="487"/>
      <c r="V56" s="488"/>
      <c r="W56" s="487"/>
      <c r="X56" s="487"/>
      <c r="Y56" s="487"/>
      <c r="Z56" s="487"/>
      <c r="AA56" s="488"/>
      <c r="AB56" s="487"/>
      <c r="AC56" s="487"/>
      <c r="AD56" s="487"/>
    </row>
    <row r="57" spans="1:30">
      <c r="U57" s="487"/>
      <c r="V57" s="488"/>
      <c r="W57" s="487"/>
      <c r="X57" s="487"/>
      <c r="Y57" s="487"/>
      <c r="Z57" s="487"/>
      <c r="AA57" s="487"/>
      <c r="AB57" s="487"/>
      <c r="AC57" s="487"/>
      <c r="AD57" s="487"/>
    </row>
    <row r="58" spans="1:30">
      <c r="U58" s="487"/>
      <c r="V58" s="488"/>
      <c r="W58" s="487"/>
      <c r="X58" s="487"/>
      <c r="Y58" s="487"/>
      <c r="Z58" s="487"/>
      <c r="AA58" s="487"/>
      <c r="AB58" s="487"/>
      <c r="AC58" s="487"/>
      <c r="AD58" s="487"/>
    </row>
    <row r="59" spans="1:30">
      <c r="U59" s="487"/>
      <c r="V59" s="488"/>
      <c r="W59" s="487"/>
      <c r="X59" s="487"/>
      <c r="Y59" s="487"/>
      <c r="Z59" s="487"/>
      <c r="AA59" s="487"/>
      <c r="AB59" s="487"/>
      <c r="AC59" s="487"/>
      <c r="AD59" s="487"/>
    </row>
    <row r="60" spans="1:30">
      <c r="U60" s="487"/>
      <c r="V60" s="488"/>
      <c r="W60" s="487"/>
      <c r="X60" s="487"/>
      <c r="Y60" s="487"/>
      <c r="Z60" s="487"/>
      <c r="AA60" s="488"/>
      <c r="AB60" s="487"/>
      <c r="AC60" s="487"/>
      <c r="AD60" s="487"/>
    </row>
    <row r="61" spans="1:30">
      <c r="U61" s="487"/>
      <c r="V61" s="488"/>
      <c r="W61" s="487"/>
      <c r="X61" s="487"/>
      <c r="Y61" s="487"/>
      <c r="Z61" s="487"/>
      <c r="AA61" s="487"/>
      <c r="AB61" s="487"/>
      <c r="AC61" s="487"/>
      <c r="AD61" s="487"/>
    </row>
    <row r="62" spans="1:30">
      <c r="U62" s="487"/>
      <c r="V62" s="488"/>
      <c r="W62" s="487"/>
      <c r="X62" s="487"/>
      <c r="Y62" s="487"/>
      <c r="Z62" s="487"/>
      <c r="AA62" s="487"/>
      <c r="AB62" s="487"/>
      <c r="AC62" s="487"/>
      <c r="AD62" s="487"/>
    </row>
    <row r="63" spans="1:30">
      <c r="U63" s="487"/>
      <c r="V63" s="488"/>
      <c r="W63" s="487"/>
      <c r="X63" s="487"/>
      <c r="Y63" s="487"/>
      <c r="Z63" s="487"/>
      <c r="AA63" s="487"/>
      <c r="AB63" s="487"/>
      <c r="AC63" s="487"/>
      <c r="AD63" s="487"/>
    </row>
    <row r="64" spans="1:30">
      <c r="U64" s="487"/>
      <c r="V64" s="488"/>
      <c r="W64" s="487"/>
      <c r="X64" s="487"/>
      <c r="Y64" s="487"/>
      <c r="Z64" s="487"/>
      <c r="AA64" s="487"/>
      <c r="AB64" s="487"/>
      <c r="AC64" s="487"/>
      <c r="AD64" s="487"/>
    </row>
    <row r="65" spans="5:30">
      <c r="U65" s="487"/>
      <c r="V65" s="488"/>
      <c r="W65" s="487"/>
      <c r="X65" s="487"/>
      <c r="Y65" s="487"/>
      <c r="Z65" s="487"/>
      <c r="AA65" s="487"/>
      <c r="AB65" s="487"/>
      <c r="AC65" s="487"/>
      <c r="AD65" s="487"/>
    </row>
    <row r="66" spans="5:30" ht="6" customHeight="1"/>
    <row r="73" spans="5:30">
      <c r="M73" s="489"/>
    </row>
    <row r="74" spans="5:30" ht="15" customHeight="1">
      <c r="E74" s="490"/>
      <c r="M74" s="489"/>
    </row>
    <row r="75" spans="5:30" ht="15" customHeight="1">
      <c r="E75" s="490"/>
      <c r="M75" s="489"/>
    </row>
    <row r="76" spans="5:30" ht="15" customHeight="1">
      <c r="E76" s="490"/>
      <c r="M76" s="489"/>
    </row>
    <row r="77" spans="5:30" ht="15" customHeight="1">
      <c r="E77" s="490"/>
      <c r="M77" s="489"/>
    </row>
    <row r="78" spans="5:30" ht="15" customHeight="1">
      <c r="E78" s="490"/>
      <c r="M78" s="489"/>
    </row>
    <row r="79" spans="5:30" ht="15" customHeight="1">
      <c r="E79" s="490"/>
      <c r="M79" s="489"/>
    </row>
    <row r="80" spans="5:30" ht="15" customHeight="1">
      <c r="E80" s="490"/>
      <c r="M80" s="489"/>
    </row>
    <row r="81" spans="5:13" ht="15" customHeight="1">
      <c r="E81" s="490"/>
      <c r="M81" s="489"/>
    </row>
    <row r="82" spans="5:13" ht="15" customHeight="1">
      <c r="E82" s="490"/>
      <c r="M82" s="489"/>
    </row>
    <row r="83" spans="5:13" ht="15" customHeight="1">
      <c r="E83" s="490"/>
      <c r="M83" s="489"/>
    </row>
    <row r="84" spans="5:13" ht="15" customHeight="1">
      <c r="E84" s="490"/>
      <c r="M84" s="489"/>
    </row>
    <row r="85" spans="5:13" ht="15" customHeight="1">
      <c r="E85" s="490"/>
      <c r="M85" s="489"/>
    </row>
    <row r="86" spans="5:13" ht="15" customHeight="1">
      <c r="E86" s="490"/>
      <c r="M86" s="489"/>
    </row>
    <row r="87" spans="5:13" ht="15" customHeight="1">
      <c r="E87" s="490"/>
      <c r="M87" s="489"/>
    </row>
    <row r="88" spans="5:13" ht="15" customHeight="1">
      <c r="E88" s="490"/>
      <c r="M88" s="489"/>
    </row>
    <row r="89" spans="5:13" ht="15" customHeight="1">
      <c r="E89" s="490"/>
      <c r="M89" s="489"/>
    </row>
    <row r="90" spans="5:13" ht="15" customHeight="1">
      <c r="E90" s="490"/>
      <c r="M90" s="489"/>
    </row>
    <row r="91" spans="5:13" ht="15" customHeight="1">
      <c r="E91" s="490"/>
      <c r="M91" s="489"/>
    </row>
    <row r="92" spans="5:13" ht="15" customHeight="1">
      <c r="E92" s="490"/>
      <c r="M92" s="489"/>
    </row>
    <row r="93" spans="5:13" ht="15" customHeight="1">
      <c r="E93" s="490"/>
      <c r="M93" s="489"/>
    </row>
    <row r="94" spans="5:13" ht="15" customHeight="1">
      <c r="E94" s="490"/>
      <c r="M94" s="489"/>
    </row>
    <row r="95" spans="5:13" ht="15" customHeight="1">
      <c r="E95" s="490"/>
      <c r="M95" s="489"/>
    </row>
    <row r="96" spans="5:13" ht="15" customHeight="1">
      <c r="E96" s="490"/>
    </row>
    <row r="97" spans="5:5" ht="15" customHeight="1">
      <c r="E97" s="490"/>
    </row>
    <row r="98" spans="5:5" ht="15" customHeight="1">
      <c r="E98" s="490"/>
    </row>
    <row r="99" spans="5:5" ht="15" customHeight="1">
      <c r="E99" s="490"/>
    </row>
    <row r="100" spans="5:5" ht="15" customHeight="1">
      <c r="E100" s="490"/>
    </row>
    <row r="101" spans="5:5" ht="15" customHeight="1">
      <c r="E101" s="490"/>
    </row>
    <row r="102" spans="5:5" ht="15" customHeight="1">
      <c r="E102" s="490"/>
    </row>
    <row r="103" spans="5:5" ht="15" customHeight="1">
      <c r="E103" s="490"/>
    </row>
    <row r="104" spans="5:5" ht="15" customHeight="1">
      <c r="E104" s="490"/>
    </row>
    <row r="105" spans="5:5" ht="15" customHeight="1">
      <c r="E105" s="490"/>
    </row>
    <row r="106" spans="5:5" ht="15" customHeight="1">
      <c r="E106" s="490"/>
    </row>
    <row r="107" spans="5:5" ht="15" customHeight="1">
      <c r="E107" s="490"/>
    </row>
    <row r="108" spans="5:5" ht="15" customHeight="1">
      <c r="E108" s="490"/>
    </row>
    <row r="109" spans="5:5" ht="15" customHeight="1">
      <c r="E109" s="490"/>
    </row>
    <row r="110" spans="5:5" ht="15" customHeight="1">
      <c r="E110" s="490"/>
    </row>
    <row r="111" spans="5:5" ht="15" customHeight="1">
      <c r="E111" s="490"/>
    </row>
    <row r="112" spans="5:5" ht="15" customHeight="1">
      <c r="E112" s="490"/>
    </row>
    <row r="113" spans="5:5" ht="15" customHeight="1">
      <c r="E113" s="490"/>
    </row>
    <row r="114" spans="5:5" ht="15" customHeight="1">
      <c r="E114" s="490"/>
    </row>
    <row r="115" spans="5:5" ht="15" customHeight="1">
      <c r="E115" s="490"/>
    </row>
    <row r="116" spans="5:5" ht="15" customHeight="1">
      <c r="E116" s="490"/>
    </row>
    <row r="117" spans="5:5" ht="15" customHeight="1">
      <c r="E117" s="490"/>
    </row>
    <row r="118" spans="5:5" ht="15" customHeight="1">
      <c r="E118" s="490"/>
    </row>
    <row r="119" spans="5:5" ht="15" customHeight="1">
      <c r="E119" s="490"/>
    </row>
    <row r="120" spans="5:5">
      <c r="E120" s="490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82FC-4E08-42C1-91EF-22FAC09FC13A}">
  <sheetPr>
    <tabColor rgb="FF92D050"/>
  </sheetPr>
  <dimension ref="B1:AF68"/>
  <sheetViews>
    <sheetView view="pageBreakPreview" topLeftCell="A16" zoomScale="55" zoomScaleNormal="55" zoomScaleSheetLayoutView="55" workbookViewId="0">
      <selection activeCell="AG41" sqref="AG41"/>
    </sheetView>
  </sheetViews>
  <sheetFormatPr defaultColWidth="9.140625" defaultRowHeight="12.75"/>
  <cols>
    <col min="1" max="1" width="1.7109375" style="451" customWidth="1"/>
    <col min="2" max="2" width="1.42578125" style="451" customWidth="1"/>
    <col min="3" max="3" width="10.7109375" style="451" customWidth="1"/>
    <col min="4" max="4" width="2.42578125" style="451" customWidth="1"/>
    <col min="5" max="21" width="9.140625" style="451"/>
    <col min="22" max="22" width="14.42578125" style="451" customWidth="1"/>
    <col min="23" max="23" width="3.140625" style="451" customWidth="1"/>
    <col min="24" max="27" width="9.140625" style="451"/>
    <col min="28" max="28" width="2.85546875" style="451" customWidth="1"/>
    <col min="29" max="31" width="4.7109375" style="451" customWidth="1"/>
    <col min="32" max="32" width="1.7109375" style="451" customWidth="1"/>
    <col min="33" max="16384" width="9.140625" style="451"/>
  </cols>
  <sheetData>
    <row r="1" spans="2:32" ht="13.5" thickBot="1"/>
    <row r="2" spans="2:32" ht="6" customHeight="1" thickBot="1">
      <c r="B2" s="452"/>
      <c r="C2" s="453"/>
      <c r="D2" s="453"/>
      <c r="E2" s="453"/>
      <c r="F2" s="453"/>
      <c r="G2" s="453"/>
      <c r="H2" s="453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  <c r="T2" s="453"/>
      <c r="U2" s="453"/>
      <c r="V2" s="453"/>
      <c r="W2" s="453"/>
      <c r="X2" s="453"/>
      <c r="Y2" s="453"/>
      <c r="Z2" s="453"/>
      <c r="AA2" s="453"/>
      <c r="AB2" s="453"/>
      <c r="AC2" s="453"/>
      <c r="AD2" s="453"/>
      <c r="AE2" s="453"/>
      <c r="AF2" s="454"/>
    </row>
    <row r="3" spans="2:32" ht="13.5" thickBot="1">
      <c r="B3" s="455"/>
      <c r="C3" s="452"/>
      <c r="D3" s="453"/>
      <c r="E3" s="453"/>
      <c r="F3" s="453"/>
      <c r="G3" s="453"/>
      <c r="H3" s="453"/>
      <c r="I3" s="453"/>
      <c r="J3" s="453"/>
      <c r="K3" s="453"/>
      <c r="L3" s="453"/>
      <c r="M3" s="453"/>
      <c r="N3" s="453"/>
      <c r="O3" s="453"/>
      <c r="P3" s="453"/>
      <c r="Q3" s="453"/>
      <c r="R3" s="453"/>
      <c r="S3" s="453"/>
      <c r="T3" s="453"/>
      <c r="U3" s="453"/>
      <c r="V3" s="453"/>
      <c r="W3" s="453"/>
      <c r="X3" s="453"/>
      <c r="Y3" s="453"/>
      <c r="Z3" s="453"/>
      <c r="AA3" s="453"/>
      <c r="AB3" s="453"/>
      <c r="AC3" s="453"/>
      <c r="AD3" s="453"/>
      <c r="AE3" s="454"/>
      <c r="AF3" s="456"/>
    </row>
    <row r="4" spans="2:32" ht="12.75" customHeight="1">
      <c r="B4" s="455"/>
      <c r="C4" s="455"/>
      <c r="D4" s="705" t="s">
        <v>1623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457"/>
      <c r="AE4" s="456"/>
      <c r="AF4" s="456"/>
    </row>
    <row r="5" spans="2:32" ht="13.5" customHeight="1">
      <c r="B5" s="455"/>
      <c r="C5" s="455"/>
      <c r="D5" s="708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3"/>
      <c r="P5" s="703"/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3"/>
      <c r="AC5" s="709"/>
      <c r="AD5" s="457"/>
      <c r="AE5" s="456"/>
      <c r="AF5" s="456"/>
    </row>
    <row r="6" spans="2:32" ht="12.75" customHeight="1">
      <c r="B6" s="455"/>
      <c r="C6" s="455"/>
      <c r="D6" s="708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3"/>
      <c r="AA6" s="703"/>
      <c r="AB6" s="703"/>
      <c r="AC6" s="709"/>
      <c r="AE6" s="456"/>
      <c r="AF6" s="456"/>
    </row>
    <row r="7" spans="2:32" ht="12.75" customHeight="1" thickBot="1">
      <c r="B7" s="455"/>
      <c r="C7" s="45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459"/>
      <c r="AE7" s="456"/>
      <c r="AF7" s="456"/>
    </row>
    <row r="8" spans="2:32" ht="12.75" customHeight="1">
      <c r="B8" s="455"/>
      <c r="C8" s="455"/>
      <c r="Z8" s="458"/>
      <c r="AA8" s="458"/>
      <c r="AB8" s="458"/>
      <c r="AC8" s="459"/>
      <c r="AD8" s="459"/>
      <c r="AE8" s="456"/>
      <c r="AF8" s="456"/>
    </row>
    <row r="9" spans="2:32" ht="12.75" customHeight="1">
      <c r="B9" s="455"/>
      <c r="C9" s="455"/>
      <c r="AE9" s="456"/>
      <c r="AF9" s="456"/>
    </row>
    <row r="10" spans="2:32" ht="12.75" customHeight="1">
      <c r="B10" s="455"/>
      <c r="C10" s="455"/>
      <c r="AE10" s="456"/>
      <c r="AF10" s="456"/>
    </row>
    <row r="11" spans="2:32">
      <c r="B11" s="455"/>
      <c r="C11" s="455"/>
      <c r="D11" s="461"/>
      <c r="AE11" s="456"/>
      <c r="AF11" s="456"/>
    </row>
    <row r="12" spans="2:32">
      <c r="B12" s="455"/>
      <c r="C12" s="455"/>
      <c r="AE12" s="456"/>
      <c r="AF12" s="456"/>
    </row>
    <row r="13" spans="2:32">
      <c r="B13" s="455"/>
      <c r="C13" s="455"/>
      <c r="AE13" s="456"/>
      <c r="AF13" s="456"/>
    </row>
    <row r="14" spans="2:32">
      <c r="B14" s="455"/>
      <c r="C14" s="455"/>
      <c r="AE14" s="456"/>
      <c r="AF14" s="456"/>
    </row>
    <row r="15" spans="2:32">
      <c r="B15" s="455"/>
      <c r="C15" s="455"/>
      <c r="E15" s="460"/>
      <c r="AE15" s="456"/>
      <c r="AF15" s="456"/>
    </row>
    <row r="16" spans="2:32">
      <c r="B16" s="455"/>
      <c r="C16" s="455"/>
      <c r="AE16" s="456"/>
      <c r="AF16" s="456"/>
    </row>
    <row r="17" spans="2:32">
      <c r="B17" s="455"/>
      <c r="C17" s="455"/>
      <c r="AE17" s="456"/>
      <c r="AF17" s="456"/>
    </row>
    <row r="18" spans="2:32">
      <c r="B18" s="455"/>
      <c r="C18" s="455"/>
      <c r="AE18" s="456"/>
      <c r="AF18" s="456"/>
    </row>
    <row r="19" spans="2:32">
      <c r="B19" s="455"/>
      <c r="C19" s="455"/>
      <c r="AE19" s="456"/>
      <c r="AF19" s="456"/>
    </row>
    <row r="20" spans="2:32">
      <c r="B20" s="455"/>
      <c r="C20" s="455"/>
      <c r="AE20" s="456"/>
      <c r="AF20" s="456"/>
    </row>
    <row r="21" spans="2:32">
      <c r="B21" s="455"/>
      <c r="C21" s="455"/>
      <c r="AE21" s="456"/>
      <c r="AF21" s="456"/>
    </row>
    <row r="22" spans="2:32">
      <c r="B22" s="455"/>
      <c r="C22" s="455"/>
      <c r="AE22" s="456"/>
      <c r="AF22" s="456"/>
    </row>
    <row r="23" spans="2:32">
      <c r="B23" s="455"/>
      <c r="C23" s="455"/>
      <c r="AE23" s="456"/>
      <c r="AF23" s="456"/>
    </row>
    <row r="24" spans="2:32">
      <c r="B24" s="455"/>
      <c r="C24" s="455"/>
      <c r="AE24" s="456"/>
      <c r="AF24" s="456"/>
    </row>
    <row r="25" spans="2:32">
      <c r="B25" s="455"/>
      <c r="C25" s="455"/>
      <c r="AE25" s="456"/>
      <c r="AF25" s="456"/>
    </row>
    <row r="26" spans="2:32">
      <c r="B26" s="455"/>
      <c r="C26" s="455"/>
      <c r="AE26" s="456"/>
      <c r="AF26" s="456"/>
    </row>
    <row r="27" spans="2:32">
      <c r="B27" s="455"/>
      <c r="C27" s="455"/>
      <c r="AE27" s="456"/>
      <c r="AF27" s="456"/>
    </row>
    <row r="28" spans="2:32">
      <c r="B28" s="455"/>
      <c r="C28" s="455"/>
      <c r="AE28" s="456"/>
      <c r="AF28" s="456"/>
    </row>
    <row r="29" spans="2:32">
      <c r="B29" s="455"/>
      <c r="C29" s="455"/>
      <c r="AE29" s="456"/>
      <c r="AF29" s="456"/>
    </row>
    <row r="30" spans="2:32">
      <c r="B30" s="455"/>
      <c r="C30" s="455"/>
      <c r="AE30" s="456"/>
      <c r="AF30" s="456"/>
    </row>
    <row r="31" spans="2:32">
      <c r="B31" s="455"/>
      <c r="C31" s="455"/>
      <c r="AE31" s="456"/>
      <c r="AF31" s="456"/>
    </row>
    <row r="32" spans="2:32">
      <c r="B32" s="455"/>
      <c r="C32" s="455"/>
      <c r="AE32" s="456"/>
      <c r="AF32" s="456"/>
    </row>
    <row r="33" spans="2:32">
      <c r="B33" s="455"/>
      <c r="C33" s="455"/>
      <c r="AE33" s="456"/>
      <c r="AF33" s="456"/>
    </row>
    <row r="34" spans="2:32">
      <c r="B34" s="455"/>
      <c r="C34" s="455"/>
      <c r="AE34" s="456"/>
      <c r="AF34" s="456"/>
    </row>
    <row r="35" spans="2:32">
      <c r="B35" s="455"/>
      <c r="C35" s="455"/>
      <c r="AE35" s="456"/>
      <c r="AF35" s="456"/>
    </row>
    <row r="36" spans="2:32">
      <c r="B36" s="455"/>
      <c r="C36" s="455"/>
      <c r="AE36" s="456"/>
      <c r="AF36" s="456"/>
    </row>
    <row r="37" spans="2:32">
      <c r="B37" s="455"/>
      <c r="C37" s="455"/>
      <c r="AE37" s="456"/>
      <c r="AF37" s="456"/>
    </row>
    <row r="38" spans="2:32">
      <c r="B38" s="455"/>
      <c r="C38" s="455"/>
      <c r="AE38" s="456"/>
      <c r="AF38" s="456"/>
    </row>
    <row r="39" spans="2:32">
      <c r="B39" s="455"/>
      <c r="C39" s="455"/>
      <c r="AE39" s="456"/>
      <c r="AF39" s="456"/>
    </row>
    <row r="40" spans="2:32">
      <c r="B40" s="455"/>
      <c r="C40" s="455"/>
      <c r="AE40" s="456"/>
      <c r="AF40" s="456"/>
    </row>
    <row r="41" spans="2:32">
      <c r="B41" s="455"/>
      <c r="C41" s="455"/>
      <c r="AE41" s="456"/>
      <c r="AF41" s="456"/>
    </row>
    <row r="42" spans="2:32">
      <c r="B42" s="455"/>
      <c r="C42" s="455"/>
      <c r="AE42" s="456"/>
      <c r="AF42" s="456"/>
    </row>
    <row r="43" spans="2:32">
      <c r="B43" s="455"/>
      <c r="C43" s="455"/>
      <c r="AE43" s="456"/>
      <c r="AF43" s="456"/>
    </row>
    <row r="44" spans="2:32">
      <c r="B44" s="455"/>
      <c r="C44" s="455"/>
      <c r="AE44" s="456"/>
      <c r="AF44" s="456"/>
    </row>
    <row r="45" spans="2:32">
      <c r="B45" s="455"/>
      <c r="C45" s="455"/>
      <c r="AE45" s="456"/>
      <c r="AF45" s="456"/>
    </row>
    <row r="46" spans="2:32">
      <c r="B46" s="455"/>
      <c r="C46" s="455"/>
      <c r="AE46" s="456"/>
      <c r="AF46" s="456"/>
    </row>
    <row r="47" spans="2:32">
      <c r="B47" s="455"/>
      <c r="C47" s="455"/>
      <c r="AE47" s="456"/>
      <c r="AF47" s="456"/>
    </row>
    <row r="48" spans="2:32">
      <c r="B48" s="455"/>
      <c r="C48" s="455"/>
      <c r="AE48" s="456"/>
      <c r="AF48" s="456"/>
    </row>
    <row r="49" spans="2:32">
      <c r="B49" s="455"/>
      <c r="C49" s="455"/>
      <c r="AE49" s="456"/>
      <c r="AF49" s="456"/>
    </row>
    <row r="50" spans="2:32">
      <c r="B50" s="455"/>
      <c r="C50" s="455"/>
      <c r="AE50" s="456"/>
      <c r="AF50" s="456"/>
    </row>
    <row r="51" spans="2:32">
      <c r="B51" s="455"/>
      <c r="C51" s="455"/>
      <c r="AE51" s="456"/>
      <c r="AF51" s="456"/>
    </row>
    <row r="52" spans="2:32">
      <c r="B52" s="455"/>
      <c r="C52" s="455"/>
      <c r="AE52" s="456"/>
      <c r="AF52" s="456"/>
    </row>
    <row r="53" spans="2:32">
      <c r="B53" s="455"/>
      <c r="C53" s="455"/>
      <c r="AE53" s="456"/>
      <c r="AF53" s="456"/>
    </row>
    <row r="54" spans="2:32">
      <c r="B54" s="455"/>
      <c r="C54" s="455"/>
      <c r="AE54" s="456"/>
      <c r="AF54" s="456"/>
    </row>
    <row r="55" spans="2:32">
      <c r="B55" s="455"/>
      <c r="C55" s="455"/>
      <c r="AE55" s="456"/>
      <c r="AF55" s="456"/>
    </row>
    <row r="56" spans="2:32">
      <c r="B56" s="455"/>
      <c r="C56" s="455"/>
      <c r="AE56" s="456"/>
      <c r="AF56" s="456"/>
    </row>
    <row r="57" spans="2:32">
      <c r="B57" s="455"/>
      <c r="C57" s="455"/>
      <c r="S57" s="461"/>
      <c r="T57" s="461"/>
      <c r="U57" s="461"/>
      <c r="V57" s="462"/>
      <c r="W57" s="462"/>
      <c r="X57" s="462"/>
      <c r="Y57" s="462"/>
      <c r="Z57" s="462"/>
      <c r="AA57" s="462"/>
      <c r="AB57" s="462"/>
      <c r="AC57" s="462"/>
      <c r="AD57" s="462"/>
      <c r="AE57" s="463"/>
      <c r="AF57" s="456"/>
    </row>
    <row r="58" spans="2:32">
      <c r="B58" s="455"/>
      <c r="C58" s="455"/>
      <c r="S58" s="464"/>
      <c r="T58" s="461"/>
      <c r="U58" s="461"/>
      <c r="V58" s="462"/>
      <c r="W58" s="465"/>
      <c r="X58" s="462"/>
      <c r="Y58" s="462"/>
      <c r="Z58" s="462"/>
      <c r="AA58" s="462"/>
      <c r="AB58" s="465"/>
      <c r="AC58" s="465"/>
      <c r="AD58" s="465"/>
      <c r="AE58" s="466"/>
      <c r="AF58" s="456"/>
    </row>
    <row r="59" spans="2:32">
      <c r="B59" s="455"/>
      <c r="C59" s="455"/>
      <c r="V59" s="462"/>
      <c r="W59" s="465"/>
      <c r="X59" s="462"/>
      <c r="Y59" s="462"/>
      <c r="Z59" s="462"/>
      <c r="AA59" s="462"/>
      <c r="AB59" s="465"/>
      <c r="AC59" s="462"/>
      <c r="AD59" s="462"/>
      <c r="AE59" s="463"/>
      <c r="AF59" s="456"/>
    </row>
    <row r="60" spans="2:32">
      <c r="B60" s="455"/>
      <c r="C60" s="455"/>
      <c r="V60" s="462"/>
      <c r="W60" s="465"/>
      <c r="X60" s="462"/>
      <c r="Y60" s="462"/>
      <c r="Z60" s="462"/>
      <c r="AA60" s="462"/>
      <c r="AB60" s="462"/>
      <c r="AC60" s="462"/>
      <c r="AD60" s="462"/>
      <c r="AE60" s="463"/>
      <c r="AF60" s="456"/>
    </row>
    <row r="61" spans="2:32">
      <c r="B61" s="455"/>
      <c r="C61" s="455"/>
      <c r="V61" s="467"/>
      <c r="W61" s="467"/>
      <c r="X61" s="467"/>
      <c r="Y61" s="467"/>
      <c r="Z61" s="467"/>
      <c r="AA61" s="467"/>
      <c r="AB61" s="467"/>
      <c r="AC61" s="467"/>
      <c r="AD61" s="467"/>
      <c r="AE61" s="468"/>
      <c r="AF61" s="456"/>
    </row>
    <row r="62" spans="2:32">
      <c r="B62" s="455"/>
      <c r="C62" s="455"/>
      <c r="V62" s="462"/>
      <c r="W62" s="462"/>
      <c r="X62" s="462"/>
      <c r="Y62" s="462"/>
      <c r="Z62" s="462"/>
      <c r="AA62" s="462"/>
      <c r="AB62" s="462"/>
      <c r="AC62" s="462"/>
      <c r="AD62" s="462"/>
      <c r="AE62" s="463"/>
      <c r="AF62" s="456"/>
    </row>
    <row r="63" spans="2:32">
      <c r="B63" s="455"/>
      <c r="C63" s="455"/>
      <c r="V63" s="462"/>
      <c r="W63" s="465"/>
      <c r="X63" s="462"/>
      <c r="Y63" s="462"/>
      <c r="Z63" s="462"/>
      <c r="AA63" s="462"/>
      <c r="AB63" s="462"/>
      <c r="AC63" s="462"/>
      <c r="AD63" s="462"/>
      <c r="AE63" s="463"/>
      <c r="AF63" s="456"/>
    </row>
    <row r="64" spans="2:32">
      <c r="B64" s="455"/>
      <c r="C64" s="455"/>
      <c r="V64" s="462"/>
      <c r="W64" s="465"/>
      <c r="X64" s="462"/>
      <c r="Y64" s="462"/>
      <c r="Z64" s="462"/>
      <c r="AA64" s="462"/>
      <c r="AB64" s="462"/>
      <c r="AC64" s="462"/>
      <c r="AD64" s="462"/>
      <c r="AE64" s="463"/>
      <c r="AF64" s="456"/>
    </row>
    <row r="65" spans="2:32">
      <c r="B65" s="455"/>
      <c r="C65" s="455"/>
      <c r="V65" s="462"/>
      <c r="W65" s="465"/>
      <c r="X65" s="462"/>
      <c r="Y65" s="462"/>
      <c r="Z65" s="462"/>
      <c r="AA65" s="462"/>
      <c r="AB65" s="462"/>
      <c r="AC65" s="462"/>
      <c r="AD65" s="462"/>
      <c r="AE65" s="463"/>
      <c r="AF65" s="456"/>
    </row>
    <row r="66" spans="2:32">
      <c r="B66" s="455"/>
      <c r="C66" s="455"/>
      <c r="V66" s="462"/>
      <c r="W66" s="465"/>
      <c r="X66" s="462"/>
      <c r="Y66" s="462"/>
      <c r="Z66" s="462"/>
      <c r="AA66" s="462"/>
      <c r="AB66" s="462"/>
      <c r="AC66" s="462"/>
      <c r="AD66" s="462"/>
      <c r="AE66" s="463"/>
      <c r="AF66" s="456"/>
    </row>
    <row r="67" spans="2:32" ht="13.5" thickBot="1">
      <c r="B67" s="455"/>
      <c r="C67" s="469"/>
      <c r="D67" s="470"/>
      <c r="E67" s="470"/>
      <c r="F67" s="470"/>
      <c r="G67" s="470"/>
      <c r="H67" s="470"/>
      <c r="I67" s="470"/>
      <c r="J67" s="470"/>
      <c r="K67" s="470"/>
      <c r="L67" s="470"/>
      <c r="M67" s="470"/>
      <c r="N67" s="470"/>
      <c r="O67" s="470"/>
      <c r="P67" s="470"/>
      <c r="Q67" s="470"/>
      <c r="R67" s="470"/>
      <c r="S67" s="470"/>
      <c r="T67" s="470"/>
      <c r="U67" s="470"/>
      <c r="V67" s="471"/>
      <c r="W67" s="472"/>
      <c r="X67" s="471"/>
      <c r="Y67" s="471"/>
      <c r="Z67" s="471"/>
      <c r="AA67" s="471"/>
      <c r="AB67" s="471"/>
      <c r="AC67" s="471"/>
      <c r="AD67" s="471"/>
      <c r="AE67" s="473"/>
      <c r="AF67" s="456"/>
    </row>
    <row r="68" spans="2:32" ht="6" customHeight="1" thickBot="1">
      <c r="B68" s="469"/>
      <c r="C68" s="470"/>
      <c r="D68" s="470"/>
      <c r="E68" s="470"/>
      <c r="F68" s="470"/>
      <c r="G68" s="470"/>
      <c r="H68" s="470"/>
      <c r="I68" s="470"/>
      <c r="J68" s="470"/>
      <c r="K68" s="470"/>
      <c r="L68" s="470"/>
      <c r="M68" s="470"/>
      <c r="N68" s="470"/>
      <c r="O68" s="470"/>
      <c r="P68" s="470"/>
      <c r="Q68" s="470"/>
      <c r="R68" s="470"/>
      <c r="S68" s="470"/>
      <c r="T68" s="470"/>
      <c r="U68" s="470"/>
      <c r="V68" s="470"/>
      <c r="W68" s="470"/>
      <c r="X68" s="470"/>
      <c r="Y68" s="470"/>
      <c r="Z68" s="470"/>
      <c r="AA68" s="470"/>
      <c r="AB68" s="470"/>
      <c r="AC68" s="470"/>
      <c r="AD68" s="470"/>
      <c r="AE68" s="470"/>
      <c r="AF68" s="47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6281717263236</cp:lastModifiedBy>
  <cp:lastPrinted>2023-02-27T08:00:50Z</cp:lastPrinted>
  <dcterms:created xsi:type="dcterms:W3CDTF">2011-02-06T11:57:38Z</dcterms:created>
  <dcterms:modified xsi:type="dcterms:W3CDTF">2023-11-03T02:26:14Z</dcterms:modified>
</cp:coreProperties>
</file>