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659D836E-00F4-4165-B315-CE842F5F11FD}" xr6:coauthVersionLast="47" xr6:coauthVersionMax="47" xr10:uidLastSave="{00000000-0000-0000-0000-000000000000}"/>
  <bookViews>
    <workbookView xWindow="-120" yWindow="-120" windowWidth="20730" windowHeight="11160" tabRatio="859" firstSheet="1" activeTab="9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5" r:id="rId10"/>
    <sheet name="Peta lokasi " sheetId="86" r:id="rId11"/>
    <sheet name="SLD " sheetId="87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[33]Asumsi!$S$10</definedName>
    <definedName name="DBSend" localSheetId="10">[34]Asumsi!$S$10</definedName>
    <definedName name="DBSend" localSheetId="11">[34]Asumsi!$S$10</definedName>
    <definedName name="DBSend">[34]Asumsi!$S$10</definedName>
    <definedName name="DBSend_2">[35]Asumsi!$T$4</definedName>
    <definedName name="DBSend_3">[36]Asumsi!$U$4</definedName>
    <definedName name="dc" localSheetId="6">[37]JAN07!#REF!</definedName>
    <definedName name="dc" localSheetId="9">[38]JAN07!#REF!</definedName>
    <definedName name="dc" localSheetId="7">[37]JAN07!#REF!</definedName>
    <definedName name="dc" localSheetId="5">[38]JAN07!#REF!</definedName>
    <definedName name="dc">[38]JAN07!#REF!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[39]DENPASAR!$A$5:$AG$436</definedName>
    <definedName name="deviasi">[40]DeVIASI!$A$4:$AC$20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[41]MENU!$H$17:$H$35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'[42]O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[43]JAN07!#REF!</definedName>
    <definedName name="FEEDERGGNSLG" localSheetId="6">[15]JAN07!#REF!</definedName>
    <definedName name="FEEDERGGNSLG" localSheetId="7">[15]JAN07!#REF!</definedName>
    <definedName name="FEEDERGGNSLG">[43]JAN07!#REF!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'[44]Resource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[45]Smg!$I$1:$I$863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[41]MENU!$M$11:$M$124</definedName>
    <definedName name="GANGGUAN">#N/A</definedName>
    <definedName name="GARDU" localSheetId="9">[41]PARAMETER!$A$11:$A$1059</definedName>
    <definedName name="GARDU">#N/A</definedName>
    <definedName name="GARDU1" localSheetId="9">[41]MENU!$A$11:$A$110</definedName>
    <definedName name="GARDU1">#N/A</definedName>
    <definedName name="GBR" localSheetId="9">INDEX([46]KKO!#REF!,MATCH([46]KKO!#REF!:[46]KKO!#REF!,0)*2)</definedName>
    <definedName name="GBR" localSheetId="10">INDEX([47]KKO!#REF!,MATCH([47]KKO!#REF!:[47]KKO!#REF!,0)*2)</definedName>
    <definedName name="GBR" localSheetId="11">INDEX([47]KKO!#REF!,MATCH([47]KKO!#REF!:[47]KKO!#REF!,0)*2)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[48]RAB!$F$12:$J$175</definedName>
    <definedName name="hari" localSheetId="9">[49]Format!$AA$1:$AG$1</definedName>
    <definedName name="hari">[50]Format!$AA$1:$AG$1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'[51]MATERIAL juni 05'!$A$1:$AH$65536</definedName>
    <definedName name="HMRIEL">'[51]UPDATE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[41]MENU!$O$11:$O$124</definedName>
    <definedName name="INDEX_KODE">#N/A</definedName>
    <definedName name="INDEX1" localSheetId="9">[41]MENU!$C$11:$C$110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[52]DTU!$B$2:$D$48</definedName>
    <definedName name="input" localSheetId="6">'[53]Neraca seAPJ'!#REF!</definedName>
    <definedName name="input" localSheetId="9">'[53]Neraca seAPJ'!#REF!</definedName>
    <definedName name="input" localSheetId="7">'[53]Neraca seAPJ'!#REF!</definedName>
    <definedName name="input" localSheetId="5">'[53]Neraca seAPJ'!#REF!</definedName>
    <definedName name="input">'[53]Neraca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'[54]W-NAD'!#REF!</definedName>
    <definedName name="JAJA" localSheetId="7">'[54]W-NAD'!#REF!</definedName>
    <definedName name="JAJA" localSheetId="10">'[54]W-NAD'!#REF!</definedName>
    <definedName name="JAJA">'[54]W-NAD'!#REF!</definedName>
    <definedName name="jamkerja">'[55]D2. ANALISA HS INSHAR'!$D$2</definedName>
    <definedName name="JamKerja01">'[56]E3. ANALISA HS HAR TEK SUTM'!$D$2</definedName>
    <definedName name="jamkerjaentri" localSheetId="6">'[55]D2. ANALISA HS INSHAR'!#REF!</definedName>
    <definedName name="jamkerjaentri" localSheetId="9">'[55]D2. ANALISA HS INSHAR'!#REF!</definedName>
    <definedName name="jamkerjaentri" localSheetId="7">'[55]D2. ANALISA HS INSHAR'!#REF!</definedName>
    <definedName name="jamkerjaentri" localSheetId="5">'[55]D2. ANALISA HS INSHAR'!#REF!</definedName>
    <definedName name="jamkerjaentri">'[55]D2. ANALISA HS INSHAR'!#REF!</definedName>
    <definedName name="jamkerjahar">'[56]E6.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[57]Jasa!$B$1:$F$65536</definedName>
    <definedName name="jasa.">[57]Jasa!$B$1:$F$65536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[58]data!$F$2:$F$4</definedName>
    <definedName name="jenis_pph">[58]data!$E$2:$E$7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[43]JAN07!#REF!</definedName>
    <definedName name="KALISLG" localSheetId="6">[15]JAN07!#REF!</definedName>
    <definedName name="KALISLG" localSheetId="7">[15]JAN07!#REF!</definedName>
    <definedName name="KALISLG">[43]JAN07!#REF!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[41]MENU!$N$11:$N$124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[41]PARAMETER!$D$11:$D$1059</definedName>
    <definedName name="KODE_OUTGOING">#N/A</definedName>
    <definedName name="KODE1" localSheetId="9">[41]MENU!$B$11:$B$110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[40]KoMposisi!$A$6:$BV$22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[59]Cover!$C$5</definedName>
    <definedName name="KursUSD">[60]Asumsi!$E$9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INDEX([46]PDL!$B$1:$B$3,IFERROR(MATCH([46]KKO!$D$15,[46]PDL!$A$1:$A$2,),3))</definedName>
    <definedName name="Kutools_PDL0_1" localSheetId="10">INDEX([47]PDL!$B$1:$B$3,IFERROR(MATCH([47]KKO!$D$15,[47]PDL!$A$1:$A$2,),3))</definedName>
    <definedName name="Kutools_PDL0_1" localSheetId="11">INDEX([47]PDL!$B$1:$B$3,IFERROR(MATCH([47]KKO!$D$15,[47]PDL!$A$1:$A$2,),3))</definedName>
    <definedName name="Kutools_PDL0_1">INDEX(PDL!$B$1:$B$3,IFERROR(MATCH(KKO!$D$15,PDL!$A$1:$A$2,),3))</definedName>
    <definedName name="Kutools_PDL1_1" localSheetId="9">INDEX([46]PDL!$D$4:$D$6,IFERROR(MATCH([46]KKO!$D$15,[46]PDL!$C$4:$C$5,),3))</definedName>
    <definedName name="Kutools_PDL1_1" localSheetId="10">INDEX([47]PDL!$D$4:$D$6,IFERROR(MATCH([47]KKO!$D$15,[47]PDL!$C$4:$C$5,),3))</definedName>
    <definedName name="Kutools_PDL1_1" localSheetId="11">INDEX([47]PDL!$D$4:$D$6,IFERROR(MATCH([47]KKO!$D$15,[47]PDL!$C$4:$C$5,),3))</definedName>
    <definedName name="Kutools_PDL1_1">INDEX(PDL!$D$4:$D$6,IFERROR(MATCH(KKO!$D$15,PDL!$C$4:$C$5,),3))</definedName>
    <definedName name="Kutools_PDL10_1" localSheetId="9">INDEX([46]PDL!$V$31:$V$33,IFERROR(MATCH([46]KKO!$K$15,[46]PDL!$U$31:$U$32,),3))</definedName>
    <definedName name="Kutools_PDL10_1" localSheetId="10">INDEX([47]PDL!$V$31:$V$33,IFERROR(MATCH([47]KKO!$K$15,[47]PDL!$U$31:$U$32,),3))</definedName>
    <definedName name="Kutools_PDL10_1" localSheetId="11">INDEX([47]PDL!$V$31:$V$33,IFERROR(MATCH([47]KKO!$K$15,[47]PDL!$U$31:$U$32,),3))</definedName>
    <definedName name="Kutools_PDL10_1">INDEX(PDL!$V$31:$V$33,IFERROR(MATCH(KKO!$K$15,PDL!$U$31:$U$32,),3))</definedName>
    <definedName name="Kutools_PDL2_1" localSheetId="9">INDEX([46]PDL!$F$7:$F$9,IFERROR(MATCH([46]KKO!$K$15,[46]PDL!$E$7:$E$8,),3))</definedName>
    <definedName name="Kutools_PDL2_1" localSheetId="10">INDEX([47]PDL!$F$7:$F$9,IFERROR(MATCH([47]KKO!$K$15,[47]PDL!$E$7:$E$8,),3))</definedName>
    <definedName name="Kutools_PDL2_1" localSheetId="11">INDEX([47]PDL!$F$7:$F$9,IFERROR(MATCH([47]KKO!$K$15,[47]PDL!$E$7:$E$8,),3))</definedName>
    <definedName name="Kutools_PDL2_1">INDEX(PDL!$F$7:$F$9,IFERROR(MATCH(KKO!$K$15,PDL!$E$7:$E$8,),3))</definedName>
    <definedName name="Kutools_PDL3_1" localSheetId="9">INDEX([46]PDL!$H$10:$H$12,IFERROR(MATCH([46]KKO!$D$15,[46]PDL!$G$10:$G$11,),3))</definedName>
    <definedName name="Kutools_PDL3_1" localSheetId="10">INDEX([47]PDL!$H$10:$H$12,IFERROR(MATCH([47]KKO!$D$15,[47]PDL!$G$10:$G$11,),3))</definedName>
    <definedName name="Kutools_PDL3_1" localSheetId="11">INDEX([47]PDL!$H$10:$H$12,IFERROR(MATCH([47]KKO!$D$15,[47]PDL!$G$10:$G$11,),3))</definedName>
    <definedName name="Kutools_PDL3_1">INDEX(PDL!$H$10:$H$12,IFERROR(MATCH(KKO!$D$15,PDL!$G$10:$G$11,),3))</definedName>
    <definedName name="Kutools_PDL4_1" localSheetId="9">INDEX([46]PDL!$J$13:$J$15,IFERROR(MATCH([46]KKO!$D$15,[46]PDL!$I$13:$I$14,),3))</definedName>
    <definedName name="Kutools_PDL4_1" localSheetId="10">INDEX([47]PDL!$J$13:$J$15,IFERROR(MATCH([47]KKO!$D$15,[47]PDL!$I$13:$I$14,),3))</definedName>
    <definedName name="Kutools_PDL4_1" localSheetId="11">INDEX([47]PDL!$J$13:$J$15,IFERROR(MATCH([47]KKO!$D$15,[47]PDL!$I$13:$I$14,),3))</definedName>
    <definedName name="Kutools_PDL4_1">INDEX(PDL!$J$13:$J$15,IFERROR(MATCH(KKO!$D$15,PDL!$I$13:$I$14,),3))</definedName>
    <definedName name="Kutools_PDL5_1" localSheetId="9">INDEX([46]PDL!$L$16:$L$18,IFERROR(MATCH([46]KKO!$K$15,[46]PDL!$K$16:$K$17,),3))</definedName>
    <definedName name="Kutools_PDL5_1" localSheetId="10">INDEX([47]PDL!$L$16:$L$18,IFERROR(MATCH([47]KKO!$K$15,[47]PDL!$K$16:$K$17,),3))</definedName>
    <definedName name="Kutools_PDL5_1" localSheetId="11">INDEX([47]PDL!$L$16:$L$18,IFERROR(MATCH([47]KKO!$K$15,[47]PDL!$K$16:$K$17,),3))</definedName>
    <definedName name="Kutools_PDL5_1">INDEX(PDL!$L$16:$L$18,IFERROR(MATCH(KKO!$K$15,PDL!$K$16:$K$17,),3))</definedName>
    <definedName name="Kutools_PDL6_1" localSheetId="9">INDEX([46]PDL!$N$19:$N$21,IFERROR(MATCH([46]KKO!$D$15,[46]PDL!$M$19:$M$20,),3))</definedName>
    <definedName name="Kutools_PDL6_1" localSheetId="10">INDEX([47]PDL!$N$19:$N$21,IFERROR(MATCH([47]KKO!$D$15,[47]PDL!$M$19:$M$20,),3))</definedName>
    <definedName name="Kutools_PDL6_1" localSheetId="11">INDEX([47]PDL!$N$19:$N$21,IFERROR(MATCH([47]KKO!$D$15,[47]PDL!$M$19:$M$20,),3))</definedName>
    <definedName name="Kutools_PDL6_1">INDEX(PDL!$N$19:$N$21,IFERROR(MATCH(KKO!$D$15,PDL!$M$19:$M$20,),3))</definedName>
    <definedName name="Kutools_PDL7_1" localSheetId="9">INDEX([46]PDL!$P$22:$P$24,IFERROR(MATCH([46]KKO!$D$15,[46]PDL!$O$22:$O$23,),3))</definedName>
    <definedName name="Kutools_PDL7_1" localSheetId="10">INDEX([47]PDL!$P$22:$P$24,IFERROR(MATCH([47]KKO!$D$15,[47]PDL!$O$22:$O$23,),3))</definedName>
    <definedName name="Kutools_PDL7_1" localSheetId="11">INDEX([47]PDL!$P$22:$P$24,IFERROR(MATCH([47]KKO!$D$15,[47]PDL!$O$22:$O$23,),3))</definedName>
    <definedName name="Kutools_PDL7_1">INDEX(PDL!$P$22:$P$24,IFERROR(MATCH(KKO!$D$15,PDL!$O$22:$O$23,),3))</definedName>
    <definedName name="Kutools_PDL8_1" localSheetId="9">INDEX([46]PDL!$R$25:$R$27,IFERROR(MATCH([46]KKO!$D$15,[46]PDL!$Q$25:$Q$26,),3))</definedName>
    <definedName name="Kutools_PDL8_1" localSheetId="10">INDEX([47]PDL!$R$25:$R$27,IFERROR(MATCH([47]KKO!$D$15,[47]PDL!$Q$25:$Q$26,),3))</definedName>
    <definedName name="Kutools_PDL8_1" localSheetId="11">INDEX([47]PDL!$R$25:$R$27,IFERROR(MATCH([47]KKO!$D$15,[47]PDL!$Q$25:$Q$26,),3))</definedName>
    <definedName name="Kutools_PDL8_1">INDEX(PDL!$R$25:$R$27,IFERROR(MATCH(KKO!$D$15,PDL!$Q$25:$Q$26,),3))</definedName>
    <definedName name="Kutools_PDL9_1" localSheetId="9">INDEX([46]PDL!$T$28:$T$30,IFERROR(MATCH([46]KKO!$D$15,[46]PDL!$S$28:$S$29,),3))</definedName>
    <definedName name="Kutools_PDL9_1" localSheetId="10">INDEX([47]PDL!$T$28:$T$30,IFERROR(MATCH([47]KKO!$D$15,[47]PDL!$S$28:$S$29,),3))</definedName>
    <definedName name="Kutools_PDL9_1" localSheetId="11">INDEX([47]PDL!$T$28:$T$30,IFERROR(MATCH([47]KKO!$D$15,[47]PDL!$S$28:$S$29,),3))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[61]PMT!#REF!</definedName>
    <definedName name="l" localSheetId="7">[61]PMT!#REF!</definedName>
    <definedName name="l" localSheetId="10">[61]PMT!#REF!</definedName>
    <definedName name="l">[61]PMT!#REF!</definedName>
    <definedName name="L_19" localSheetId="6">'[62]FORM-B'!#REF!</definedName>
    <definedName name="L_19" localSheetId="7">'[62]FORM-B'!#REF!</definedName>
    <definedName name="L_19">'[62]FORM-B'!#REF!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[63]Asumsi!$V$2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[64]INPBA!$F$2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'[65]AHS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'[62]FORM-B'!#REF!</definedName>
    <definedName name="M_19" localSheetId="7">'[62]FORM-B'!#REF!</definedName>
    <definedName name="M_19" localSheetId="10">'[62]FORM-B'!#REF!</definedName>
    <definedName name="M_19">'[62]FORM-B'!#REF!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[57]Mat!$B$1:$L$65536</definedName>
    <definedName name="mat.">[57]Mat!$B$1:$L$65536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[66]aruskas!$A$110:$T$180</definedName>
    <definedName name="MD_19">[67]aruskas!$A$110:$T$180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[41]MENU!$D$11:$D$110</definedName>
    <definedName name="MENU_GARDU">#N/A</definedName>
    <definedName name="MENU_PENYULANG" localSheetId="9">[41]MENU!$F$11:$F$40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'[68]Standar Konstruksi'!$G$29:$G$29</definedName>
    <definedName name="MmExcelLinker_56E02BF7_1622_44A2_A1B4_91C09D796B1E" localSheetId="7">KKF!RAB-PER '[68]Standar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[69]Cover!$B$7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[41]MENU!#REF!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[70]Valuation!$I$53</definedName>
    <definedName name="OUTGOING" localSheetId="9">[41]PARAMETER!$B$11:$B$1059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[71]TABEL!$A$2:$A$81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[46]KKO!#REF!</definedName>
    <definedName name="pict" localSheetId="10">[47]KKO!#REF!</definedName>
    <definedName name="pict" localSheetId="11">[47]KKO!#REF!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[61]PMT!$D$12:$D$55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[58]data!$G$2:$G$54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 '!$A$1:$AD$67</definedName>
    <definedName name="_xlnm.Print_Area" localSheetId="8">RAB!$A$1:$K$147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[72]JURNAL!#REF!</definedName>
    <definedName name="PUR" localSheetId="9">[72]JURNAL!#REF!</definedName>
    <definedName name="PUR" localSheetId="7">[72]JURNAL!#REF!</definedName>
    <definedName name="PUR" localSheetId="10">[72]JURNAL!#REF!</definedName>
    <definedName name="PUR">[72]JURNAL!#REF!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'[72]BB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[41]MENU!$J$17:$J$24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[73]JAN07!#REF!</definedName>
    <definedName name="rtyu" localSheetId="9">[74]JAN07!#REF!</definedName>
    <definedName name="rtyu" localSheetId="7">[73]JAN07!#REF!</definedName>
    <definedName name="rtyu" localSheetId="10">[74]JAN07!#REF!</definedName>
    <definedName name="rtyu">[74]JAN07!#REF!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[75]PICKUP!$D$12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'[76]Rekap PMG.'!$A$10:$E$51</definedName>
    <definedName name="SATUAN">'[76]Rekap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[77]x!$G$9:$G$47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[52]DTU!$B$2:$D$48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'[78]master rab'!$B$1:$H$65536</definedName>
    <definedName name="seapj">'[53]Neraca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[41]MENU!$J$11:$J$13</definedName>
    <definedName name="SEBUTAN">#N/A</definedName>
    <definedName name="sejut">[79]LAIN2!$Z$7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[79]LAIN2!$Z$5</definedName>
    <definedName name="serib">[79]LAIN2!$Z$6</definedName>
    <definedName name="Service_Mapping">'[21]Service Mapping'!$C$6:$Y$39</definedName>
    <definedName name="sewadetektorkabel_har">'[65]AHS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'[65]AHS - Non Personel'!$D$27</definedName>
    <definedName name="SewaKantorBulan">'[65]AHS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'[65]AHS - Non Personel'!$D$32</definedName>
    <definedName name="SewaMobil" localSheetId="9">'[19]AHS - Non Personel'!$D$8</definedName>
    <definedName name="SewaMobil">#N/A</definedName>
    <definedName name="sewamobilbak_hari">'[65]AHS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'[65]AHS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[80]Sensitivitas!$D$26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[41]PARAMETER!$C$11:$C$1059</definedName>
    <definedName name="STATUS_REMOTE">#N/A</definedName>
    <definedName name="std">[81]HB2!$A$1:$L$65536</definedName>
    <definedName name="stdpln">'[82]HB BARU'!$A$1:$J$780</definedName>
    <definedName name="stok">[72]DTstok!$A$1:$B$65536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'[83]master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[84]SuMBER!$N$3:$FO$21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[73]JAN07!#REF!</definedName>
    <definedName name="swed" localSheetId="7">[73]JAN07!#REF!</definedName>
    <definedName name="swed">[74]JAN07!#REF!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[85]Sheet1!$E$2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[86]bantu!$M$5:$X$5</definedName>
    <definedName name="Tahun">[87]bantu!$M$5:$X$5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[64]INPBA!$F$2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[79]LAIN2!$Z$10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[70]Valuation!$I$61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'[88]Rekap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[89]Usulan!#REF!</definedName>
    <definedName name="usul" localSheetId="9">[89]Usulan!#REF!</definedName>
    <definedName name="usul" localSheetId="7">[89]Usulan!#REF!</definedName>
    <definedName name="usul" localSheetId="5">[89]Usulan!#REF!</definedName>
    <definedName name="usul" localSheetId="10">[89]Usulan!#REF!</definedName>
    <definedName name="usul">[89]Usulan!#REF!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[73]JAN07!#REF!</definedName>
    <definedName name="x" localSheetId="7">[73]JAN07!#REF!</definedName>
    <definedName name="x">[74]JAN07!#REF!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[73]JAN07!#REF!</definedName>
    <definedName name="xs" localSheetId="9">[74]JAN07!#REF!</definedName>
    <definedName name="xs" localSheetId="7">[73]JAN07!#REF!</definedName>
    <definedName name="xs" localSheetId="5">[74]JAN07!#REF!</definedName>
    <definedName name="xs" localSheetId="10">[74]JAN07!#REF!</definedName>
    <definedName name="xs">[74]JAN07!#REF!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'[66]Hal-1'!$M$33:$M$33</definedName>
    <definedName name="zz_19">'[67]Hal-1'!$M$33:$M$33</definedName>
    <definedName name="zzz">[66]aruskas!$A$110:$T$180</definedName>
    <definedName name="zzz_19">[67]aruskas!$A$110:$T$180</definedName>
  </definedNames>
  <calcPr calcId="191028"/>
</workbook>
</file>

<file path=xl/calcChain.xml><?xml version="1.0" encoding="utf-8"?>
<calcChain xmlns="http://schemas.openxmlformats.org/spreadsheetml/2006/main">
  <c r="F117" i="11" l="1"/>
  <c r="F116" i="11"/>
  <c r="F115" i="11"/>
  <c r="F114" i="11"/>
  <c r="F72" i="11"/>
  <c r="F71" i="11"/>
  <c r="F70" i="11"/>
  <c r="F69" i="11"/>
  <c r="F66" i="11"/>
  <c r="F65" i="11"/>
  <c r="F64" i="11"/>
  <c r="F63" i="11"/>
  <c r="F62" i="11"/>
  <c r="F61" i="11"/>
  <c r="F58" i="11"/>
  <c r="F57" i="11"/>
  <c r="F56" i="11"/>
  <c r="F55" i="11"/>
  <c r="F52" i="11"/>
  <c r="F51" i="11"/>
  <c r="F50" i="11"/>
  <c r="F49" i="11"/>
  <c r="F46" i="11"/>
  <c r="F45" i="11"/>
  <c r="F44" i="11"/>
  <c r="F43" i="11"/>
  <c r="F42" i="11"/>
  <c r="F39" i="11"/>
  <c r="F38" i="11"/>
  <c r="F37" i="11"/>
  <c r="F36" i="11"/>
  <c r="F35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D33" i="11"/>
  <c r="H33" i="11" s="1"/>
  <c r="E33" i="11"/>
  <c r="D34" i="11"/>
  <c r="J34" i="11" s="1"/>
  <c r="E34" i="11"/>
  <c r="D35" i="11"/>
  <c r="E35" i="11"/>
  <c r="D36" i="11"/>
  <c r="H36" i="11" s="1"/>
  <c r="E36" i="11"/>
  <c r="D37" i="11"/>
  <c r="H37" i="11" s="1"/>
  <c r="E37" i="11"/>
  <c r="D38" i="11"/>
  <c r="J38" i="11" s="1"/>
  <c r="E38" i="11"/>
  <c r="D39" i="11"/>
  <c r="I39" i="11" s="1"/>
  <c r="E39" i="11"/>
  <c r="D40" i="11"/>
  <c r="H40" i="11" s="1"/>
  <c r="E40" i="11"/>
  <c r="D41" i="11"/>
  <c r="H41" i="11" s="1"/>
  <c r="E41" i="11"/>
  <c r="D42" i="11"/>
  <c r="J42" i="11" s="1"/>
  <c r="E42" i="11"/>
  <c r="D43" i="11"/>
  <c r="I43" i="11" s="1"/>
  <c r="E43" i="11"/>
  <c r="D44" i="11"/>
  <c r="H44" i="11" s="1"/>
  <c r="E44" i="11"/>
  <c r="D45" i="11"/>
  <c r="H45" i="11" s="1"/>
  <c r="E45" i="11"/>
  <c r="D46" i="11"/>
  <c r="E46" i="11"/>
  <c r="D47" i="11"/>
  <c r="I47" i="11" s="1"/>
  <c r="E47" i="11"/>
  <c r="D48" i="11"/>
  <c r="H48" i="11" s="1"/>
  <c r="E48" i="11"/>
  <c r="D49" i="11"/>
  <c r="H49" i="11" s="1"/>
  <c r="E49" i="11"/>
  <c r="D50" i="11"/>
  <c r="J50" i="11" s="1"/>
  <c r="E50" i="11"/>
  <c r="D51" i="11"/>
  <c r="I51" i="11" s="1"/>
  <c r="E51" i="11"/>
  <c r="D52" i="11"/>
  <c r="H52" i="11" s="1"/>
  <c r="E52" i="11"/>
  <c r="D53" i="11"/>
  <c r="H53" i="11" s="1"/>
  <c r="E53" i="11"/>
  <c r="D54" i="11"/>
  <c r="J54" i="11" s="1"/>
  <c r="E54" i="11"/>
  <c r="D55" i="11"/>
  <c r="I55" i="11" s="1"/>
  <c r="E55" i="11"/>
  <c r="D56" i="11"/>
  <c r="H56" i="11" s="1"/>
  <c r="E56" i="11"/>
  <c r="D57" i="11"/>
  <c r="H57" i="11" s="1"/>
  <c r="E57" i="11"/>
  <c r="D58" i="11"/>
  <c r="E58" i="11"/>
  <c r="D59" i="11"/>
  <c r="I59" i="11" s="1"/>
  <c r="E59" i="11"/>
  <c r="D60" i="11"/>
  <c r="H60" i="11" s="1"/>
  <c r="E60" i="11"/>
  <c r="D61" i="11"/>
  <c r="H61" i="11" s="1"/>
  <c r="E61" i="11"/>
  <c r="D62" i="11"/>
  <c r="J62" i="11" s="1"/>
  <c r="E62" i="11"/>
  <c r="D63" i="11"/>
  <c r="I63" i="11" s="1"/>
  <c r="E63" i="11"/>
  <c r="D64" i="11"/>
  <c r="H64" i="11" s="1"/>
  <c r="E64" i="11"/>
  <c r="D65" i="11"/>
  <c r="H65" i="11" s="1"/>
  <c r="E65" i="11"/>
  <c r="D66" i="11"/>
  <c r="E66" i="11"/>
  <c r="D67" i="11"/>
  <c r="I67" i="11" s="1"/>
  <c r="E67" i="11"/>
  <c r="D68" i="11"/>
  <c r="H68" i="11" s="1"/>
  <c r="E68" i="11"/>
  <c r="D69" i="11"/>
  <c r="H69" i="11" s="1"/>
  <c r="E69" i="11"/>
  <c r="D70" i="11"/>
  <c r="J70" i="11" s="1"/>
  <c r="E70" i="11"/>
  <c r="D71" i="11"/>
  <c r="E71" i="11"/>
  <c r="D72" i="11"/>
  <c r="H72" i="11" s="1"/>
  <c r="E72" i="11"/>
  <c r="D73" i="11"/>
  <c r="H73" i="11" s="1"/>
  <c r="E73" i="11"/>
  <c r="I71" i="11" l="1"/>
  <c r="J66" i="11"/>
  <c r="J58" i="11"/>
  <c r="J46" i="11"/>
  <c r="I35" i="11"/>
  <c r="H39" i="11"/>
  <c r="J37" i="11"/>
  <c r="J41" i="11"/>
  <c r="J33" i="11"/>
  <c r="H35" i="11"/>
  <c r="J73" i="11"/>
  <c r="H71" i="11"/>
  <c r="I70" i="11"/>
  <c r="J69" i="11"/>
  <c r="H67" i="11"/>
  <c r="I66" i="11"/>
  <c r="J65" i="11"/>
  <c r="H63" i="11"/>
  <c r="I62" i="11"/>
  <c r="J61" i="11"/>
  <c r="H59" i="11"/>
  <c r="I58" i="11"/>
  <c r="J57" i="11"/>
  <c r="H55" i="11"/>
  <c r="I54" i="11"/>
  <c r="J53" i="11"/>
  <c r="H51" i="11"/>
  <c r="I50" i="11"/>
  <c r="J49" i="11"/>
  <c r="H47" i="11"/>
  <c r="I46" i="11"/>
  <c r="J45" i="11"/>
  <c r="H43" i="11"/>
  <c r="I42" i="11"/>
  <c r="I38" i="11"/>
  <c r="I34" i="11"/>
  <c r="I73" i="11"/>
  <c r="J72" i="11"/>
  <c r="H70" i="11"/>
  <c r="I69" i="11"/>
  <c r="J68" i="11"/>
  <c r="H66" i="11"/>
  <c r="I65" i="11"/>
  <c r="J64" i="11"/>
  <c r="H62" i="11"/>
  <c r="I61" i="11"/>
  <c r="J60" i="11"/>
  <c r="H58" i="11"/>
  <c r="I57" i="11"/>
  <c r="J56" i="11"/>
  <c r="H54" i="11"/>
  <c r="I53" i="11"/>
  <c r="J52" i="11"/>
  <c r="H50" i="11"/>
  <c r="I49" i="11"/>
  <c r="J48" i="11"/>
  <c r="H46" i="11"/>
  <c r="I45" i="11"/>
  <c r="J44" i="11"/>
  <c r="H42" i="11"/>
  <c r="I41" i="11"/>
  <c r="J40" i="11"/>
  <c r="H38" i="11"/>
  <c r="K38" i="11" s="1"/>
  <c r="I37" i="11"/>
  <c r="J36" i="11"/>
  <c r="H34" i="11"/>
  <c r="I33" i="11"/>
  <c r="I72" i="11"/>
  <c r="J71" i="11"/>
  <c r="I68" i="11"/>
  <c r="J67" i="11"/>
  <c r="I64" i="11"/>
  <c r="K64" i="11" s="1"/>
  <c r="J63" i="11"/>
  <c r="I60" i="11"/>
  <c r="J59" i="11"/>
  <c r="I56" i="11"/>
  <c r="J55" i="11"/>
  <c r="I52" i="11"/>
  <c r="J51" i="11"/>
  <c r="I48" i="11"/>
  <c r="K48" i="11" s="1"/>
  <c r="J47" i="11"/>
  <c r="I44" i="11"/>
  <c r="J43" i="11"/>
  <c r="I40" i="11"/>
  <c r="J39" i="11"/>
  <c r="I36" i="11"/>
  <c r="J35" i="11"/>
  <c r="K39" i="11" l="1"/>
  <c r="K72" i="11"/>
  <c r="K42" i="11"/>
  <c r="K53" i="11"/>
  <c r="K69" i="11"/>
  <c r="K58" i="11"/>
  <c r="K33" i="11"/>
  <c r="K49" i="11"/>
  <c r="K54" i="11"/>
  <c r="K65" i="11"/>
  <c r="K70" i="11"/>
  <c r="K68" i="11"/>
  <c r="K36" i="11"/>
  <c r="K52" i="11"/>
  <c r="K37" i="11"/>
  <c r="K60" i="11"/>
  <c r="K44" i="11"/>
  <c r="K41" i="11"/>
  <c r="K46" i="11"/>
  <c r="K57" i="11"/>
  <c r="K62" i="11"/>
  <c r="K73" i="11"/>
  <c r="K35" i="11"/>
  <c r="K40" i="11"/>
  <c r="K56" i="11"/>
  <c r="K55" i="11"/>
  <c r="K71" i="11"/>
  <c r="K34" i="11"/>
  <c r="K45" i="11"/>
  <c r="K50" i="11"/>
  <c r="K61" i="11"/>
  <c r="K66" i="11"/>
  <c r="K47" i="11"/>
  <c r="K63" i="11"/>
  <c r="K51" i="11"/>
  <c r="K67" i="11"/>
  <c r="K43" i="11"/>
  <c r="K59" i="11"/>
  <c r="G114" i="11" l="1"/>
  <c r="G115" i="11"/>
  <c r="G116" i="11"/>
  <c r="G117" i="11"/>
  <c r="G118" i="11"/>
  <c r="D16" i="11"/>
  <c r="D17" i="11"/>
  <c r="D18" i="11"/>
  <c r="F125" i="11" l="1"/>
  <c r="F124" i="11"/>
  <c r="F123" i="11"/>
  <c r="F122" i="11"/>
  <c r="F121" i="11"/>
  <c r="D118" i="11"/>
  <c r="H118" i="11" s="1"/>
  <c r="E118" i="11"/>
  <c r="G112" i="11"/>
  <c r="G113" i="11"/>
  <c r="G119" i="11"/>
  <c r="G120" i="11"/>
  <c r="G121" i="11"/>
  <c r="G122" i="11"/>
  <c r="G123" i="11"/>
  <c r="G124" i="11"/>
  <c r="G125" i="11"/>
  <c r="G126" i="11"/>
  <c r="D112" i="11"/>
  <c r="H112" i="11" s="1"/>
  <c r="E112" i="11"/>
  <c r="D113" i="11"/>
  <c r="J113" i="11" s="1"/>
  <c r="E113" i="11"/>
  <c r="D114" i="11"/>
  <c r="I114" i="11" s="1"/>
  <c r="E114" i="11"/>
  <c r="D115" i="11"/>
  <c r="E115" i="11"/>
  <c r="D116" i="11"/>
  <c r="E116" i="11"/>
  <c r="D117" i="11"/>
  <c r="E117" i="11"/>
  <c r="D119" i="11"/>
  <c r="I119" i="11" s="1"/>
  <c r="E119" i="11"/>
  <c r="D120" i="11"/>
  <c r="H120" i="11" s="1"/>
  <c r="E120" i="11"/>
  <c r="D121" i="11"/>
  <c r="H121" i="11" s="1"/>
  <c r="E121" i="11"/>
  <c r="D122" i="11"/>
  <c r="J122" i="11" s="1"/>
  <c r="E122" i="11"/>
  <c r="D123" i="11"/>
  <c r="E123" i="11"/>
  <c r="D124" i="11"/>
  <c r="H124" i="11" s="1"/>
  <c r="E124" i="11"/>
  <c r="D125" i="11"/>
  <c r="H125" i="11" s="1"/>
  <c r="E125" i="11"/>
  <c r="D126" i="11"/>
  <c r="J126" i="11" s="1"/>
  <c r="E126" i="11"/>
  <c r="F84" i="11"/>
  <c r="F83" i="11"/>
  <c r="F82" i="11"/>
  <c r="F81" i="11"/>
  <c r="F80" i="11"/>
  <c r="F79" i="11"/>
  <c r="F78" i="11"/>
  <c r="F77" i="11"/>
  <c r="F76" i="11"/>
  <c r="F32" i="11"/>
  <c r="F31" i="11"/>
  <c r="F30" i="11"/>
  <c r="F29" i="11"/>
  <c r="F28" i="11"/>
  <c r="F27" i="11"/>
  <c r="F26" i="11"/>
  <c r="F25" i="11"/>
  <c r="F24" i="11"/>
  <c r="F23" i="11"/>
  <c r="F21" i="11"/>
  <c r="G15" i="11"/>
  <c r="G16" i="11"/>
  <c r="G17" i="11"/>
  <c r="I17" i="11" s="1"/>
  <c r="H17" i="11"/>
  <c r="J17" i="11"/>
  <c r="G18" i="11"/>
  <c r="J18" i="11" s="1"/>
  <c r="H18" i="11"/>
  <c r="I18" i="11"/>
  <c r="I123" i="11" l="1"/>
  <c r="J118" i="11"/>
  <c r="I118" i="11"/>
  <c r="H116" i="11"/>
  <c r="J117" i="11"/>
  <c r="H115" i="11"/>
  <c r="J121" i="11"/>
  <c r="H119" i="11"/>
  <c r="H113" i="11"/>
  <c r="I122" i="11"/>
  <c r="J116" i="11"/>
  <c r="H114" i="11"/>
  <c r="H122" i="11"/>
  <c r="J120" i="11"/>
  <c r="I117" i="11"/>
  <c r="J112" i="11"/>
  <c r="H123" i="11"/>
  <c r="H117" i="11"/>
  <c r="J115" i="11"/>
  <c r="I113" i="11"/>
  <c r="I126" i="11"/>
  <c r="J125" i="11"/>
  <c r="H126" i="11"/>
  <c r="I125" i="11"/>
  <c r="J124" i="11"/>
  <c r="I121" i="11"/>
  <c r="I116" i="11"/>
  <c r="I112" i="11"/>
  <c r="I124" i="11"/>
  <c r="J123" i="11"/>
  <c r="I120" i="11"/>
  <c r="J119" i="11"/>
  <c r="I115" i="11"/>
  <c r="J114" i="11"/>
  <c r="K18" i="11"/>
  <c r="K17" i="11"/>
  <c r="K124" i="11" l="1"/>
  <c r="K121" i="11"/>
  <c r="K118" i="11"/>
  <c r="K117" i="11"/>
  <c r="K115" i="11"/>
  <c r="K125" i="11"/>
  <c r="K123" i="11"/>
  <c r="K122" i="11"/>
  <c r="K120" i="11"/>
  <c r="K116" i="11"/>
  <c r="K114" i="11"/>
  <c r="K119" i="11"/>
  <c r="K112" i="11"/>
  <c r="K126" i="11"/>
  <c r="K113" i="11"/>
  <c r="D8" i="59" l="1"/>
  <c r="G109" i="11"/>
  <c r="G110" i="11"/>
  <c r="D109" i="11"/>
  <c r="H109" i="11" s="1"/>
  <c r="E109" i="11"/>
  <c r="D110" i="11"/>
  <c r="E110" i="11"/>
  <c r="E16" i="11"/>
  <c r="E17" i="11"/>
  <c r="E18" i="11"/>
  <c r="G74" i="11"/>
  <c r="G75" i="11"/>
  <c r="G76" i="11"/>
  <c r="G77" i="11"/>
  <c r="G78" i="11"/>
  <c r="G79" i="11"/>
  <c r="G80" i="11"/>
  <c r="G81" i="11"/>
  <c r="G82" i="11"/>
  <c r="G83" i="11"/>
  <c r="D74" i="11"/>
  <c r="J74" i="11" s="1"/>
  <c r="E74" i="11"/>
  <c r="D75" i="11"/>
  <c r="E75" i="11"/>
  <c r="D76" i="11"/>
  <c r="H76" i="11" s="1"/>
  <c r="E76" i="11"/>
  <c r="D77" i="11"/>
  <c r="H77" i="11" s="1"/>
  <c r="E77" i="11"/>
  <c r="D78" i="11"/>
  <c r="E78" i="11"/>
  <c r="D79" i="11"/>
  <c r="E79" i="11"/>
  <c r="D80" i="11"/>
  <c r="H80" i="11" s="1"/>
  <c r="E80" i="11"/>
  <c r="D81" i="11"/>
  <c r="H81" i="11" s="1"/>
  <c r="E81" i="11"/>
  <c r="D82" i="11"/>
  <c r="J82" i="11" s="1"/>
  <c r="E82" i="11"/>
  <c r="D83" i="11"/>
  <c r="E83" i="11"/>
  <c r="I83" i="11" l="1"/>
  <c r="I79" i="11"/>
  <c r="J110" i="11"/>
  <c r="I110" i="11"/>
  <c r="J109" i="11"/>
  <c r="H110" i="11"/>
  <c r="I109" i="11"/>
  <c r="J78" i="11"/>
  <c r="I75" i="11"/>
  <c r="H83" i="11"/>
  <c r="I82" i="11"/>
  <c r="J81" i="11"/>
  <c r="H79" i="11"/>
  <c r="I78" i="11"/>
  <c r="J77" i="11"/>
  <c r="H75" i="11"/>
  <c r="I74" i="11"/>
  <c r="H82" i="11"/>
  <c r="I81" i="11"/>
  <c r="J80" i="11"/>
  <c r="H78" i="11"/>
  <c r="I77" i="11"/>
  <c r="J76" i="11"/>
  <c r="H74" i="11"/>
  <c r="J83" i="11"/>
  <c r="I80" i="11"/>
  <c r="J79" i="11"/>
  <c r="I76" i="11"/>
  <c r="J75" i="11"/>
  <c r="K80" i="11" l="1"/>
  <c r="K110" i="11"/>
  <c r="K77" i="11"/>
  <c r="K82" i="11"/>
  <c r="K109" i="11"/>
  <c r="K81" i="11"/>
  <c r="K78" i="11"/>
  <c r="K76" i="11"/>
  <c r="K74" i="11"/>
  <c r="K83" i="11"/>
  <c r="K79" i="11"/>
  <c r="K75" i="11"/>
  <c r="D111" i="11" l="1"/>
  <c r="H111" i="11" s="1"/>
  <c r="D127" i="11"/>
  <c r="J127" i="11" s="1"/>
  <c r="G111" i="11"/>
  <c r="D15" i="11"/>
  <c r="D19" i="11"/>
  <c r="H19" i="11" s="1"/>
  <c r="D20" i="11"/>
  <c r="H20" i="11" s="1"/>
  <c r="G19" i="11"/>
  <c r="G20" i="11"/>
  <c r="G21" i="11"/>
  <c r="K6" i="60"/>
  <c r="M128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D29" i="11"/>
  <c r="H29" i="11" s="1"/>
  <c r="E29" i="11"/>
  <c r="D30" i="11"/>
  <c r="H30" i="11" s="1"/>
  <c r="E30" i="11"/>
  <c r="O217" i="10"/>
  <c r="P217" i="10"/>
  <c r="K217" i="10"/>
  <c r="M217" i="10"/>
  <c r="J217" i="10"/>
  <c r="I217" i="10"/>
  <c r="G105" i="11"/>
  <c r="E105" i="11"/>
  <c r="D105" i="11"/>
  <c r="G104" i="11"/>
  <c r="E104" i="11"/>
  <c r="D104" i="11"/>
  <c r="H104" i="11" s="1"/>
  <c r="G103" i="11"/>
  <c r="E103" i="11"/>
  <c r="D103" i="11"/>
  <c r="G102" i="11"/>
  <c r="E102" i="11"/>
  <c r="D102" i="11"/>
  <c r="J102" i="11" s="1"/>
  <c r="G101" i="11"/>
  <c r="E101" i="11"/>
  <c r="D101" i="11"/>
  <c r="I101" i="11" s="1"/>
  <c r="G100" i="11"/>
  <c r="E100" i="11"/>
  <c r="D100" i="11"/>
  <c r="G99" i="11"/>
  <c r="E99" i="11"/>
  <c r="D99" i="11"/>
  <c r="H99" i="11" s="1"/>
  <c r="G98" i="11"/>
  <c r="E98" i="11"/>
  <c r="D98" i="11"/>
  <c r="G97" i="11"/>
  <c r="E97" i="11"/>
  <c r="D97" i="11"/>
  <c r="G96" i="11"/>
  <c r="E96" i="11"/>
  <c r="D96" i="11"/>
  <c r="G95" i="11"/>
  <c r="E95" i="11"/>
  <c r="D95" i="11"/>
  <c r="J95" i="11" s="1"/>
  <c r="G94" i="11"/>
  <c r="E94" i="11"/>
  <c r="D94" i="11"/>
  <c r="J94" i="11" s="1"/>
  <c r="G93" i="11"/>
  <c r="E93" i="11"/>
  <c r="D93" i="11"/>
  <c r="G92" i="11"/>
  <c r="E92" i="11"/>
  <c r="D92" i="11"/>
  <c r="G91" i="11"/>
  <c r="E91" i="11"/>
  <c r="D91" i="11"/>
  <c r="G90" i="11"/>
  <c r="E90" i="11"/>
  <c r="D90" i="11"/>
  <c r="G89" i="11"/>
  <c r="E89" i="11"/>
  <c r="D89" i="11"/>
  <c r="J89" i="11" s="1"/>
  <c r="G88" i="11"/>
  <c r="E88" i="11"/>
  <c r="D88" i="11"/>
  <c r="G87" i="11"/>
  <c r="E87" i="11"/>
  <c r="D87" i="11"/>
  <c r="G86" i="11"/>
  <c r="E86" i="11"/>
  <c r="D86" i="11"/>
  <c r="G85" i="11"/>
  <c r="E85" i="11"/>
  <c r="D85" i="11"/>
  <c r="G84" i="11"/>
  <c r="E84" i="11"/>
  <c r="D84" i="11"/>
  <c r="M23" i="11"/>
  <c r="M84" i="11"/>
  <c r="D14" i="59"/>
  <c r="D5" i="60" s="1"/>
  <c r="K5" i="60" s="1"/>
  <c r="E32" i="11"/>
  <c r="D32" i="11"/>
  <c r="E31" i="11"/>
  <c r="D31" i="11"/>
  <c r="J31" i="11" s="1"/>
  <c r="G29" i="11"/>
  <c r="E28" i="11"/>
  <c r="D28" i="11"/>
  <c r="J28" i="11" s="1"/>
  <c r="E27" i="11"/>
  <c r="D27" i="11"/>
  <c r="J27" i="11" s="1"/>
  <c r="E26" i="11"/>
  <c r="D26" i="11"/>
  <c r="E25" i="11"/>
  <c r="D25" i="11"/>
  <c r="G24" i="11"/>
  <c r="E24" i="11"/>
  <c r="D24" i="11"/>
  <c r="E23" i="11"/>
  <c r="D23" i="11"/>
  <c r="J23" i="11" s="1"/>
  <c r="G22" i="11"/>
  <c r="E22" i="11"/>
  <c r="D22" i="11"/>
  <c r="I22" i="11" s="1"/>
  <c r="E21" i="11"/>
  <c r="D21" i="11"/>
  <c r="E20" i="11"/>
  <c r="E19" i="11"/>
  <c r="E15" i="11"/>
  <c r="A15" i="11"/>
  <c r="D19" i="59"/>
  <c r="D18" i="59"/>
  <c r="M16" i="11"/>
  <c r="E111" i="11"/>
  <c r="D106" i="11"/>
  <c r="E106" i="11"/>
  <c r="D107" i="11"/>
  <c r="E107" i="11"/>
  <c r="M111" i="11"/>
  <c r="D108" i="11"/>
  <c r="E108" i="11"/>
  <c r="E127" i="11"/>
  <c r="G127" i="11"/>
  <c r="D14" i="11"/>
  <c r="H14" i="11" s="1"/>
  <c r="E14" i="11"/>
  <c r="G14" i="11"/>
  <c r="K19" i="60"/>
  <c r="D19" i="60"/>
  <c r="M127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/>
  <c r="D6" i="60"/>
  <c r="D9" i="60"/>
  <c r="D128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128" i="11"/>
  <c r="D129" i="11"/>
  <c r="E129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129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G32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6" i="11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108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5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30" i="11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8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G107" i="11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128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36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G31" i="11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G23" i="11"/>
  <c r="G27" i="11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106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M120" i="1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D346" i="29" s="1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D836" i="41" s="1"/>
  <c r="E836" i="41" s="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I85" i="11" l="1"/>
  <c r="H26" i="11"/>
  <c r="H15" i="11"/>
  <c r="I15" i="11"/>
  <c r="J15" i="11"/>
  <c r="J16" i="11"/>
  <c r="H16" i="11"/>
  <c r="I16" i="11"/>
  <c r="H108" i="11"/>
  <c r="D312" i="29"/>
  <c r="E312" i="29" s="1"/>
  <c r="D802" i="41"/>
  <c r="E802" i="41" s="1"/>
  <c r="D22" i="59"/>
  <c r="K8" i="60" s="1"/>
  <c r="D21" i="59"/>
  <c r="M121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M122" i="11"/>
  <c r="M123" i="11"/>
  <c r="M125" i="11"/>
  <c r="M124" i="11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E1155" i="41"/>
  <c r="E1254" i="41"/>
  <c r="E842" i="41"/>
  <c r="E834" i="41"/>
  <c r="F857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J29" i="11"/>
  <c r="E1048" i="41"/>
  <c r="E1170" i="41"/>
  <c r="E1130" i="41"/>
  <c r="E1136" i="41"/>
  <c r="E813" i="41"/>
  <c r="E1106" i="41"/>
  <c r="E895" i="41"/>
  <c r="F810" i="41"/>
  <c r="E1053" i="41"/>
  <c r="F838" i="41"/>
  <c r="F769" i="41"/>
  <c r="E1080" i="41"/>
  <c r="E1303" i="41"/>
  <c r="E891" i="41"/>
  <c r="E955" i="41"/>
  <c r="E1306" i="41"/>
  <c r="E918" i="41"/>
  <c r="E1103" i="41"/>
  <c r="E986" i="41"/>
  <c r="F797" i="41"/>
  <c r="J30" i="1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I27" i="11"/>
  <c r="I25" i="11"/>
  <c r="H27" i="11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H36" i="39"/>
  <c r="F866" i="41"/>
  <c r="E1029" i="41"/>
  <c r="E784" i="41"/>
  <c r="E973" i="41"/>
  <c r="F315" i="29"/>
  <c r="F322" i="29"/>
  <c r="F250" i="29"/>
  <c r="E273" i="29"/>
  <c r="I30" i="11"/>
  <c r="E1292" i="41"/>
  <c r="E1132" i="41"/>
  <c r="E939" i="41"/>
  <c r="E781" i="41"/>
  <c r="E818" i="41"/>
  <c r="E1203" i="41"/>
  <c r="E952" i="41"/>
  <c r="E1090" i="41"/>
  <c r="F320" i="29"/>
  <c r="F229" i="29"/>
  <c r="F868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H22" i="11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108" i="11"/>
  <c r="F860" i="41"/>
  <c r="F863" i="41"/>
  <c r="F862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E947" i="41"/>
  <c r="E787" i="41"/>
  <c r="E930" i="41"/>
  <c r="E1028" i="41"/>
  <c r="E1289" i="41"/>
  <c r="F728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231" i="29"/>
  <c r="E282" i="29"/>
  <c r="J106" i="11"/>
  <c r="I106" i="11"/>
  <c r="F806" i="41"/>
  <c r="E1081" i="41"/>
  <c r="E1027" i="41"/>
  <c r="F861" i="41"/>
  <c r="E861" i="41"/>
  <c r="E230" i="29"/>
  <c r="E346" i="29"/>
  <c r="E274" i="29"/>
  <c r="F274" i="29"/>
  <c r="H129" i="11"/>
  <c r="J129" i="11"/>
  <c r="J108" i="11"/>
  <c r="E340" i="29"/>
  <c r="H28" i="11"/>
  <c r="I89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I26" i="11"/>
  <c r="J14" i="11"/>
  <c r="J26" i="11"/>
  <c r="E1149" i="41"/>
  <c r="F833" i="41"/>
  <c r="H89" i="11"/>
  <c r="F816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H23" i="11"/>
  <c r="I20" i="11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E1041" i="41"/>
  <c r="E1013" i="41"/>
  <c r="E742" i="41"/>
  <c r="F789" i="41"/>
  <c r="E749" i="41"/>
  <c r="F783" i="41"/>
  <c r="E1003" i="41"/>
  <c r="E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E327" i="29"/>
  <c r="E336" i="29"/>
  <c r="F336" i="29"/>
  <c r="E357" i="29"/>
  <c r="F329" i="29"/>
  <c r="E359" i="29"/>
  <c r="F342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I21" i="11"/>
  <c r="J21" i="11"/>
  <c r="H21" i="11"/>
  <c r="H32" i="11"/>
  <c r="J32" i="11"/>
  <c r="I29" i="11"/>
  <c r="E287" i="29"/>
  <c r="F287" i="29"/>
  <c r="J107" i="11"/>
  <c r="I107" i="11"/>
  <c r="E348" i="29"/>
  <c r="F348" i="29"/>
  <c r="E59" i="39"/>
  <c r="E290" i="29"/>
  <c r="I28" i="11"/>
  <c r="F323" i="29"/>
  <c r="E260" i="29"/>
  <c r="E236" i="29"/>
  <c r="E73" i="39"/>
  <c r="E341" i="29"/>
  <c r="F341" i="29"/>
  <c r="F299" i="29"/>
  <c r="J105" i="11"/>
  <c r="H105" i="11"/>
  <c r="I105" i="11"/>
  <c r="F300" i="29"/>
  <c r="E284" i="29"/>
  <c r="M83" i="11"/>
  <c r="J19" i="11"/>
  <c r="F233" i="29"/>
  <c r="E58" i="39"/>
  <c r="F319" i="29"/>
  <c r="F310" i="29"/>
  <c r="I31" i="11"/>
  <c r="H107" i="11"/>
  <c r="H106" i="11"/>
  <c r="J22" i="11"/>
  <c r="J20" i="11"/>
  <c r="M119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84" i="11"/>
  <c r="H84" i="11"/>
  <c r="H88" i="11"/>
  <c r="J88" i="11"/>
  <c r="I88" i="11"/>
  <c r="J92" i="11"/>
  <c r="I92" i="11"/>
  <c r="H92" i="11"/>
  <c r="J96" i="11"/>
  <c r="H96" i="11"/>
  <c r="I100" i="11"/>
  <c r="J100" i="11"/>
  <c r="H100" i="11"/>
  <c r="J25" i="11"/>
  <c r="H25" i="11"/>
  <c r="I84" i="11"/>
  <c r="I87" i="11"/>
  <c r="H87" i="11"/>
  <c r="J87" i="11"/>
  <c r="I91" i="11"/>
  <c r="J91" i="11"/>
  <c r="H91" i="11"/>
  <c r="H95" i="11"/>
  <c r="I95" i="11"/>
  <c r="I99" i="11"/>
  <c r="J99" i="11"/>
  <c r="I103" i="11"/>
  <c r="H103" i="11"/>
  <c r="J103" i="11"/>
  <c r="I129" i="11"/>
  <c r="I32" i="11"/>
  <c r="J24" i="11"/>
  <c r="H24" i="11"/>
  <c r="I24" i="11"/>
  <c r="J86" i="11"/>
  <c r="H86" i="11"/>
  <c r="I86" i="11"/>
  <c r="J90" i="11"/>
  <c r="H90" i="11"/>
  <c r="I90" i="11"/>
  <c r="I94" i="11"/>
  <c r="H94" i="11"/>
  <c r="J98" i="11"/>
  <c r="H98" i="11"/>
  <c r="I98" i="11"/>
  <c r="H102" i="11"/>
  <c r="I102" i="11"/>
  <c r="I96" i="11"/>
  <c r="H85" i="11"/>
  <c r="J85" i="11"/>
  <c r="I93" i="11"/>
  <c r="H93" i="11"/>
  <c r="J93" i="11"/>
  <c r="J97" i="11"/>
  <c r="H97" i="11"/>
  <c r="I97" i="11"/>
  <c r="J101" i="11"/>
  <c r="H101" i="11"/>
  <c r="I104" i="11"/>
  <c r="I127" i="11"/>
  <c r="J111" i="11"/>
  <c r="H31" i="11"/>
  <c r="J104" i="11"/>
  <c r="I19" i="11"/>
  <c r="H127" i="11"/>
  <c r="I111" i="11"/>
  <c r="I23" i="11"/>
  <c r="F718" i="41" l="1"/>
  <c r="F351" i="29"/>
  <c r="F841" i="41"/>
  <c r="F290" i="29"/>
  <c r="F780" i="41"/>
  <c r="F347" i="29"/>
  <c r="F782" i="41"/>
  <c r="F837" i="41"/>
  <c r="F292" i="29"/>
  <c r="F228" i="29"/>
  <c r="F803" i="41"/>
  <c r="F313" i="29"/>
  <c r="F847" i="41"/>
  <c r="F785" i="41"/>
  <c r="F854" i="41"/>
  <c r="F295" i="29"/>
  <c r="F357" i="29"/>
  <c r="F720" i="41"/>
  <c r="F230" i="29"/>
  <c r="F75" i="39"/>
  <c r="F71" i="39"/>
  <c r="F64" i="39"/>
  <c r="F824" i="41"/>
  <c r="F334" i="29"/>
  <c r="M112" i="11"/>
  <c r="F74" i="39"/>
  <c r="F961" i="41"/>
  <c r="F368" i="29"/>
  <c r="F76" i="39"/>
  <c r="F1279" i="41"/>
  <c r="F68" i="39"/>
  <c r="F69" i="39"/>
  <c r="F1063" i="41"/>
  <c r="F1311" i="41"/>
  <c r="F1138" i="41"/>
  <c r="F1133" i="41"/>
  <c r="F958" i="41"/>
  <c r="F1297" i="41"/>
  <c r="F1047" i="41"/>
  <c r="K15" i="11"/>
  <c r="K16" i="11"/>
  <c r="F817" i="41"/>
  <c r="F822" i="41"/>
  <c r="F332" i="29"/>
  <c r="F804" i="41"/>
  <c r="F314" i="29"/>
  <c r="F327" i="29"/>
  <c r="F59" i="39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K27" i="11"/>
  <c r="M27" i="11" s="1"/>
  <c r="F60" i="39"/>
  <c r="D9" i="59"/>
  <c r="K7" i="54" s="1"/>
  <c r="C7" i="54"/>
  <c r="C8" i="54"/>
  <c r="K14" i="11"/>
  <c r="M14" i="11" s="1"/>
  <c r="K111" i="11"/>
  <c r="M67" i="11"/>
  <c r="M69" i="11"/>
  <c r="M71" i="11"/>
  <c r="K29" i="11"/>
  <c r="M29" i="11" s="1"/>
  <c r="K30" i="11"/>
  <c r="M30" i="11" s="1"/>
  <c r="M72" i="11"/>
  <c r="K99" i="11"/>
  <c r="M99" i="11" s="1"/>
  <c r="K89" i="11"/>
  <c r="M89" i="11" s="1"/>
  <c r="K108" i="11"/>
  <c r="M108" i="11" s="1"/>
  <c r="K22" i="11"/>
  <c r="M22" i="11" s="1"/>
  <c r="M70" i="11"/>
  <c r="M68" i="11"/>
  <c r="K20" i="11"/>
  <c r="K26" i="11"/>
  <c r="M26" i="11" s="1"/>
  <c r="K19" i="11"/>
  <c r="M19" i="11" s="1"/>
  <c r="K25" i="11"/>
  <c r="M25" i="11" s="1"/>
  <c r="K28" i="11"/>
  <c r="M28" i="11" s="1"/>
  <c r="M126" i="11"/>
  <c r="K129" i="11"/>
  <c r="K105" i="11"/>
  <c r="M105" i="11" s="1"/>
  <c r="M73" i="11"/>
  <c r="K106" i="11"/>
  <c r="M106" i="11" s="1"/>
  <c r="K23" i="11"/>
  <c r="F350" i="29"/>
  <c r="K102" i="11"/>
  <c r="M102" i="11" s="1"/>
  <c r="K104" i="11"/>
  <c r="M104" i="11" s="1"/>
  <c r="K85" i="11"/>
  <c r="M85" i="11" s="1"/>
  <c r="K32" i="11"/>
  <c r="M32" i="11" s="1"/>
  <c r="K95" i="11"/>
  <c r="M95" i="11" s="1"/>
  <c r="K88" i="11"/>
  <c r="M88" i="11" s="1"/>
  <c r="K21" i="11"/>
  <c r="M21" i="11" s="1"/>
  <c r="K31" i="11"/>
  <c r="M31" i="11" s="1"/>
  <c r="K93" i="11"/>
  <c r="M93" i="11" s="1"/>
  <c r="K107" i="11"/>
  <c r="M107" i="11" s="1"/>
  <c r="K127" i="11"/>
  <c r="K90" i="11"/>
  <c r="M90" i="11" s="1"/>
  <c r="K24" i="11"/>
  <c r="M24" i="11" s="1"/>
  <c r="H128" i="11"/>
  <c r="H131" i="11" s="1"/>
  <c r="F312" i="29"/>
  <c r="F339" i="29"/>
  <c r="F226" i="29"/>
  <c r="F345" i="29"/>
  <c r="F239" i="29"/>
  <c r="I128" i="11"/>
  <c r="I131" i="11" s="1"/>
  <c r="J128" i="11"/>
  <c r="J131" i="11" s="1"/>
  <c r="K94" i="11"/>
  <c r="M94" i="11" s="1"/>
  <c r="K103" i="11"/>
  <c r="M103" i="11" s="1"/>
  <c r="K96" i="11"/>
  <c r="M96" i="11" s="1"/>
  <c r="K84" i="11"/>
  <c r="K97" i="11"/>
  <c r="M97" i="11" s="1"/>
  <c r="K100" i="11"/>
  <c r="M100" i="11" s="1"/>
  <c r="K101" i="11"/>
  <c r="M101" i="11" s="1"/>
  <c r="K98" i="11"/>
  <c r="M98" i="11" s="1"/>
  <c r="K86" i="11"/>
  <c r="M86" i="11" s="1"/>
  <c r="K91" i="11"/>
  <c r="M91" i="11" s="1"/>
  <c r="K87" i="11"/>
  <c r="M87" i="11" s="1"/>
  <c r="K92" i="11"/>
  <c r="M92" i="11" s="1"/>
  <c r="F716" i="41"/>
  <c r="F840" i="41"/>
  <c r="F835" i="41"/>
  <c r="F729" i="41"/>
  <c r="F802" i="41"/>
  <c r="F829" i="41"/>
  <c r="F17" i="39" l="1"/>
  <c r="C16" i="39"/>
  <c r="F16" i="39"/>
  <c r="C30" i="39"/>
  <c r="G30" i="39" s="1"/>
  <c r="C17" i="39"/>
  <c r="B17" i="39" s="1"/>
  <c r="E17" i="39" s="1"/>
  <c r="C21" i="39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F21" i="39"/>
  <c r="C29" i="39"/>
  <c r="B29" i="39" s="1"/>
  <c r="E29" i="39" s="1"/>
  <c r="C32" i="39"/>
  <c r="D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G33" i="39" s="1"/>
  <c r="F20" i="39"/>
  <c r="C23" i="39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B18" i="29" s="1"/>
  <c r="E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D133" i="29" s="1"/>
  <c r="F126" i="29"/>
  <c r="C87" i="29"/>
  <c r="B87" i="29" s="1"/>
  <c r="E87" i="29" s="1"/>
  <c r="F137" i="29"/>
  <c r="C33" i="29"/>
  <c r="D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F20" i="29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B122" i="29" s="1"/>
  <c r="E122" i="29" s="1"/>
  <c r="C94" i="29"/>
  <c r="B94" i="29" s="1"/>
  <c r="E94" i="29" s="1"/>
  <c r="F128" i="29"/>
  <c r="F28" i="29"/>
  <c r="C90" i="29"/>
  <c r="B90" i="29" s="1"/>
  <c r="E90" i="29" s="1"/>
  <c r="F59" i="29"/>
  <c r="F85" i="29"/>
  <c r="C37" i="29"/>
  <c r="G37" i="29" s="1"/>
  <c r="F165" i="29"/>
  <c r="F249" i="41"/>
  <c r="F133" i="29"/>
  <c r="C67" i="29"/>
  <c r="B67" i="29" s="1"/>
  <c r="E67" i="29" s="1"/>
  <c r="F29" i="29"/>
  <c r="C113" i="29"/>
  <c r="G113" i="29" s="1"/>
  <c r="C134" i="29"/>
  <c r="G134" i="29" s="1"/>
  <c r="F53" i="29"/>
  <c r="F2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22" i="29"/>
  <c r="D22" i="29" s="1"/>
  <c r="C32" i="29"/>
  <c r="G32" i="29" s="1"/>
  <c r="C157" i="29"/>
  <c r="B157" i="29" s="1"/>
  <c r="E157" i="29" s="1"/>
  <c r="C124" i="29"/>
  <c r="G124" i="29" s="1"/>
  <c r="F130" i="29"/>
  <c r="C25" i="29"/>
  <c r="D25" i="29" s="1"/>
  <c r="F124" i="29"/>
  <c r="C160" i="29"/>
  <c r="D160" i="29" s="1"/>
  <c r="C100" i="29"/>
  <c r="D100" i="29" s="1"/>
  <c r="F58" i="29"/>
  <c r="F109" i="29"/>
  <c r="C65" i="29"/>
  <c r="D65" i="29" s="1"/>
  <c r="C66" i="29"/>
  <c r="B66" i="29" s="1"/>
  <c r="E66" i="29" s="1"/>
  <c r="F88" i="29"/>
  <c r="F19" i="29"/>
  <c r="C85" i="29"/>
  <c r="B85" i="29" s="1"/>
  <c r="E85" i="29" s="1"/>
  <c r="C111" i="29"/>
  <c r="B111" i="29" s="1"/>
  <c r="E111" i="29" s="1"/>
  <c r="C54" i="29"/>
  <c r="D54" i="29" s="1"/>
  <c r="F108" i="29"/>
  <c r="C77" i="29"/>
  <c r="D77" i="29" s="1"/>
  <c r="C23" i="29"/>
  <c r="D23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F22" i="29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C20" i="29"/>
  <c r="G20" i="29" s="1"/>
  <c r="C42" i="29"/>
  <c r="G42" i="29" s="1"/>
  <c r="C107" i="29"/>
  <c r="D107" i="29" s="1"/>
  <c r="F32" i="29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26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F24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C19" i="29"/>
  <c r="G19" i="29" s="1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0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31" i="29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F27" i="29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21" i="29"/>
  <c r="F25" i="29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C21" i="29"/>
  <c r="D21" i="29" s="1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132" i="11"/>
  <c r="J133" i="11" s="1"/>
  <c r="H132" i="11"/>
  <c r="H133" i="11" s="1"/>
  <c r="I132" i="11"/>
  <c r="I133" i="11" s="1"/>
  <c r="D31" i="39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D23" i="39"/>
  <c r="B23" i="39"/>
  <c r="E23" i="39" s="1"/>
  <c r="G23" i="39"/>
  <c r="D28" i="39"/>
  <c r="B26" i="39"/>
  <c r="E26" i="39" s="1"/>
  <c r="G26" i="39"/>
  <c r="D26" i="39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D67" i="29"/>
  <c r="D106" i="29"/>
  <c r="D21" i="39"/>
  <c r="B21" i="39"/>
  <c r="E21" i="39" s="1"/>
  <c r="G21" i="3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M15" i="11"/>
  <c r="K128" i="11"/>
  <c r="K131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D68" i="29" l="1"/>
  <c r="G25" i="39"/>
  <c r="D92" i="29"/>
  <c r="B124" i="29"/>
  <c r="E124" i="29" s="1"/>
  <c r="D148" i="29"/>
  <c r="D90" i="29"/>
  <c r="G18" i="39"/>
  <c r="G77" i="29"/>
  <c r="I30" i="39"/>
  <c r="G133" i="29"/>
  <c r="G29" i="39"/>
  <c r="G24" i="29"/>
  <c r="D124" i="29"/>
  <c r="D33" i="39"/>
  <c r="B112" i="29"/>
  <c r="E112" i="29" s="1"/>
  <c r="B149" i="29"/>
  <c r="E149" i="29" s="1"/>
  <c r="D85" i="29"/>
  <c r="B33" i="39"/>
  <c r="E33" i="39" s="1"/>
  <c r="D115" i="29"/>
  <c r="J115" i="29" s="1"/>
  <c r="G112" i="29"/>
  <c r="D58" i="29"/>
  <c r="B33" i="29"/>
  <c r="E33" i="29" s="1"/>
  <c r="G143" i="29"/>
  <c r="B18" i="39"/>
  <c r="E18" i="39" s="1"/>
  <c r="D29" i="39"/>
  <c r="B28" i="39"/>
  <c r="E28" i="39" s="1"/>
  <c r="D20" i="39"/>
  <c r="J20" i="39" s="1"/>
  <c r="B38" i="29"/>
  <c r="E38" i="29" s="1"/>
  <c r="G85" i="29"/>
  <c r="G115" i="29"/>
  <c r="G58" i="29"/>
  <c r="D122" i="29"/>
  <c r="D143" i="29"/>
  <c r="G20" i="39"/>
  <c r="G74" i="29"/>
  <c r="D35" i="29"/>
  <c r="H35" i="29" s="1"/>
  <c r="B77" i="29"/>
  <c r="E77" i="29" s="1"/>
  <c r="B65" i="29"/>
  <c r="E65" i="29" s="1"/>
  <c r="B160" i="29"/>
  <c r="E160" i="29" s="1"/>
  <c r="B133" i="29"/>
  <c r="E133" i="29" s="1"/>
  <c r="G122" i="29"/>
  <c r="D132" i="29"/>
  <c r="G32" i="39"/>
  <c r="D18" i="29"/>
  <c r="G66" i="29"/>
  <c r="G105" i="29"/>
  <c r="D24" i="39"/>
  <c r="J24" i="39" s="1"/>
  <c r="G17" i="39"/>
  <c r="B97" i="29"/>
  <c r="E97" i="29" s="1"/>
  <c r="D19" i="29"/>
  <c r="I19" i="29" s="1"/>
  <c r="G104" i="29"/>
  <c r="D20" i="29"/>
  <c r="H20" i="29" s="1"/>
  <c r="G26" i="29"/>
  <c r="G24" i="39"/>
  <c r="G22" i="39"/>
  <c r="B114" i="29"/>
  <c r="E114" i="29" s="1"/>
  <c r="G22" i="29"/>
  <c r="H22" i="29" s="1"/>
  <c r="G19" i="39"/>
  <c r="D34" i="39"/>
  <c r="H34" i="39" s="1"/>
  <c r="D17" i="39"/>
  <c r="J17" i="39" s="1"/>
  <c r="D22" i="39"/>
  <c r="H22" i="39" s="1"/>
  <c r="G111" i="29"/>
  <c r="G18" i="29"/>
  <c r="B100" i="29"/>
  <c r="E100" i="29" s="1"/>
  <c r="D113" i="29"/>
  <c r="I113" i="29" s="1"/>
  <c r="B34" i="39"/>
  <c r="E34" i="39" s="1"/>
  <c r="B128" i="29"/>
  <c r="E128" i="29" s="1"/>
  <c r="G144" i="29"/>
  <c r="B72" i="29"/>
  <c r="E72" i="29" s="1"/>
  <c r="D81" i="29"/>
  <c r="J81" i="29" s="1"/>
  <c r="G23" i="29"/>
  <c r="D94" i="29"/>
  <c r="I94" i="29" s="1"/>
  <c r="B32" i="39"/>
  <c r="E32" i="39" s="1"/>
  <c r="B30" i="39"/>
  <c r="E30" i="39" s="1"/>
  <c r="D40" i="29"/>
  <c r="J40" i="29" s="1"/>
  <c r="G117" i="29"/>
  <c r="D57" i="29"/>
  <c r="I57" i="29" s="1"/>
  <c r="B109" i="29"/>
  <c r="E109" i="29" s="1"/>
  <c r="G131" i="29"/>
  <c r="D109" i="29"/>
  <c r="J109" i="29" s="1"/>
  <c r="B40" i="29"/>
  <c r="E40" i="29" s="1"/>
  <c r="G99" i="29"/>
  <c r="B148" i="29"/>
  <c r="E148" i="29" s="1"/>
  <c r="D149" i="29"/>
  <c r="J149" i="29" s="1"/>
  <c r="G38" i="29"/>
  <c r="G65" i="29"/>
  <c r="G160" i="29"/>
  <c r="G90" i="29"/>
  <c r="G33" i="29"/>
  <c r="B19" i="39"/>
  <c r="E19" i="39" s="1"/>
  <c r="D99" i="29"/>
  <c r="I99" i="29" s="1"/>
  <c r="G59" i="29"/>
  <c r="B89" i="29"/>
  <c r="E89" i="29" s="1"/>
  <c r="D86" i="29"/>
  <c r="H86" i="29" s="1"/>
  <c r="B131" i="29"/>
  <c r="E131" i="29" s="1"/>
  <c r="B55" i="29"/>
  <c r="E55" i="29" s="1"/>
  <c r="B121" i="29"/>
  <c r="E121" i="29" s="1"/>
  <c r="G16" i="39"/>
  <c r="B16" i="39"/>
  <c r="E16" i="39" s="1"/>
  <c r="D16" i="39"/>
  <c r="B64" i="29"/>
  <c r="E64" i="29" s="1"/>
  <c r="D154" i="29"/>
  <c r="I154" i="29" s="1"/>
  <c r="B48" i="29"/>
  <c r="E48" i="29" s="1"/>
  <c r="G120" i="29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I59" i="29" s="1"/>
  <c r="G48" i="29"/>
  <c r="G86" i="29"/>
  <c r="G27" i="39"/>
  <c r="D25" i="39"/>
  <c r="H25" i="39" s="1"/>
  <c r="B35" i="39"/>
  <c r="E35" i="39" s="1"/>
  <c r="B27" i="39"/>
  <c r="E27" i="39" s="1"/>
  <c r="G35" i="39"/>
  <c r="D120" i="29"/>
  <c r="H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I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K30" i="39" s="1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H42" i="29" s="1"/>
  <c r="D32" i="29"/>
  <c r="J32" i="29" s="1"/>
  <c r="G138" i="29"/>
  <c r="G25" i="29"/>
  <c r="H25" i="29" s="1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I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H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132" i="11"/>
  <c r="K133" i="11" s="1"/>
  <c r="H83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I22" i="39"/>
  <c r="J148" i="29"/>
  <c r="I148" i="29"/>
  <c r="H148" i="29"/>
  <c r="H48" i="29"/>
  <c r="J48" i="29"/>
  <c r="I48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I21" i="39"/>
  <c r="H21" i="39"/>
  <c r="J21" i="39"/>
  <c r="H92" i="29"/>
  <c r="I92" i="29"/>
  <c r="J92" i="29"/>
  <c r="H138" i="29"/>
  <c r="J138" i="29"/>
  <c r="I138" i="29"/>
  <c r="I90" i="29"/>
  <c r="H90" i="29"/>
  <c r="J90" i="29"/>
  <c r="I133" i="29"/>
  <c r="H133" i="29"/>
  <c r="J133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I26" i="39"/>
  <c r="J26" i="39"/>
  <c r="H26" i="39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I81" i="29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H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I27" i="39"/>
  <c r="H27" i="39"/>
  <c r="J27" i="39"/>
  <c r="H126" i="29"/>
  <c r="I126" i="29"/>
  <c r="J126" i="29"/>
  <c r="H85" i="29"/>
  <c r="J85" i="29"/>
  <c r="I85" i="29"/>
  <c r="I33" i="39"/>
  <c r="H33" i="39"/>
  <c r="J33" i="3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J29" i="39"/>
  <c r="I29" i="39"/>
  <c r="H29" i="3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31" i="29"/>
  <c r="H131" i="29"/>
  <c r="J131" i="29"/>
  <c r="J62" i="29"/>
  <c r="I62" i="29"/>
  <c r="H62" i="29"/>
  <c r="H64" i="29"/>
  <c r="I64" i="29"/>
  <c r="J64" i="2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J22" i="29"/>
  <c r="I22" i="29"/>
  <c r="I65" i="29"/>
  <c r="H65" i="29"/>
  <c r="J65" i="29"/>
  <c r="I106" i="29"/>
  <c r="H106" i="29"/>
  <c r="J106" i="29"/>
  <c r="J100" i="29"/>
  <c r="I100" i="29"/>
  <c r="H100" i="29"/>
  <c r="I25" i="29"/>
  <c r="J25" i="29"/>
  <c r="H97" i="29"/>
  <c r="I97" i="29"/>
  <c r="J97" i="29"/>
  <c r="J158" i="29"/>
  <c r="H158" i="29"/>
  <c r="I158" i="29"/>
  <c r="I143" i="29"/>
  <c r="J143" i="29"/>
  <c r="H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77" i="29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8" i="29"/>
  <c r="J18" i="29"/>
  <c r="I160" i="29"/>
  <c r="H160" i="29"/>
  <c r="J160" i="29"/>
  <c r="H58" i="29"/>
  <c r="J58" i="29"/>
  <c r="I58" i="29"/>
  <c r="H113" i="29"/>
  <c r="J113" i="29"/>
  <c r="J132" i="29"/>
  <c r="I132" i="29"/>
  <c r="H132" i="29"/>
  <c r="I33" i="29"/>
  <c r="H33" i="29"/>
  <c r="J33" i="29"/>
  <c r="I122" i="29"/>
  <c r="H122" i="29"/>
  <c r="J122" i="29"/>
  <c r="H67" i="29"/>
  <c r="J67" i="29"/>
  <c r="I67" i="29"/>
  <c r="H68" i="29"/>
  <c r="I68" i="29"/>
  <c r="J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28" i="39"/>
  <c r="H28" i="39"/>
  <c r="I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I31" i="39"/>
  <c r="H31" i="39"/>
  <c r="J31" i="39"/>
  <c r="I86" i="29" l="1"/>
  <c r="I17" i="39"/>
  <c r="J20" i="29"/>
  <c r="I20" i="29"/>
  <c r="J35" i="29"/>
  <c r="I34" i="39"/>
  <c r="H115" i="29"/>
  <c r="H24" i="39"/>
  <c r="I20" i="39"/>
  <c r="I115" i="29"/>
  <c r="J34" i="39"/>
  <c r="J75" i="29"/>
  <c r="J88" i="29"/>
  <c r="J25" i="39"/>
  <c r="H30" i="29"/>
  <c r="H99" i="29"/>
  <c r="H155" i="29"/>
  <c r="J162" i="29"/>
  <c r="H88" i="29"/>
  <c r="H40" i="29"/>
  <c r="J99" i="29"/>
  <c r="I35" i="29"/>
  <c r="H18" i="29"/>
  <c r="J42" i="29"/>
  <c r="I155" i="29"/>
  <c r="H20" i="39"/>
  <c r="I162" i="29"/>
  <c r="I42" i="29"/>
  <c r="K42" i="29" s="1"/>
  <c r="I25" i="39"/>
  <c r="I24" i="39"/>
  <c r="I40" i="29"/>
  <c r="J60" i="29"/>
  <c r="J120" i="29"/>
  <c r="J59" i="29"/>
  <c r="H157" i="29"/>
  <c r="J151" i="29"/>
  <c r="H28" i="29"/>
  <c r="H75" i="29"/>
  <c r="I120" i="29"/>
  <c r="J157" i="29"/>
  <c r="H59" i="29"/>
  <c r="J47" i="29"/>
  <c r="J57" i="29"/>
  <c r="I27" i="29"/>
  <c r="H57" i="29"/>
  <c r="J22" i="39"/>
  <c r="J154" i="29"/>
  <c r="H60" i="29"/>
  <c r="K60" i="29" s="1"/>
  <c r="J82" i="29"/>
  <c r="H145" i="29"/>
  <c r="I159" i="29"/>
  <c r="J19" i="29"/>
  <c r="H154" i="29"/>
  <c r="H19" i="29"/>
  <c r="H81" i="29"/>
  <c r="K81" i="29" s="1"/>
  <c r="J86" i="29"/>
  <c r="K86" i="29" s="1"/>
  <c r="I151" i="29"/>
  <c r="J159" i="29"/>
  <c r="H109" i="29"/>
  <c r="H149" i="29"/>
  <c r="H17" i="39"/>
  <c r="J74" i="29"/>
  <c r="I149" i="29"/>
  <c r="I109" i="29"/>
  <c r="J94" i="29"/>
  <c r="H94" i="29"/>
  <c r="I145" i="29"/>
  <c r="I87" i="29"/>
  <c r="I28" i="29"/>
  <c r="K28" i="29" s="1"/>
  <c r="H165" i="29"/>
  <c r="H16" i="39"/>
  <c r="J16" i="39"/>
  <c r="I16" i="39"/>
  <c r="H32" i="29"/>
  <c r="J3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J41" i="29"/>
  <c r="J70" i="29"/>
  <c r="K70" i="29" s="1"/>
  <c r="J130" i="29"/>
  <c r="J153" i="29"/>
  <c r="I41" i="29"/>
  <c r="K41" i="29" s="1"/>
  <c r="I111" i="29"/>
  <c r="H111" i="29"/>
  <c r="H105" i="29"/>
  <c r="J156" i="29"/>
  <c r="H91" i="29"/>
  <c r="K133" i="29"/>
  <c r="H66" i="29"/>
  <c r="I91" i="29"/>
  <c r="J66" i="29"/>
  <c r="K22" i="39"/>
  <c r="K63" i="29"/>
  <c r="K112" i="29"/>
  <c r="K24" i="29"/>
  <c r="K116" i="29"/>
  <c r="K122" i="29"/>
  <c r="K160" i="29"/>
  <c r="K78" i="29"/>
  <c r="K107" i="29"/>
  <c r="K142" i="29"/>
  <c r="K29" i="29"/>
  <c r="K23" i="29"/>
  <c r="K150" i="29"/>
  <c r="K136" i="29"/>
  <c r="K147" i="29"/>
  <c r="K32" i="39"/>
  <c r="K38" i="29"/>
  <c r="K132" i="29"/>
  <c r="K115" i="29"/>
  <c r="K23" i="39"/>
  <c r="K97" i="29"/>
  <c r="K100" i="29"/>
  <c r="K73" i="29"/>
  <c r="K21" i="29"/>
  <c r="K72" i="29"/>
  <c r="K124" i="29"/>
  <c r="K20" i="29"/>
  <c r="K108" i="29"/>
  <c r="K26" i="3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29" i="39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K113" i="2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K92" i="29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K67" i="29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K21" i="39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48" i="29"/>
  <c r="K1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134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68" i="29"/>
  <c r="K33" i="29"/>
  <c r="K58" i="29"/>
  <c r="K1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43" i="29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33" i="39"/>
  <c r="K85" i="29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157" i="29" l="1"/>
  <c r="K30" i="29"/>
  <c r="K17" i="39"/>
  <c r="K35" i="29"/>
  <c r="K162" i="29"/>
  <c r="K34" i="39"/>
  <c r="K47" i="29"/>
  <c r="K120" i="29"/>
  <c r="K40" i="29"/>
  <c r="K59" i="29"/>
  <c r="K25" i="39"/>
  <c r="K88" i="29"/>
  <c r="K24" i="39"/>
  <c r="K99" i="29"/>
  <c r="K20" i="39"/>
  <c r="K155" i="29"/>
  <c r="K75" i="29"/>
  <c r="I38" i="39"/>
  <c r="I39" i="39" s="1"/>
  <c r="I40" i="39" s="1"/>
  <c r="K82" i="29"/>
  <c r="K154" i="29"/>
  <c r="K57" i="29"/>
  <c r="K159" i="29"/>
  <c r="K145" i="29"/>
  <c r="K151" i="29"/>
  <c r="J38" i="39"/>
  <c r="J39" i="39" s="1"/>
  <c r="J40" i="39" s="1"/>
  <c r="K19" i="29"/>
  <c r="K149" i="29"/>
  <c r="H38" i="39"/>
  <c r="H39" i="39" s="1"/>
  <c r="H40" i="39" s="1"/>
  <c r="K94" i="29"/>
  <c r="K93" i="29"/>
  <c r="K109" i="29"/>
  <c r="K74" i="29"/>
  <c r="K87" i="29"/>
  <c r="K156" i="29"/>
  <c r="K165" i="29"/>
  <c r="K37" i="29"/>
  <c r="K79" i="29"/>
  <c r="K32" i="29"/>
  <c r="K16" i="3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<sst xmlns="http://schemas.openxmlformats.org/spreadsheetml/2006/main" count="4806" uniqueCount="1647">
  <si>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</si>
  <si>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</si>
  <si>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</si>
  <si>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</si>
  <si>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</si>
  <si>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</si>
  <si>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</si>
  <si>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</si>
  <si>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</si>
  <si>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</si>
  <si>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</si>
  <si>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</si>
  <si>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</si>
  <si>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</si>
  <si>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</si>
  <si>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</si>
  <si>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</si>
  <si>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</si>
  <si>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</si>
  <si>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</si>
  <si>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</si>
  <si>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</si>
  <si>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</si>
  <si>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</si>
  <si>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</si>
  <si>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</si>
  <si>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</si>
  <si>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</si>
  <si>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</si>
  <si>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</si>
  <si>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</si>
  <si>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</si>
  <si>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</si>
  <si>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</si>
  <si>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</si>
  <si>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</si>
  <si>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</si>
  <si>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</si>
  <si>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</si>
  <si>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</si>
  <si>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</si>
  <si>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</si>
  <si>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</si>
  <si>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</si>
  <si>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</si>
  <si>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</si>
  <si>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</si>
  <si>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</si>
  <si>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</si>
  <si>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</si>
  <si>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</si>
  <si>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</si>
  <si>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</si>
  <si>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</si>
  <si>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</si>
  <si>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</si>
  <si>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</si>
  <si>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</si>
  <si>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</si>
  <si>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</si>
  <si>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</si>
  <si>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</si>
  <si>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</si>
  <si>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</si>
  <si>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</si>
  <si>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</si>
  <si>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</si>
  <si>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</si>
  <si>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</si>
  <si>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</si>
  <si>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</si>
  <si>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</si>
  <si>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</si>
  <si>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</si>
  <si>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</si>
  <si>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</si>
  <si>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</si>
  <si>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</si>
  <si>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</si>
  <si>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</si>
  <si>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</si>
  <si>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</si>
  <si>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</si>
  <si>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</si>
  <si>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</si>
  <si>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</si>
  <si>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</si>
  <si>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</si>
  <si>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</si>
  <si>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</si>
  <si>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</si>
  <si>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</si>
  <si>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</si>
  <si>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</si>
  <si>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</si>
  <si>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</si>
  <si>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</si>
  <si>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</si>
  <si>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</si>
  <si>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</si>
  <si>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</si>
  <si>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</si>
  <si>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</si>
  <si>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</si>
  <si>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</si>
  <si>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</si>
  <si>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</si>
  <si>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</si>
  <si>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</si>
  <si>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</si>
  <si>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</si>
  <si>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</si>
  <si>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</si>
  <si>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</si>
  <si>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</si>
  <si>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</si>
  <si>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</si>
  <si>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</si>
  <si>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</si>
  <si>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</si>
  <si>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</si>
  <si>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</si>
  <si>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</si>
  <si>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</si>
  <si>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</si>
  <si>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</si>
  <si>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</si>
  <si>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</si>
  <si>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</si>
  <si>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</si>
  <si>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</si>
  <si>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</si>
  <si>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</si>
  <si>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</si>
  <si>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</si>
  <si>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</si>
  <si>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</si>
  <si>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</si>
  <si>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</si>
  <si>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</si>
  <si>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</si>
  <si>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</si>
  <si>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</si>
  <si>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</si>
  <si>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</si>
  <si>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</si>
  <si>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</si>
  <si>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</si>
  <si>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</si>
  <si>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</si>
  <si>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</si>
  <si>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</si>
  <si>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</si>
  <si>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</si>
  <si>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</si>
  <si>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</si>
  <si>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</si>
  <si>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</si>
  <si>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</si>
  <si>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</si>
  <si>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</si>
  <si>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</si>
  <si>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</si>
  <si>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</si>
  <si>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</si>
  <si>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</si>
  <si>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</si>
  <si>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</si>
  <si>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</si>
  <si>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</si>
  <si>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</si>
  <si>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</si>
  <si>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</si>
  <si>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</si>
  <si>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</si>
  <si>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</si>
  <si>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</si>
  <si>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</si>
  <si>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</si>
  <si>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</si>
  <si>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</si>
  <si>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</si>
  <si>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</si>
  <si>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</si>
  <si>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</si>
  <si>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</si>
  <si>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</si>
  <si>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</si>
  <si>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</si>
  <si>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</si>
  <si>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</si>
  <si>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</si>
  <si>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</si>
  <si>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</si>
  <si>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</si>
  <si>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</si>
  <si>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</si>
  <si>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</si>
  <si>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</si>
  <si>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</si>
  <si>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</si>
  <si>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</si>
  <si>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</si>
  <si>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</si>
  <si>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</si>
  <si>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</si>
  <si>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</si>
  <si>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</si>
  <si>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</si>
  <si>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</si>
  <si>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</si>
  <si>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</si>
  <si>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</si>
  <si>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</si>
  <si>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</si>
  <si>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</si>
  <si>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</si>
  <si>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</si>
  <si>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</si>
  <si>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</si>
  <si>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</si>
  <si>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</si>
  <si>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</si>
  <si>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</si>
  <si>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</si>
  <si>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</si>
  <si>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</si>
  <si>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</si>
  <si>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</si>
  <si>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</si>
  <si>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</si>
  <si>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</si>
  <si>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</si>
  <si>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</si>
  <si>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</si>
  <si>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</si>
  <si>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</si>
  <si>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</si>
  <si>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</si>
  <si>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</si>
  <si>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</si>
  <si>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</si>
  <si>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</si>
  <si>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</si>
  <si>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</si>
  <si>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</si>
  <si>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</si>
  <si>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</si>
  <si>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</si>
  <si>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</si>
  <si>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</si>
  <si>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</si>
  <si>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</si>
  <si>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</si>
  <si>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</si>
  <si>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</si>
  <si>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</si>
  <si>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</si>
  <si>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</si>
  <si>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</si>
  <si>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</si>
  <si>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</si>
  <si>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</si>
  <si>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</si>
  <si>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</si>
  <si>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</si>
  <si>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</si>
  <si>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</si>
  <si>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</si>
  <si>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</si>
  <si>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</si>
  <si>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</si>
  <si>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</si>
  <si>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</si>
  <si>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</si>
  <si>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</si>
  <si>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</si>
  <si>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</si>
  <si>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</si>
  <si>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</si>
  <si>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</si>
  <si>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</si>
  <si>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</si>
  <si>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</si>
  <si>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</si>
  <si>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</si>
  <si>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</si>
  <si>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</si>
  <si>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</si>
  <si>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</si>
  <si>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</si>
  <si>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</si>
  <si>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</si>
  <si>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</si>
  <si>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</si>
  <si>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</si>
  <si>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</si>
  <si>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</si>
  <si>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</si>
  <si>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</si>
  <si>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</si>
  <si>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</si>
  <si>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</si>
  <si>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</si>
  <si>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</si>
  <si>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</si>
  <si>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</si>
  <si>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</si>
  <si>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</si>
  <si>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</si>
  <si>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</si>
  <si>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</si>
  <si>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</si>
  <si>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</si>
  <si>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</si>
  <si>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</si>
  <si>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</si>
  <si>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</si>
  <si>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</si>
  <si>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</si>
  <si>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</si>
  <si>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</si>
  <si>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</si>
  <si>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</si>
  <si>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</si>
  <si>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</si>
  <si>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</si>
  <si>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</si>
  <si>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</si>
  <si>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</si>
  <si>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</si>
  <si>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</si>
  <si>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</si>
  <si>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</si>
  <si>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</si>
  <si>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</si>
  <si>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</si>
  <si>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</si>
  <si>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</si>
  <si>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</si>
  <si>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</si>
  <si>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</si>
  <si>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</si>
  <si>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</si>
  <si>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</si>
  <si>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</si>
  <si>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</si>
  <si>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</si>
  <si>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</si>
  <si>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</si>
  <si>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</si>
  <si>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</si>
  <si>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</si>
  <si>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</si>
  <si>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</si>
  <si>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</si>
  <si>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</si>
  <si>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</si>
  <si>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</si>
  <si>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</si>
  <si>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</si>
  <si>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</si>
  <si>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</si>
  <si>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</si>
  <si>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</si>
  <si>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</si>
  <si>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</si>
  <si>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</si>
  <si>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</si>
  <si>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</si>
  <si>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</si>
  <si>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</si>
  <si>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</si>
  <si>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</si>
  <si>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</si>
  <si>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</si>
  <si>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</si>
  <si>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</si>
  <si>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</si>
  <si>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</si>
  <si>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</si>
  <si>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</si>
  <si>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</si>
  <si>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</si>
  <si>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</si>
  <si>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</si>
  <si>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</si>
  <si>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</si>
  <si>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</si>
  <si>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</si>
  <si>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</si>
  <si>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</si>
  <si>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</si>
  <si>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</si>
  <si>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</si>
  <si>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</si>
  <si>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</si>
  <si>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</si>
  <si>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</si>
  <si>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</si>
  <si>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</si>
  <si>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</si>
  <si>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</si>
  <si>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</si>
  <si>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</si>
  <si>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</si>
  <si>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</si>
  <si>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</si>
  <si>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</si>
  <si>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</si>
  <si>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</si>
  <si>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</si>
  <si>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</si>
  <si>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</si>
  <si>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</si>
  <si>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</si>
  <si>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</si>
  <si>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</si>
  <si>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</si>
  <si>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</si>
  <si>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</si>
  <si>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</si>
  <si>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</si>
  <si>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</si>
  <si>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</si>
  <si>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</si>
  <si>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</si>
  <si>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</si>
  <si>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</si>
  <si>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</si>
  <si>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</si>
  <si>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</si>
  <si>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</si>
  <si>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</si>
  <si>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</si>
  <si>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</si>
  <si>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</si>
  <si>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</si>
  <si>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</si>
  <si>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</si>
  <si>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</si>
  <si>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</si>
  <si>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</si>
  <si>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</si>
  <si>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</si>
  <si>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</si>
  <si>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</si>
  <si>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</si>
  <si>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</si>
  <si>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</si>
  <si>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</si>
  <si>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</si>
  <si>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</si>
  <si>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</si>
  <si>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</si>
  <si>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</si>
  <si>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</si>
  <si>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</si>
  <si>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</si>
  <si>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</si>
  <si>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</si>
  <si>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</si>
  <si>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</si>
  <si>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</si>
  <si>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</si>
  <si>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</si>
  <si>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</si>
  <si>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</si>
  <si>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</si>
  <si>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</si>
  <si>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</si>
  <si>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</si>
  <si>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</si>
  <si>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</si>
  <si>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</si>
  <si>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</si>
  <si>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</si>
  <si>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</si>
  <si>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</si>
  <si>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</si>
  <si>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</si>
  <si>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</si>
  <si>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</si>
  <si>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</si>
  <si>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</si>
  <si>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</si>
  <si>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</si>
  <si>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</si>
  <si>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</si>
  <si>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</si>
  <si>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</si>
  <si>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</si>
  <si>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</si>
  <si>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</si>
  <si>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</si>
  <si>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</si>
  <si>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</si>
  <si>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</si>
  <si>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</si>
  <si>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</si>
  <si>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</si>
  <si>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</si>
  <si>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</si>
  <si>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</si>
  <si>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</si>
  <si>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</si>
  <si>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</si>
  <si>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</si>
  <si>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</si>
  <si>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</si>
  <si>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</si>
  <si>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</si>
  <si>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</si>
  <si>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</si>
  <si>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</si>
  <si>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</si>
  <si>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</si>
  <si>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</si>
  <si>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</si>
  <si>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</si>
  <si>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</si>
  <si>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</si>
  <si>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</si>
  <si>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</si>
  <si>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</si>
  <si>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</si>
  <si>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</si>
  <si>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</si>
  <si>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</si>
  <si>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</si>
  <si>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</si>
  <si>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</si>
  <si>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</si>
  <si>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</si>
  <si>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</si>
  <si>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</si>
  <si>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</si>
  <si>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</si>
  <si>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</si>
  <si>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</si>
  <si>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</si>
  <si>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</si>
  <si>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</si>
  <si>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</si>
  <si>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</si>
  <si>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</si>
  <si>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</si>
  <si>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</si>
  <si>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</si>
  <si>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</si>
  <si>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</si>
  <si>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</si>
  <si>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</si>
  <si>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</si>
  <si>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</si>
  <si>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</si>
  <si>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</si>
  <si>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</si>
  <si>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</si>
  <si>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</si>
  <si>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</si>
  <si>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</si>
  <si>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</si>
  <si>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</si>
  <si>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</si>
  <si>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</si>
  <si>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</si>
  <si>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</si>
  <si>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</si>
  <si>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</si>
  <si>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</si>
  <si>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</si>
  <si>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</si>
  <si>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</si>
  <si>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</si>
  <si>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</si>
  <si>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</si>
  <si>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</si>
  <si>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</si>
  <si>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</si>
  <si>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</si>
  <si>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</si>
  <si>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</si>
  <si>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</si>
  <si>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</si>
  <si>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</si>
  <si>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</si>
  <si>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</si>
  <si>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</si>
  <si>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</si>
  <si>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</si>
  <si>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</si>
  <si>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</si>
  <si>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</si>
  <si>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</si>
  <si>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</si>
  <si>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</si>
  <si>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</si>
  <si>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</si>
  <si>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</si>
  <si>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</si>
  <si>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</si>
  <si>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</si>
  <si>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</si>
  <si>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</si>
  <si>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</si>
  <si>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</si>
  <si>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</si>
  <si>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</si>
  <si>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</si>
  <si>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</si>
  <si>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</si>
  <si>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</si>
  <si>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</si>
  <si>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</si>
  <si>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</si>
  <si>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</si>
  <si>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</si>
  <si>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</si>
  <si>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</si>
  <si>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</si>
  <si>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</si>
  <si>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</si>
  <si>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</si>
  <si>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</si>
  <si>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</si>
  <si>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</si>
  <si>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</si>
  <si>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</si>
  <si>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</si>
  <si>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</si>
  <si>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</si>
  <si>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</si>
  <si>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</si>
  <si>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</si>
  <si>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</si>
  <si>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</si>
  <si>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</si>
  <si>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</si>
  <si>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</si>
  <si>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</si>
  <si>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</si>
  <si>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</si>
  <si>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</si>
  <si>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</si>
  <si>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</si>
  <si>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</si>
  <si>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</si>
  <si>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</si>
  <si>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</si>
  <si>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</si>
  <si>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</si>
  <si>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</si>
  <si>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</si>
  <si>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</si>
  <si>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</si>
  <si>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</si>
  <si>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</si>
  <si>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</si>
  <si>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</si>
  <si>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</si>
  <si>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</si>
  <si>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</si>
  <si>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</si>
  <si>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</si>
  <si>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</si>
  <si>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</si>
  <si>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</si>
  <si>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</si>
  <si>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</si>
  <si>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</si>
  <si>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</si>
  <si>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</si>
  <si>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</si>
  <si>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</si>
  <si>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</si>
  <si>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</si>
  <si>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</si>
  <si>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</si>
  <si>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</si>
  <si>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</si>
  <si>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</si>
  <si>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</si>
  <si>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</si>
  <si>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</si>
  <si>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</si>
  <si>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</si>
  <si>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</si>
  <si>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</si>
  <si>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</si>
  <si>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</si>
  <si>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</si>
  <si>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</si>
  <si>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</si>
  <si>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</si>
  <si>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</si>
  <si>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</si>
  <si>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</si>
  <si>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</si>
  <si>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</si>
  <si>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</si>
  <si>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</si>
  <si>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</si>
  <si>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</si>
  <si>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</si>
  <si>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</si>
  <si>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</si>
  <si>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</si>
  <si>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</si>
  <si>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</si>
  <si>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</si>
  <si>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</si>
  <si>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</si>
  <si>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</si>
  <si>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</si>
  <si>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</si>
  <si>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</si>
  <si>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</si>
  <si>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</si>
  <si>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</si>
  <si>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</si>
  <si>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</si>
  <si>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</si>
  <si>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</si>
  <si>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</si>
  <si>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</si>
  <si>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</si>
  <si>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</si>
  <si>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</si>
  <si>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</si>
  <si>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</si>
  <si>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</si>
  <si>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</si>
  <si>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</si>
  <si>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</si>
  <si>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</si>
  <si>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</si>
  <si>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</si>
  <si>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</si>
  <si>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</si>
  <si>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</si>
  <si>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</si>
  <si>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</si>
  <si>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</si>
  <si>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</si>
  <si>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</si>
  <si>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</si>
  <si>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</si>
  <si>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</si>
  <si>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</si>
  <si>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</si>
  <si>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</si>
  <si>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</si>
  <si>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</si>
  <si>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</si>
  <si>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</si>
  <si>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</si>
  <si>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</si>
  <si>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</si>
  <si>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</si>
  <si>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</si>
  <si>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</si>
  <si>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</si>
  <si>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</si>
  <si>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</si>
  <si>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</si>
  <si>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</si>
  <si>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</si>
  <si>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</si>
  <si>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</si>
  <si>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</si>
  <si>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</si>
  <si>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</si>
  <si>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</si>
  <si>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</si>
  <si>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</si>
  <si>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</si>
  <si>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</si>
  <si>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</si>
  <si>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</si>
  <si>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</si>
  <si>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</si>
  <si>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</si>
  <si>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</si>
  <si>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</si>
  <si>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</si>
  <si>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</si>
  <si>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</si>
  <si>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</si>
  <si>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</si>
  <si>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</si>
  <si>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</si>
  <si>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</si>
  <si>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</si>
  <si>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</si>
  <si>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</si>
  <si>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</si>
  <si>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</si>
  <si>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</si>
  <si>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</si>
  <si>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</si>
  <si>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</si>
  <si>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</si>
  <si>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</si>
  <si>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</si>
  <si>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</si>
  <si>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</si>
  <si>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</si>
  <si>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</si>
  <si>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</si>
  <si>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</si>
  <si>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</si>
  <si>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</si>
  <si>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</si>
  <si>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</si>
  <si>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</si>
  <si>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</si>
  <si>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</si>
  <si>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</si>
  <si>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</si>
  <si>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</si>
  <si>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</si>
  <si>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</si>
  <si>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</si>
  <si>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</si>
  <si>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</si>
  <si>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</si>
  <si>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</si>
  <si>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</si>
  <si>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</si>
  <si>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</si>
  <si>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</si>
  <si>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</si>
  <si>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</si>
  <si>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</si>
  <si>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</si>
  <si>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</si>
  <si>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</si>
  <si>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</si>
  <si>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</si>
  <si>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</si>
  <si>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</si>
  <si>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</si>
  <si>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</si>
  <si>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</si>
  <si>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</si>
  <si>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</si>
  <si>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</si>
  <si>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</si>
  <si>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</si>
  <si>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</si>
  <si>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</si>
  <si>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</si>
  <si>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</si>
  <si>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</si>
  <si>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</si>
  <si>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</si>
  <si>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</si>
  <si>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</si>
  <si>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</si>
  <si>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</si>
  <si>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</si>
  <si>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</si>
  <si>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</si>
  <si>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</si>
  <si>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</si>
  <si>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</si>
  <si>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</si>
  <si>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</si>
  <si>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</si>
  <si>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</si>
  <si>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</si>
  <si>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</si>
  <si>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</si>
  <si>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</si>
  <si>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</si>
  <si>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</si>
  <si>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</si>
  <si>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</si>
  <si>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</si>
  <si>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</si>
  <si>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</si>
  <si>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</si>
  <si>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</si>
  <si>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</si>
  <si>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</si>
  <si>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</si>
  <si>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</si>
  <si>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</si>
  <si>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</si>
  <si>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</si>
  <si>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</si>
  <si>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</si>
  <si>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</si>
  <si>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</si>
  <si>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</si>
  <si>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</si>
  <si>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</si>
  <si>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</si>
  <si>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</si>
  <si>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</si>
  <si>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</si>
  <si>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</si>
  <si>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</si>
  <si>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</si>
  <si>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</si>
  <si>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</si>
  <si>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</si>
  <si>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</si>
  <si>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</si>
  <si>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</si>
  <si>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</si>
  <si>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</si>
  <si>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</si>
  <si>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</si>
  <si>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</si>
  <si>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</si>
  <si>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</si>
  <si>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</si>
  <si>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</si>
  <si>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</si>
  <si>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</si>
  <si>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</si>
  <si>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</si>
  <si>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</si>
  <si>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</si>
  <si>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</si>
  <si>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</si>
  <si>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</si>
  <si>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</si>
  <si>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</si>
  <si>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</si>
  <si>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</si>
  <si>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</si>
  <si>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</si>
  <si>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</si>
  <si>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</si>
  <si>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</si>
  <si>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</si>
  <si>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</si>
  <si>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</si>
  <si>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</si>
  <si>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</si>
  <si>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</si>
  <si>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</si>
  <si>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</si>
  <si>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</si>
  <si>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</si>
  <si>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</si>
  <si>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</si>
  <si>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</si>
  <si>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</si>
  <si>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</si>
  <si>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</si>
  <si>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</si>
  <si>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</si>
  <si>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</si>
  <si>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</si>
  <si>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</si>
  <si>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</si>
  <si>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</si>
  <si>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</si>
  <si>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</si>
  <si>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</si>
  <si>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</si>
  <si>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</si>
  <si>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</si>
  <si>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</si>
  <si>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</si>
  <si>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</si>
  <si>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</si>
  <si>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</si>
  <si>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</si>
  <si>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</si>
  <si>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</si>
  <si>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</si>
  <si>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</si>
  <si>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</si>
  <si>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</si>
  <si>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</si>
  <si>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</si>
  <si>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</si>
  <si>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</si>
  <si>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</si>
  <si>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</si>
  <si>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</si>
  <si>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</si>
  <si>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</si>
  <si>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</si>
  <si>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</si>
  <si>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</si>
  <si>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</si>
  <si>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</si>
  <si>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</si>
  <si>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</si>
  <si>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</si>
  <si>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</si>
  <si>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</si>
  <si>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</si>
  <si>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</si>
  <si>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</si>
  <si>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</si>
  <si>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</si>
  <si>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</si>
  <si>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</si>
  <si>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</si>
  <si>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</si>
  <si>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</si>
  <si>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</si>
  <si>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</si>
  <si>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</si>
  <si>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</si>
  <si>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</si>
  <si>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</si>
  <si>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</si>
  <si>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</si>
  <si>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</si>
  <si>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</si>
  <si>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</si>
  <si>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</si>
  <si>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</si>
  <si>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</si>
  <si>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</si>
  <si>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</si>
  <si>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</si>
  <si>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</si>
  <si>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</si>
  <si>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</si>
  <si>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</si>
  <si>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</si>
  <si>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</si>
  <si>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</si>
  <si>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</si>
  <si>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</si>
  <si>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</si>
  <si>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</si>
  <si>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</si>
  <si>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</si>
  <si>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</si>
  <si>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</si>
  <si>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</si>
  <si>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</si>
  <si>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</si>
  <si>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</si>
  <si>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</si>
  <si>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</si>
  <si>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</si>
  <si>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</si>
  <si>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</si>
  <si>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</si>
  <si>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</si>
  <si>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</si>
  <si>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</si>
  <si>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</si>
  <si>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</si>
  <si>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</si>
  <si>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</si>
  <si>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</si>
  <si>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</si>
  <si>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</si>
  <si>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</si>
  <si>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</si>
  <si>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</si>
  <si>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</si>
  <si>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</si>
  <si>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</si>
  <si>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</si>
  <si>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</si>
  <si>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</si>
  <si>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</si>
  <si>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</si>
  <si>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</si>
  <si>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</si>
  <si>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</si>
  <si>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</si>
  <si>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</si>
  <si>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</si>
  <si>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</si>
  <si>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</si>
  <si>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</si>
  <si>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</si>
  <si>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</si>
  <si>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</si>
  <si>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</si>
  <si>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</si>
  <si>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</si>
  <si>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</si>
  <si>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</si>
  <si>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</si>
  <si>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</si>
  <si>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</si>
  <si>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</si>
  <si>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</si>
  <si>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</si>
  <si>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</si>
  <si>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</si>
  <si>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</si>
  <si>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</si>
  <si>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</si>
  <si>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</si>
  <si>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</si>
  <si>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</si>
  <si>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</si>
  <si>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</si>
  <si>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</si>
  <si>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</si>
  <si>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</si>
  <si>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</si>
  <si>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</si>
  <si>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</si>
  <si>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</si>
  <si>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</si>
  <si>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</si>
  <si>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</si>
  <si>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</si>
  <si>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</si>
  <si>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</si>
  <si>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</si>
  <si>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</si>
  <si>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</si>
  <si>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</si>
  <si>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</si>
  <si>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</si>
  <si>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</si>
  <si>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</si>
  <si>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</si>
  <si>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</si>
  <si>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</si>
  <si>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</si>
  <si>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</si>
  <si>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</si>
  <si>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</si>
  <si>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</si>
  <si>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</si>
  <si>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</si>
  <si>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</si>
  <si>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</si>
  <si>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</si>
  <si>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</si>
  <si>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</si>
  <si>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</si>
  <si>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</si>
  <si>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</si>
  <si>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</si>
  <si>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</si>
  <si>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</si>
  <si>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</si>
  <si>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</si>
  <si>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</si>
  <si>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</si>
  <si>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</si>
  <si>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</si>
  <si>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</si>
  <si>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</si>
  <si>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</si>
  <si>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</si>
  <si>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</si>
  <si>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</si>
  <si>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</si>
  <si>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</si>
  <si>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</si>
  <si>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</si>
  <si>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</si>
  <si>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</si>
  <si>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</si>
  <si>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</si>
  <si>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</si>
  <si>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</si>
  <si>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</si>
  <si>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</si>
  <si>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</si>
  <si>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</si>
  <si>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</si>
  <si>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</si>
  <si>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</si>
  <si>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</si>
  <si>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</si>
  <si>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</si>
  <si>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</si>
  <si>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</si>
  <si>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</si>
  <si>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</si>
  <si>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</si>
  <si>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</si>
  <si>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</si>
  <si>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</si>
  <si>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</si>
  <si>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</si>
  <si>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</si>
  <si>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</si>
  <si>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</si>
  <si>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</si>
  <si>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</si>
  <si>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</si>
  <si>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</si>
  <si>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</si>
  <si>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</si>
  <si>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</si>
  <si>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</si>
  <si>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</si>
  <si>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</si>
  <si>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</si>
  <si>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</si>
  <si>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</si>
  <si>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</si>
  <si>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</si>
  <si>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</si>
  <si>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</si>
  <si>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</si>
  <si>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</si>
  <si>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</si>
  <si>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</si>
  <si>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</si>
  <si>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</si>
  <si>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</si>
  <si>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</si>
  <si>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</si>
  <si>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</si>
  <si>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</si>
  <si>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</si>
  <si>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</si>
  <si>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</si>
  <si>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</si>
  <si>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</si>
  <si>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</si>
  <si>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</si>
  <si>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</si>
  <si>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</si>
  <si>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</si>
  <si>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</si>
  <si>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</si>
  <si>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</si>
  <si>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</si>
  <si>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</si>
  <si>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</si>
  <si>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</si>
  <si>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</si>
  <si>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</si>
  <si>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</si>
  <si>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</si>
  <si>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</si>
  <si>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</si>
  <si>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</si>
  <si>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</si>
  <si>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</si>
  <si>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</si>
  <si>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</si>
  <si>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</si>
  <si>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</si>
  <si>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</si>
  <si>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</si>
  <si>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</si>
  <si>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</si>
  <si>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</si>
  <si>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</si>
  <si>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</si>
  <si>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</si>
  <si>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</si>
  <si>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</si>
  <si>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</si>
  <si>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</si>
  <si>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</si>
  <si>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</si>
  <si>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</si>
  <si>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</si>
  <si>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</si>
  <si>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</si>
  <si>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</si>
  <si>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</si>
  <si>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</si>
  <si>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</si>
  <si>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</si>
  <si>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</si>
  <si>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</si>
  <si>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</si>
  <si>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</si>
  <si>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</si>
  <si>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</si>
  <si>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</si>
  <si>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</si>
  <si>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</si>
  <si>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</si>
  <si>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</si>
  <si>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</si>
  <si>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</si>
  <si>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</si>
  <si>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</si>
  <si>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</si>
  <si>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</si>
  <si>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</si>
  <si>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</si>
  <si>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</si>
  <si>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</si>
  <si>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</si>
  <si>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</si>
  <si>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</si>
  <si>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</si>
  <si>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</si>
  <si>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</si>
  <si>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</si>
  <si>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</si>
  <si>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</si>
  <si>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</si>
  <si>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</si>
  <si>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</si>
  <si>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</si>
  <si>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</si>
  <si>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</si>
  <si>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</si>
  <si>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</si>
  <si>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</si>
  <si>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</si>
  <si>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</si>
  <si>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</si>
  <si>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</si>
  <si>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</si>
  <si>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</si>
  <si>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</si>
  <si>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</si>
  <si>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</si>
  <si>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</si>
  <si>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</si>
  <si>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</si>
  <si>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</si>
  <si>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</si>
  <si>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</si>
  <si>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</si>
  <si>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</si>
  <si>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</si>
  <si>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</si>
  <si>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</si>
  <si>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</si>
  <si>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</si>
  <si>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</si>
  <si>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</si>
  <si>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</si>
  <si>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</si>
  <si>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</si>
  <si>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</si>
  <si>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</si>
  <si>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</si>
  <si>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</si>
  <si>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</si>
  <si>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</si>
  <si>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</si>
  <si>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</si>
  <si>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</si>
  <si>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</si>
  <si>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</si>
  <si>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</si>
  <si>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</si>
  <si>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</si>
  <si>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</si>
  <si>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</si>
  <si>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</si>
  <si>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</si>
  <si>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</si>
  <si>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</si>
  <si>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</si>
  <si>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</si>
  <si>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</si>
  <si>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</si>
  <si>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</si>
  <si>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</si>
  <si>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</si>
  <si>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</si>
  <si>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</si>
  <si>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</si>
  <si>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</si>
  <si>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</si>
  <si>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</si>
  <si>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</si>
  <si>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</si>
  <si>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</si>
  <si>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</si>
  <si>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</si>
  <si>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</si>
  <si>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</si>
  <si>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</si>
  <si>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</si>
  <si>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</si>
  <si>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</si>
  <si>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</si>
  <si>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</si>
  <si>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</si>
  <si>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</si>
  <si>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</si>
  <si>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</si>
  <si>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</si>
  <si>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</si>
  <si>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</si>
  <si>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</si>
  <si>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</si>
  <si>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</si>
  <si>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</si>
  <si>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</si>
  <si>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</si>
  <si>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</si>
  <si>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</si>
  <si>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</si>
  <si>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</si>
  <si>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</si>
  <si>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</si>
  <si>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</si>
  <si>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</si>
  <si>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</si>
  <si>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</si>
  <si>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</si>
  <si>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</si>
  <si>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</si>
  <si>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</si>
  <si>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</si>
  <si>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</si>
  <si>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</si>
  <si>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</si>
  <si>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</si>
  <si>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</si>
  <si>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</si>
  <si>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</si>
  <si>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</si>
  <si>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</si>
  <si>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</si>
  <si>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</si>
  <si>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</si>
  <si>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</si>
  <si>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</si>
  <si>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</si>
  <si>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</si>
  <si>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</si>
  <si>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</si>
  <si>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</si>
  <si>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</si>
  <si>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</si>
  <si>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</si>
  <si>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</si>
  <si>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</si>
  <si>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</si>
  <si>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</si>
  <si>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</si>
  <si>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</si>
  <si>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</si>
  <si>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</si>
  <si>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</si>
  <si>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</si>
  <si>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</si>
  <si>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</si>
  <si>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</si>
  <si>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</si>
  <si>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</si>
  <si>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</si>
  <si>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</si>
  <si>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</si>
  <si>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</si>
  <si>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</si>
  <si>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</si>
  <si>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</si>
  <si>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</si>
  <si>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</si>
  <si>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</si>
  <si>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</si>
  <si>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</si>
  <si>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</si>
  <si>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</si>
  <si>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</si>
  <si>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</si>
  <si>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</si>
  <si>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</si>
  <si>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</si>
  <si>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</si>
  <si>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</si>
  <si>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</si>
  <si>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</si>
  <si>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</si>
  <si>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</si>
  <si>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</si>
  <si>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</si>
  <si>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</si>
  <si>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</si>
  <si>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</si>
  <si>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</si>
  <si>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</si>
  <si>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</si>
  <si>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</si>
  <si>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</si>
  <si>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</si>
  <si>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</si>
  <si>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</si>
  <si>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</si>
  <si>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</si>
  <si>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</si>
  <si>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</si>
  <si>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</si>
  <si>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</si>
  <si>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</si>
  <si>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</si>
  <si>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</si>
  <si>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</si>
  <si>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</si>
  <si>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</si>
  <si>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</si>
  <si>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</si>
  <si>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</si>
  <si>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</si>
  <si>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</si>
  <si>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</si>
  <si>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</si>
  <si>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</si>
  <si>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</si>
  <si>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</si>
  <si>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</si>
  <si>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</si>
  <si>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</si>
  <si>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</si>
  <si>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</si>
  <si>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</si>
  <si>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</si>
  <si>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</si>
  <si>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</si>
  <si>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</si>
  <si>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</si>
  <si>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</si>
  <si>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</si>
  <si>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</si>
  <si>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</si>
  <si>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</si>
  <si>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</si>
  <si>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</si>
  <si>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</si>
  <si>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</si>
  <si>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</si>
  <si>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</si>
  <si>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</si>
  <si>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</si>
  <si>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</si>
  <si>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</si>
  <si>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</si>
  <si>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</si>
  <si>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</si>
  <si>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</si>
  <si>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</si>
  <si>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</si>
  <si>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</si>
  <si>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</si>
  <si>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</si>
  <si>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</si>
  <si>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</si>
  <si>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</si>
  <si>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</si>
  <si>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</si>
  <si>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</si>
  <si>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</si>
  <si>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</si>
  <si>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</si>
  <si>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</si>
  <si>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</si>
  <si>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</si>
  <si>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</si>
  <si>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</si>
  <si>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</si>
  <si>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</si>
  <si>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</si>
  <si>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</si>
  <si>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</si>
  <si>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</si>
  <si>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</si>
  <si>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</si>
  <si>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</si>
  <si>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</si>
  <si>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</si>
  <si>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</si>
  <si>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</si>
  <si>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</si>
  <si>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</si>
  <si>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</si>
  <si>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</si>
  <si>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</si>
  <si>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</si>
  <si>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</si>
  <si>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</si>
  <si>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</si>
  <si>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</si>
  <si>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</si>
  <si>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</si>
  <si>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</si>
  <si>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</si>
  <si>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</si>
  <si>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</si>
  <si>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</si>
  <si>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</si>
  <si>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</si>
  <si>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</si>
  <si>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</si>
  <si>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</si>
  <si>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</si>
  <si>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</si>
  <si>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</si>
  <si>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</si>
  <si>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</si>
  <si>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</si>
  <si>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</si>
  <si>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</si>
  <si>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</si>
  <si>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</si>
  <si>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</si>
  <si>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</si>
  <si>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</si>
  <si>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</si>
  <si>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</si>
  <si>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</si>
  <si>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</si>
  <si>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</si>
  <si>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</si>
  <si>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</si>
  <si>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</si>
  <si>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</si>
  <si>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</si>
  <si>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</si>
  <si>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</si>
  <si>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</si>
  <si>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</si>
  <si>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</si>
  <si>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</si>
  <si>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</si>
  <si>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</si>
  <si>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</si>
  <si>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</si>
  <si>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</si>
  <si>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</si>
  <si>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PB ADY SETIAWAN 11KVA</t>
  </si>
  <si>
    <t>G105 50KVA</t>
  </si>
  <si>
    <t>SR APP 11 KVA</t>
  </si>
  <si>
    <t>CM2-12</t>
  </si>
  <si>
    <t>CM2-12A</t>
  </si>
  <si>
    <t>CJ6-T</t>
  </si>
  <si>
    <t>CJ5-T</t>
  </si>
  <si>
    <t>CE1-2</t>
  </si>
  <si>
    <t>F1-2</t>
  </si>
  <si>
    <t>C9-200</t>
  </si>
  <si>
    <t xml:space="preserve">-7.067719, 110.884574  </t>
  </si>
  <si>
    <t>ADY SETIAWAN</t>
  </si>
  <si>
    <t>DS PUTAT</t>
  </si>
  <si>
    <t>S2</t>
  </si>
  <si>
    <t>PWI05</t>
  </si>
  <si>
    <t>Trafo 1 Fasa CSP 50 KVA (G105, G106, G136)</t>
  </si>
  <si>
    <t>LVTC 2X70+70</t>
  </si>
  <si>
    <t>MTR</t>
  </si>
  <si>
    <t>Daya 11.000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</si>
</sst>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38" fillId="0" borderId="0">
      <alignment horizontal="centerContinuous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60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4" fontId="32" fillId="0" borderId="0" applyFill="0" applyBorder="0" applyAlignment="0"/>
    <xf numFmtId="174" fontId="18" fillId="0" borderId="0" applyFill="0" applyBorder="0" applyAlignment="0"/>
    <xf numFmtId="175" fontId="32" fillId="0" borderId="0" applyFill="0" applyBorder="0" applyAlignment="0"/>
    <xf numFmtId="175" fontId="18" fillId="0" borderId="0" applyFill="0" applyBorder="0" applyAlignment="0"/>
    <xf numFmtId="176" fontId="32" fillId="0" borderId="0" applyFill="0" applyBorder="0" applyAlignment="0"/>
    <xf numFmtId="176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7" fontId="10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18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8" fillId="0" borderId="0" applyFont="0" applyFill="0" applyBorder="0" applyAlignment="0" applyProtection="0"/>
    <xf numFmtId="169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1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8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3" fillId="0" borderId="0" applyFont="0" applyFill="0" applyBorder="0" applyAlignment="0" applyProtection="0"/>
    <xf numFmtId="18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61" fillId="0" borderId="0"/>
    <xf numFmtId="0" fontId="61" fillId="0" borderId="0"/>
    <xf numFmtId="186" fontId="32" fillId="0" borderId="3"/>
    <xf numFmtId="186" fontId="18" fillId="0" borderId="3"/>
    <xf numFmtId="164" fontId="19" fillId="0" borderId="0" applyFont="0" applyFill="0" applyBorder="0" applyAlignment="0" applyProtection="0"/>
    <xf numFmtId="164" fontId="44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66" fillId="0" borderId="0" applyFont="0" applyFill="0" applyBorder="0" applyAlignment="0" applyProtection="0"/>
    <xf numFmtId="188" fontId="68" fillId="0" borderId="0">
      <protection locked="0"/>
    </xf>
    <xf numFmtId="14" fontId="60" fillId="0" borderId="0" applyFill="0" applyBorder="0" applyAlignment="0"/>
    <xf numFmtId="189" fontId="69" fillId="0" borderId="0">
      <protection locked="0"/>
    </xf>
    <xf numFmtId="0" fontId="70" fillId="0" borderId="0"/>
    <xf numFmtId="0" fontId="70" fillId="0" borderId="4"/>
    <xf numFmtId="0" fontId="70" fillId="0" borderId="4"/>
    <xf numFmtId="0" fontId="70" fillId="0" borderId="4"/>
    <xf numFmtId="0" fontId="70" fillId="0" borderId="4"/>
    <xf numFmtId="0" fontId="71" fillId="22" borderId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2" fillId="0" borderId="0" applyNumberFormat="0" applyAlignment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0">
      <protection locked="0"/>
    </xf>
    <xf numFmtId="190" fontId="68" fillId="0" borderId="0">
      <protection locked="0"/>
    </xf>
    <xf numFmtId="0" fontId="75" fillId="0" borderId="5"/>
    <xf numFmtId="0" fontId="75" fillId="0" borderId="5"/>
    <xf numFmtId="0" fontId="75" fillId="0" borderId="5"/>
    <xf numFmtId="0" fontId="75" fillId="0" borderId="5"/>
    <xf numFmtId="0" fontId="75" fillId="0" borderId="4"/>
    <xf numFmtId="0" fontId="75" fillId="0" borderId="4"/>
    <xf numFmtId="0" fontId="75" fillId="23" borderId="4"/>
    <xf numFmtId="0" fontId="75" fillId="23" borderId="4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6" fillId="0" borderId="0" applyNumberFormat="0"/>
    <xf numFmtId="38" fontId="37" fillId="24" borderId="0" applyNumberFormat="0" applyBorder="0" applyAlignment="0" applyProtection="0"/>
    <xf numFmtId="0" fontId="77" fillId="0" borderId="6" applyNumberFormat="0" applyAlignment="0" applyProtection="0">
      <alignment horizontal="left" vertical="center"/>
    </xf>
    <xf numFmtId="0" fontId="77" fillId="0" borderId="7">
      <alignment horizontal="left" vertical="center"/>
    </xf>
    <xf numFmtId="0" fontId="77" fillId="0" borderId="7">
      <alignment horizontal="left" vertical="center"/>
    </xf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1" fontId="73" fillId="0" borderId="0">
      <protection locked="0"/>
    </xf>
    <xf numFmtId="191" fontId="73" fillId="0" borderId="0"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10" fontId="37" fillId="25" borderId="3" applyNumberFormat="0" applyBorder="0" applyAlignment="0" applyProtection="0"/>
    <xf numFmtId="10" fontId="37" fillId="25" borderId="3" applyNumberFormat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192" fontId="32" fillId="0" borderId="0" applyFont="0" applyFill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37" fontId="78" fillId="0" borderId="0"/>
    <xf numFmtId="193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18" fillId="0" borderId="0"/>
    <xf numFmtId="193" fontId="32" fillId="0" borderId="0"/>
    <xf numFmtId="172" fontId="79" fillId="0" borderId="0"/>
    <xf numFmtId="172" fontId="80" fillId="0" borderId="0"/>
    <xf numFmtId="172" fontId="80" fillId="0" borderId="0"/>
    <xf numFmtId="0" fontId="62" fillId="0" borderId="0"/>
    <xf numFmtId="0" fontId="108" fillId="0" borderId="0"/>
    <xf numFmtId="0" fontId="32" fillId="0" borderId="0"/>
    <xf numFmtId="0" fontId="18" fillId="0" borderId="0"/>
    <xf numFmtId="0" fontId="65" fillId="0" borderId="0"/>
    <xf numFmtId="0" fontId="32" fillId="0" borderId="0"/>
    <xf numFmtId="12" fontId="32" fillId="0" borderId="0"/>
    <xf numFmtId="12" fontId="1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09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65" fillId="0" borderId="0"/>
    <xf numFmtId="0" fontId="32" fillId="0" borderId="0"/>
    <xf numFmtId="0" fontId="10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63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19" fillId="0" borderId="0"/>
    <xf numFmtId="0" fontId="19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60" fillId="0" borderId="0">
      <alignment vertical="top"/>
    </xf>
    <xf numFmtId="0" fontId="19" fillId="0" borderId="0"/>
    <xf numFmtId="194" fontId="39" fillId="0" borderId="0"/>
    <xf numFmtId="0" fontId="108" fillId="0" borderId="0"/>
    <xf numFmtId="0" fontId="10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 applyNumberFormat="0" applyFont="0" applyFill="0" applyAlignment="0" applyProtection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 applyNumberFormat="0" applyFont="0" applyFill="0" applyAlignment="0" applyProtection="0"/>
    <xf numFmtId="0" fontId="80" fillId="0" borderId="0"/>
    <xf numFmtId="0" fontId="80" fillId="0" borderId="0"/>
    <xf numFmtId="0" fontId="18" fillId="0" borderId="0" applyNumberFormat="0" applyFont="0" applyFill="0" applyAlignment="0" applyProtection="0"/>
    <xf numFmtId="0" fontId="32" fillId="0" borderId="0"/>
    <xf numFmtId="0" fontId="108" fillId="0" borderId="0"/>
    <xf numFmtId="182" fontId="80" fillId="0" borderId="0"/>
    <xf numFmtId="0" fontId="80" fillId="0" borderId="0"/>
    <xf numFmtId="195" fontId="80" fillId="0" borderId="0"/>
    <xf numFmtId="196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5" fontId="80" fillId="0" borderId="0"/>
    <xf numFmtId="0" fontId="80" fillId="0" borderId="0"/>
    <xf numFmtId="0" fontId="32" fillId="0" borderId="0"/>
    <xf numFmtId="0" fontId="18" fillId="0" borderId="0"/>
    <xf numFmtId="182" fontId="8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 applyNumberFormat="0" applyFont="0" applyFill="0" applyAlignment="0" applyProtection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198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7" fontId="80" fillId="0" borderId="0"/>
    <xf numFmtId="199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18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194" fontId="39" fillId="0" borderId="0"/>
    <xf numFmtId="0" fontId="18" fillId="0" borderId="0"/>
    <xf numFmtId="0" fontId="18" fillId="0" borderId="0" applyProtection="0"/>
    <xf numFmtId="0" fontId="108" fillId="0" borderId="0"/>
    <xf numFmtId="0" fontId="108" fillId="0" borderId="0"/>
    <xf numFmtId="0" fontId="108" fillId="0" borderId="0"/>
    <xf numFmtId="0" fontId="18" fillId="0" borderId="0"/>
    <xf numFmtId="0" fontId="18" fillId="0" borderId="0" applyProtection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32" fillId="0" borderId="0"/>
    <xf numFmtId="0" fontId="18" fillId="0" borderId="0"/>
    <xf numFmtId="0" fontId="10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10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9" fillId="0" borderId="0"/>
    <xf numFmtId="0" fontId="109" fillId="0" borderId="0"/>
    <xf numFmtId="0" fontId="6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8" fillId="0" borderId="0"/>
    <xf numFmtId="194" fontId="39" fillId="0" borderId="0"/>
    <xf numFmtId="194" fontId="39" fillId="0" borderId="0"/>
    <xf numFmtId="0" fontId="10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176" fontId="32" fillId="0" borderId="0" applyFont="0" applyFill="0" applyBorder="0" applyAlignment="0" applyProtection="0"/>
    <xf numFmtId="176" fontId="18" fillId="0" borderId="0" applyFont="0" applyFill="0" applyBorder="0" applyAlignment="0" applyProtection="0"/>
    <xf numFmtId="200" fontId="32" fillId="0" borderId="0" applyFont="0" applyFill="0" applyBorder="0" applyAlignment="0" applyProtection="0"/>
    <xf numFmtId="200" fontId="18" fillId="0" borderId="0" applyFont="0" applyFill="0" applyBorder="0" applyAlignment="0" applyProtection="0"/>
    <xf numFmtId="10" fontId="32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0" fillId="0" borderId="0"/>
    <xf numFmtId="201" fontId="83" fillId="0" borderId="0" applyNumberFormat="0" applyFill="0" applyBorder="0" applyAlignment="0" applyProtection="0">
      <alignment horizontal="left"/>
    </xf>
    <xf numFmtId="0" fontId="84" fillId="0" borderId="14"/>
    <xf numFmtId="0" fontId="84" fillId="0" borderId="14"/>
    <xf numFmtId="0" fontId="85" fillId="0" borderId="15"/>
    <xf numFmtId="0" fontId="85" fillId="0" borderId="15"/>
    <xf numFmtId="40" fontId="86" fillId="0" borderId="0" applyBorder="0">
      <alignment horizontal="right"/>
    </xf>
    <xf numFmtId="49" fontId="60" fillId="0" borderId="0" applyFill="0" applyBorder="0" applyAlignment="0"/>
    <xf numFmtId="202" fontId="32" fillId="0" borderId="0" applyFill="0" applyBorder="0" applyAlignment="0"/>
    <xf numFmtId="202" fontId="18" fillId="0" borderId="0" applyFill="0" applyBorder="0" applyAlignment="0"/>
    <xf numFmtId="203" fontId="32" fillId="0" borderId="0" applyFill="0" applyBorder="0" applyAlignment="0"/>
    <xf numFmtId="203" fontId="18" fillId="0" borderId="0" applyFill="0" applyBorder="0" applyAlignment="0"/>
    <xf numFmtId="204" fontId="87" fillId="0" borderId="16" applyFont="0" applyBorder="0" applyAlignment="0">
      <alignment horizontal="righ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/>
    <xf numFmtId="0" fontId="6" fillId="0" borderId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5" fillId="0" borderId="0"/>
    <xf numFmtId="41" fontId="18" fillId="0" borderId="0" applyFont="0" applyFill="0" applyBorder="0" applyAlignment="0" applyProtection="0"/>
    <xf numFmtId="9" fontId="155" fillId="0" borderId="0" applyFont="0" applyFill="0" applyBorder="0" applyAlignment="0" applyProtection="0"/>
    <xf numFmtId="41" fontId="167" fillId="0" borderId="0" applyFont="0" applyFill="0" applyBorder="0" applyAlignment="0" applyProtection="0"/>
    <xf numFmtId="0" fontId="18" fillId="0" borderId="0"/>
  </cellStyleXfs>
  <cellXfs count="725">
    <xf numFmtId="0" fontId="0" fillId="0" borderId="0" xfId="0"/>
    <xf numFmtId="0" fontId="41" fillId="0" borderId="0" xfId="1448" applyFont="1" applyAlignment="1">
      <alignment horizontal="center" wrapText="1"/>
    </xf>
    <xf numFmtId="0" fontId="40" fillId="0" borderId="0" xfId="1448" applyFont="1" applyAlignment="1">
      <alignment horizontal="left" vertical="center" wrapText="1"/>
    </xf>
    <xf numFmtId="0" fontId="50" fillId="0" borderId="0" xfId="1448" applyFont="1" applyAlignment="1">
      <alignment horizontal="center" wrapText="1"/>
    </xf>
    <xf numFmtId="3" fontId="41" fillId="0" borderId="0" xfId="1448" applyNumberFormat="1" applyFont="1" applyAlignment="1">
      <alignment horizontal="center" vertical="center" wrapText="1"/>
    </xf>
    <xf numFmtId="0" fontId="50" fillId="0" borderId="0" xfId="1448" applyFont="1" applyAlignment="1">
      <alignment wrapText="1"/>
    </xf>
    <xf numFmtId="0" fontId="51" fillId="0" borderId="0" xfId="1448" applyFont="1" applyAlignment="1">
      <alignment wrapText="1"/>
    </xf>
    <xf numFmtId="0" fontId="40" fillId="0" borderId="0" xfId="1448" applyFont="1" applyAlignment="1">
      <alignment horizontal="center" wrapText="1"/>
    </xf>
    <xf numFmtId="0" fontId="40" fillId="0" borderId="0" xfId="1448" applyFont="1" applyAlignment="1">
      <alignment horizontal="center" vertical="center" wrapText="1"/>
    </xf>
    <xf numFmtId="3" fontId="40" fillId="0" borderId="0" xfId="1448" applyNumberFormat="1" applyFont="1" applyAlignment="1">
      <alignment horizontal="center" vertical="center" wrapText="1"/>
    </xf>
    <xf numFmtId="0" fontId="40" fillId="0" borderId="18" xfId="1448" applyFont="1" applyBorder="1" applyAlignment="1">
      <alignment horizontal="center" vertical="center" wrapText="1"/>
    </xf>
    <xf numFmtId="0" fontId="41" fillId="0" borderId="0" xfId="1448" applyFont="1" applyAlignment="1">
      <alignment horizontal="center" vertical="center" wrapText="1"/>
    </xf>
    <xf numFmtId="0" fontId="50" fillId="0" borderId="0" xfId="1448" applyFont="1" applyAlignment="1">
      <alignment horizontal="center" vertical="center" wrapText="1"/>
    </xf>
    <xf numFmtId="0" fontId="53" fillId="0" borderId="18" xfId="1448" applyFont="1" applyBorder="1" applyAlignment="1">
      <alignment horizontal="center" wrapText="1"/>
    </xf>
    <xf numFmtId="0" fontId="54" fillId="0" borderId="0" xfId="1448" applyFont="1" applyAlignment="1">
      <alignment wrapText="1"/>
    </xf>
    <xf numFmtId="0" fontId="41" fillId="0" borderId="18" xfId="1448" applyFont="1" applyBorder="1" applyAlignment="1">
      <alignment horizontal="center" vertical="center" wrapText="1"/>
    </xf>
    <xf numFmtId="165" fontId="41" fillId="0" borderId="0" xfId="527" applyNumberFormat="1" applyFont="1" applyFill="1" applyBorder="1" applyAlignment="1">
      <alignment horizontal="center" wrapText="1"/>
    </xf>
    <xf numFmtId="0" fontId="41" fillId="0" borderId="18" xfId="1448" quotePrefix="1" applyFont="1" applyBorder="1" applyAlignment="1">
      <alignment horizontal="center" vertical="center" wrapText="1"/>
    </xf>
    <xf numFmtId="18" fontId="41" fillId="0" borderId="18" xfId="1448" quotePrefix="1" applyNumberFormat="1" applyFont="1" applyBorder="1" applyAlignment="1">
      <alignment horizontal="center" vertical="center" wrapText="1"/>
    </xf>
    <xf numFmtId="0" fontId="50" fillId="0" borderId="0" xfId="1448" applyFont="1" applyAlignment="1">
      <alignment vertical="top" wrapText="1"/>
    </xf>
    <xf numFmtId="165" fontId="41" fillId="0" borderId="18" xfId="1448" applyNumberFormat="1" applyFont="1" applyBorder="1" applyAlignment="1">
      <alignment horizontal="center" vertical="center" wrapText="1"/>
    </xf>
    <xf numFmtId="17" fontId="41" fillId="0" borderId="18" xfId="1448" quotePrefix="1" applyNumberFormat="1" applyFont="1" applyBorder="1" applyAlignment="1">
      <alignment horizontal="center" vertical="center" wrapText="1"/>
    </xf>
    <xf numFmtId="165" fontId="41" fillId="0" borderId="0" xfId="1448" applyNumberFormat="1" applyFont="1" applyAlignment="1">
      <alignment horizontal="center" wrapText="1"/>
    </xf>
    <xf numFmtId="0" fontId="108" fillId="0" borderId="0" xfId="1614" applyAlignment="1">
      <alignment horizontal="center"/>
    </xf>
    <xf numFmtId="0" fontId="45" fillId="0" borderId="0" xfId="1614" applyFont="1" applyAlignment="1">
      <alignment horizontal="center" vertical="center"/>
    </xf>
    <xf numFmtId="0" fontId="40" fillId="0" borderId="0" xfId="1614" applyFont="1" applyAlignment="1">
      <alignment vertical="center"/>
    </xf>
    <xf numFmtId="0" fontId="108" fillId="0" borderId="0" xfId="1614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/>
    </xf>
    <xf numFmtId="167" fontId="49" fillId="0" borderId="0" xfId="1652" applyNumberFormat="1" applyFont="1"/>
    <xf numFmtId="0" fontId="108" fillId="0" borderId="19" xfId="1614" applyBorder="1" applyAlignment="1">
      <alignment horizontal="center"/>
    </xf>
    <xf numFmtId="0" fontId="49" fillId="0" borderId="0" xfId="1614" applyFont="1" applyAlignment="1">
      <alignment horizontal="center"/>
    </xf>
    <xf numFmtId="0" fontId="49" fillId="0" borderId="0" xfId="1614" applyFont="1" applyAlignment="1">
      <alignment horizontal="center" vertical="center" wrapText="1"/>
    </xf>
    <xf numFmtId="3" fontId="41" fillId="0" borderId="0" xfId="1614" applyNumberFormat="1" applyFont="1" applyAlignment="1">
      <alignment vertical="center"/>
    </xf>
    <xf numFmtId="0" fontId="17" fillId="0" borderId="0" xfId="1614" applyFont="1" applyAlignment="1">
      <alignment horizontal="center"/>
    </xf>
    <xf numFmtId="0" fontId="41" fillId="0" borderId="20" xfId="1614" applyFont="1" applyBorder="1" applyAlignment="1">
      <alignment horizontal="center" vertical="center"/>
    </xf>
    <xf numFmtId="0" fontId="41" fillId="0" borderId="21" xfId="1614" applyFont="1" applyBorder="1" applyAlignment="1">
      <alignment horizontal="left" vertical="center" wrapText="1"/>
    </xf>
    <xf numFmtId="0" fontId="41" fillId="0" borderId="21" xfId="1614" applyFont="1" applyBorder="1" applyAlignment="1">
      <alignment horizontal="center" vertical="center" wrapText="1"/>
    </xf>
    <xf numFmtId="0" fontId="43" fillId="0" borderId="21" xfId="1614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1" fillId="0" borderId="21" xfId="1614" applyNumberFormat="1" applyFont="1" applyBorder="1" applyAlignment="1">
      <alignment horizontal="center" vertical="center"/>
    </xf>
    <xf numFmtId="3" fontId="41" fillId="0" borderId="22" xfId="1614" applyNumberFormat="1" applyFont="1" applyBorder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3" fontId="41" fillId="0" borderId="0" xfId="1614" applyNumberFormat="1" applyFont="1" applyAlignment="1">
      <alignment horizontal="center" vertical="center"/>
    </xf>
    <xf numFmtId="3" fontId="58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/>
    </xf>
    <xf numFmtId="0" fontId="46" fillId="0" borderId="23" xfId="1614" applyFont="1" applyBorder="1" applyAlignment="1">
      <alignment horizontal="center" vertical="center"/>
    </xf>
    <xf numFmtId="0" fontId="46" fillId="0" borderId="24" xfId="1614" applyFont="1" applyBorder="1" applyAlignment="1">
      <alignment horizontal="left" vertical="center"/>
    </xf>
    <xf numFmtId="0" fontId="46" fillId="0" borderId="24" xfId="1614" applyFont="1" applyBorder="1" applyAlignment="1">
      <alignment vertical="center"/>
    </xf>
    <xf numFmtId="0" fontId="17" fillId="0" borderId="24" xfId="1614" applyFont="1" applyBorder="1" applyAlignment="1">
      <alignment horizontal="center" vertical="center"/>
    </xf>
    <xf numFmtId="3" fontId="41" fillId="0" borderId="24" xfId="1614" applyNumberFormat="1" applyFont="1" applyBorder="1" applyAlignment="1">
      <alignment horizontal="center" vertical="center"/>
    </xf>
    <xf numFmtId="3" fontId="41" fillId="0" borderId="25" xfId="1614" applyNumberFormat="1" applyFont="1" applyBorder="1" applyAlignment="1">
      <alignment horizontal="center" vertical="center"/>
    </xf>
    <xf numFmtId="0" fontId="108" fillId="0" borderId="26" xfId="1614" applyBorder="1" applyAlignment="1">
      <alignment horizontal="center" vertical="center"/>
    </xf>
    <xf numFmtId="37" fontId="108" fillId="0" borderId="27" xfId="1614" applyNumberFormat="1" applyBorder="1" applyAlignment="1">
      <alignment horizontal="center"/>
    </xf>
    <xf numFmtId="0" fontId="108" fillId="0" borderId="28" xfId="1614" applyBorder="1" applyAlignment="1">
      <alignment horizontal="center" vertical="center"/>
    </xf>
    <xf numFmtId="37" fontId="17" fillId="0" borderId="0" xfId="1614" applyNumberFormat="1" applyFont="1" applyAlignment="1">
      <alignment horizontal="center"/>
    </xf>
    <xf numFmtId="37" fontId="59" fillId="0" borderId="0" xfId="1614" applyNumberFormat="1" applyFont="1" applyAlignment="1">
      <alignment horizontal="center"/>
    </xf>
    <xf numFmtId="37" fontId="49" fillId="0" borderId="29" xfId="1614" applyNumberFormat="1" applyFont="1" applyBorder="1" applyAlignment="1">
      <alignment horizontal="center"/>
    </xf>
    <xf numFmtId="37" fontId="108" fillId="0" borderId="29" xfId="1614" applyNumberFormat="1" applyBorder="1" applyAlignment="1">
      <alignment horizontal="center"/>
    </xf>
    <xf numFmtId="37" fontId="59" fillId="0" borderId="30" xfId="1614" applyNumberFormat="1" applyFont="1" applyBorder="1" applyAlignment="1">
      <alignment horizontal="center"/>
    </xf>
    <xf numFmtId="0" fontId="48" fillId="0" borderId="0" xfId="1614" applyFont="1" applyAlignment="1">
      <alignment horizontal="center" vertical="center"/>
    </xf>
    <xf numFmtId="0" fontId="108" fillId="0" borderId="19" xfId="1614" applyBorder="1"/>
    <xf numFmtId="0" fontId="108" fillId="0" borderId="19" xfId="1614" applyBorder="1" applyAlignment="1">
      <alignment horizontal="right"/>
    </xf>
    <xf numFmtId="0" fontId="108" fillId="0" borderId="31" xfId="1614" applyBorder="1" applyAlignment="1">
      <alignment horizontal="right"/>
    </xf>
    <xf numFmtId="0" fontId="46" fillId="0" borderId="0" xfId="1614" applyFont="1" applyAlignment="1">
      <alignment horizontal="center" vertical="center"/>
    </xf>
    <xf numFmtId="0" fontId="46" fillId="0" borderId="0" xfId="1614" applyFont="1" applyAlignment="1">
      <alignment horizontal="left" vertical="center"/>
    </xf>
    <xf numFmtId="0" fontId="46" fillId="0" borderId="0" xfId="1614" applyFont="1" applyAlignment="1">
      <alignment vertical="center"/>
    </xf>
    <xf numFmtId="0" fontId="17" fillId="0" borderId="0" xfId="1614" applyFont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108" fillId="0" borderId="0" xfId="1652" applyAlignment="1">
      <alignment horizontal="right"/>
    </xf>
    <xf numFmtId="0" fontId="45" fillId="0" borderId="0" xfId="1614" applyFont="1" applyAlignment="1">
      <alignment vertical="center"/>
    </xf>
    <xf numFmtId="0" fontId="45" fillId="0" borderId="0" xfId="1614" applyFont="1" applyAlignment="1">
      <alignment horizontal="center"/>
    </xf>
    <xf numFmtId="0" fontId="88" fillId="0" borderId="0" xfId="1614" applyFont="1" applyAlignment="1">
      <alignment horizontal="center" vertical="center" wrapText="1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37" fontId="49" fillId="0" borderId="27" xfId="1614" applyNumberFormat="1" applyFont="1" applyBorder="1" applyAlignment="1">
      <alignment horizontal="center"/>
    </xf>
    <xf numFmtId="37" fontId="59" fillId="0" borderId="32" xfId="1614" applyNumberFormat="1" applyFont="1" applyBorder="1" applyAlignment="1">
      <alignment horizontal="center"/>
    </xf>
    <xf numFmtId="0" fontId="17" fillId="0" borderId="21" xfId="1652" applyFont="1" applyBorder="1" applyAlignment="1">
      <alignment horizontal="center" vertical="center"/>
    </xf>
    <xf numFmtId="0" fontId="40" fillId="0" borderId="0" xfId="1448" applyFont="1" applyAlignment="1">
      <alignment horizontal="left" vertical="center"/>
    </xf>
    <xf numFmtId="0" fontId="50" fillId="0" borderId="0" xfId="1448" applyFont="1" applyAlignment="1">
      <alignment horizontal="left" wrapText="1"/>
    </xf>
    <xf numFmtId="3" fontId="57" fillId="0" borderId="0" xfId="1614" applyNumberFormat="1" applyFont="1" applyAlignment="1">
      <alignment horizontal="center"/>
    </xf>
    <xf numFmtId="0" fontId="49" fillId="0" borderId="0" xfId="1614" applyFont="1"/>
    <xf numFmtId="0" fontId="41" fillId="0" borderId="21" xfId="1448" applyFont="1" applyBorder="1" applyAlignment="1">
      <alignment horizontal="center" vertical="center"/>
    </xf>
    <xf numFmtId="0" fontId="41" fillId="0" borderId="21" xfId="1448" applyFont="1" applyBorder="1" applyAlignment="1">
      <alignment horizontal="left" wrapText="1"/>
    </xf>
    <xf numFmtId="0" fontId="50" fillId="0" borderId="21" xfId="1448" applyFont="1" applyBorder="1" applyAlignment="1">
      <alignment horizontal="center" wrapText="1"/>
    </xf>
    <xf numFmtId="0" fontId="41" fillId="0" borderId="21" xfId="1448" applyFont="1" applyBorder="1" applyAlignment="1">
      <alignment horizontal="center" vertical="center" wrapText="1"/>
    </xf>
    <xf numFmtId="3" fontId="41" fillId="0" borderId="21" xfId="1448" applyNumberFormat="1" applyFont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59" fillId="0" borderId="34" xfId="1614" applyFont="1" applyBorder="1" applyAlignment="1">
      <alignment vertical="center"/>
    </xf>
    <xf numFmtId="169" fontId="41" fillId="0" borderId="0" xfId="714" applyFont="1" applyFill="1" applyAlignment="1">
      <alignment horizontal="center" wrapText="1"/>
    </xf>
    <xf numFmtId="169" fontId="40" fillId="0" borderId="0" xfId="714" applyFont="1" applyFill="1" applyAlignment="1">
      <alignment horizontal="center" wrapText="1"/>
    </xf>
    <xf numFmtId="4" fontId="90" fillId="0" borderId="3" xfId="1448" applyNumberFormat="1" applyFont="1" applyBorder="1" applyAlignment="1">
      <alignment horizontal="center" vertical="center" wrapText="1"/>
    </xf>
    <xf numFmtId="0" fontId="41" fillId="0" borderId="0" xfId="1448" applyFont="1" applyAlignment="1">
      <alignment vertical="center" wrapText="1"/>
    </xf>
    <xf numFmtId="169" fontId="41" fillId="0" borderId="21" xfId="715" applyNumberFormat="1" applyFont="1" applyFill="1" applyBorder="1" applyAlignment="1">
      <alignment horizontal="center" vertical="center" wrapText="1"/>
    </xf>
    <xf numFmtId="169" fontId="41" fillId="0" borderId="21" xfId="714" applyFont="1" applyFill="1" applyBorder="1" applyAlignment="1">
      <alignment horizontal="center" vertical="center" wrapText="1"/>
    </xf>
    <xf numFmtId="169" fontId="41" fillId="0" borderId="33" xfId="714" applyFont="1" applyFill="1" applyBorder="1" applyAlignment="1">
      <alignment horizontal="center" vertical="center" wrapText="1"/>
    </xf>
    <xf numFmtId="167" fontId="40" fillId="0" borderId="0" xfId="1614" applyNumberFormat="1" applyFont="1" applyAlignment="1">
      <alignment horizontal="left" vertical="center"/>
    </xf>
    <xf numFmtId="37" fontId="108" fillId="0" borderId="0" xfId="1614" applyNumberFormat="1" applyAlignment="1">
      <alignment horizontal="center"/>
    </xf>
    <xf numFmtId="0" fontId="15" fillId="0" borderId="20" xfId="1652" applyFont="1" applyBorder="1" applyAlignment="1">
      <alignment horizontal="center" vertical="center"/>
    </xf>
    <xf numFmtId="0" fontId="15" fillId="0" borderId="21" xfId="1652" applyFont="1" applyBorder="1" applyAlignment="1">
      <alignment horizontal="center" vertical="center"/>
    </xf>
    <xf numFmtId="0" fontId="48" fillId="0" borderId="20" xfId="1652" applyFont="1" applyBorder="1" applyAlignment="1">
      <alignment horizontal="center" vertical="center"/>
    </xf>
    <xf numFmtId="0" fontId="48" fillId="0" borderId="21" xfId="1652" applyFont="1" applyBorder="1" applyAlignment="1">
      <alignment vertical="center" wrapText="1"/>
    </xf>
    <xf numFmtId="0" fontId="91" fillId="0" borderId="21" xfId="1614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3" fontId="40" fillId="0" borderId="0" xfId="1614" applyNumberFormat="1" applyFont="1" applyAlignment="1">
      <alignment horizontal="left" vertical="center"/>
    </xf>
    <xf numFmtId="3" fontId="40" fillId="0" borderId="3" xfId="1448" applyNumberFormat="1" applyFont="1" applyBorder="1" applyAlignment="1">
      <alignment horizontal="center" vertical="center" wrapText="1"/>
    </xf>
    <xf numFmtId="0" fontId="41" fillId="0" borderId="21" xfId="1451" applyFont="1" applyBorder="1" applyAlignment="1">
      <alignment horizontal="left" vertical="center" wrapText="1"/>
    </xf>
    <xf numFmtId="0" fontId="53" fillId="0" borderId="18" xfId="1448" quotePrefix="1" applyFont="1" applyBorder="1" applyAlignment="1">
      <alignment horizontal="center" vertical="center" wrapText="1"/>
    </xf>
    <xf numFmtId="0" fontId="45" fillId="0" borderId="0" xfId="1505" applyFont="1"/>
    <xf numFmtId="0" fontId="57" fillId="0" borderId="0" xfId="1615" applyFont="1" applyAlignment="1">
      <alignment horizontal="center"/>
    </xf>
    <xf numFmtId="0" fontId="45" fillId="0" borderId="0" xfId="1615" applyFont="1" applyAlignment="1">
      <alignment horizontal="center" vertical="center"/>
    </xf>
    <xf numFmtId="0" fontId="40" fillId="0" borderId="0" xfId="1615" applyFont="1" applyAlignment="1">
      <alignment horizontal="left" vertical="center"/>
    </xf>
    <xf numFmtId="0" fontId="40" fillId="0" borderId="0" xfId="1615" applyFont="1" applyAlignment="1">
      <alignment vertical="center"/>
    </xf>
    <xf numFmtId="0" fontId="108" fillId="0" borderId="0" xfId="1615" applyAlignment="1">
      <alignment horizontal="center" vertical="center"/>
    </xf>
    <xf numFmtId="3" fontId="42" fillId="0" borderId="0" xfId="1615" applyNumberFormat="1" applyFont="1" applyAlignment="1">
      <alignment horizontal="center" vertical="center"/>
    </xf>
    <xf numFmtId="0" fontId="108" fillId="0" borderId="0" xfId="1615" applyAlignment="1">
      <alignment horizontal="center"/>
    </xf>
    <xf numFmtId="167" fontId="40" fillId="0" borderId="0" xfId="1615" applyNumberFormat="1" applyFont="1" applyAlignment="1">
      <alignment horizontal="left" vertical="center"/>
    </xf>
    <xf numFmtId="167" fontId="49" fillId="0" borderId="0" xfId="1653" applyNumberFormat="1" applyFont="1" applyAlignment="1">
      <alignment horizontal="left" vertical="center"/>
    </xf>
    <xf numFmtId="0" fontId="93" fillId="0" borderId="0" xfId="1653" applyFont="1" applyAlignment="1">
      <alignment horizontal="center" vertical="center"/>
    </xf>
    <xf numFmtId="0" fontId="41" fillId="0" borderId="35" xfId="1615" applyFont="1" applyBorder="1" applyAlignment="1">
      <alignment horizontal="center" vertical="center"/>
    </xf>
    <xf numFmtId="0" fontId="41" fillId="0" borderId="35" xfId="1615" applyFont="1" applyBorder="1" applyAlignment="1">
      <alignment horizontal="left" vertical="center" wrapText="1"/>
    </xf>
    <xf numFmtId="0" fontId="41" fillId="0" borderId="35" xfId="1615" applyFont="1" applyBorder="1" applyAlignment="1">
      <alignment horizontal="center" vertical="center" wrapText="1"/>
    </xf>
    <xf numFmtId="0" fontId="43" fillId="0" borderId="35" xfId="1615" applyFont="1" applyBorder="1" applyAlignment="1">
      <alignment horizontal="center" vertical="center"/>
    </xf>
    <xf numFmtId="0" fontId="10" fillId="0" borderId="35" xfId="1653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3" fontId="41" fillId="0" borderId="35" xfId="1615" applyNumberFormat="1" applyFont="1" applyBorder="1" applyAlignment="1">
      <alignment horizontal="center" vertical="center"/>
    </xf>
    <xf numFmtId="0" fontId="10" fillId="0" borderId="0" xfId="1615" applyFont="1" applyAlignment="1">
      <alignment horizontal="center"/>
    </xf>
    <xf numFmtId="0" fontId="49" fillId="0" borderId="21" xfId="1653" applyFont="1" applyBorder="1" applyAlignment="1">
      <alignment horizontal="center" vertical="center"/>
    </xf>
    <xf numFmtId="0" fontId="49" fillId="0" borderId="21" xfId="1653" applyFont="1" applyBorder="1" applyAlignment="1">
      <alignment vertical="center" wrapText="1"/>
    </xf>
    <xf numFmtId="0" fontId="41" fillId="0" borderId="21" xfId="1615" applyFont="1" applyBorder="1" applyAlignment="1">
      <alignment horizontal="center" vertical="center" wrapText="1"/>
    </xf>
    <xf numFmtId="0" fontId="43" fillId="0" borderId="21" xfId="1615" applyFont="1" applyBorder="1" applyAlignment="1">
      <alignment horizontal="center" vertical="center"/>
    </xf>
    <xf numFmtId="0" fontId="10" fillId="0" borderId="21" xfId="1653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3" fontId="41" fillId="0" borderId="21" xfId="1615" applyNumberFormat="1" applyFont="1" applyBorder="1" applyAlignment="1">
      <alignment horizontal="center" vertical="center"/>
    </xf>
    <xf numFmtId="0" fontId="58" fillId="0" borderId="0" xfId="1615" applyFont="1" applyAlignment="1">
      <alignment horizontal="center"/>
    </xf>
    <xf numFmtId="3" fontId="10" fillId="0" borderId="21" xfId="1653" applyNumberFormat="1" applyFont="1" applyBorder="1" applyAlignment="1">
      <alignment horizontal="center" vertical="center"/>
    </xf>
    <xf numFmtId="0" fontId="45" fillId="0" borderId="0" xfId="1615" applyFont="1" applyAlignment="1">
      <alignment vertical="center"/>
    </xf>
    <xf numFmtId="0" fontId="45" fillId="0" borderId="33" xfId="1615" applyFont="1" applyBorder="1" applyAlignment="1">
      <alignment horizontal="center" vertical="center"/>
    </xf>
    <xf numFmtId="0" fontId="45" fillId="0" borderId="33" xfId="1615" applyFont="1" applyBorder="1" applyAlignment="1">
      <alignment vertical="center"/>
    </xf>
    <xf numFmtId="0" fontId="108" fillId="0" borderId="33" xfId="1615" applyBorder="1" applyAlignment="1">
      <alignment horizontal="center" vertical="center"/>
    </xf>
    <xf numFmtId="3" fontId="42" fillId="0" borderId="33" xfId="1615" applyNumberFormat="1" applyFont="1" applyBorder="1" applyAlignment="1">
      <alignment horizontal="center" vertical="center"/>
    </xf>
    <xf numFmtId="0" fontId="49" fillId="0" borderId="0" xfId="1614" applyFont="1" applyAlignment="1">
      <alignment horizontal="center" vertical="center"/>
    </xf>
    <xf numFmtId="0" fontId="92" fillId="0" borderId="0" xfId="1448" applyFont="1" applyAlignment="1">
      <alignment horizontal="center" wrapText="1"/>
    </xf>
    <xf numFmtId="0" fontId="47" fillId="0" borderId="0" xfId="1614" applyFont="1" applyAlignment="1">
      <alignment vertical="center"/>
    </xf>
    <xf numFmtId="0" fontId="57" fillId="0" borderId="0" xfId="1614" applyFont="1" applyAlignment="1">
      <alignment horizontal="center" vertical="center"/>
    </xf>
    <xf numFmtId="0" fontId="57" fillId="0" borderId="0" xfId="1614" applyFont="1" applyAlignment="1">
      <alignment vertical="center"/>
    </xf>
    <xf numFmtId="3" fontId="97" fillId="0" borderId="0" xfId="1614" applyNumberFormat="1" applyFont="1" applyAlignment="1">
      <alignment horizontal="center" vertical="center"/>
    </xf>
    <xf numFmtId="0" fontId="97" fillId="0" borderId="0" xfId="1614" applyFont="1" applyAlignment="1">
      <alignment horizontal="center" vertical="center"/>
    </xf>
    <xf numFmtId="0" fontId="16" fillId="0" borderId="0" xfId="1614" applyFont="1" applyAlignment="1">
      <alignment horizontal="center"/>
    </xf>
    <xf numFmtId="0" fontId="88" fillId="0" borderId="0" xfId="1614" applyFont="1" applyAlignment="1">
      <alignment horizontal="center" vertical="center"/>
    </xf>
    <xf numFmtId="0" fontId="88" fillId="0" borderId="0" xfId="1614" applyFont="1" applyAlignment="1">
      <alignment vertical="center"/>
    </xf>
    <xf numFmtId="207" fontId="41" fillId="0" borderId="21" xfId="2549" applyNumberFormat="1" applyFont="1" applyFill="1" applyBorder="1" applyAlignment="1">
      <alignment horizontal="center" vertical="center" wrapText="1"/>
    </xf>
    <xf numFmtId="0" fontId="91" fillId="0" borderId="0" xfId="1448" applyFont="1" applyAlignment="1">
      <alignment horizontal="center" wrapText="1"/>
    </xf>
    <xf numFmtId="0" fontId="92" fillId="0" borderId="0" xfId="1448" applyFont="1" applyAlignment="1">
      <alignment wrapText="1"/>
    </xf>
    <xf numFmtId="0" fontId="99" fillId="0" borderId="0" xfId="1448" applyFont="1" applyAlignment="1">
      <alignment horizontal="center" wrapText="1"/>
    </xf>
    <xf numFmtId="0" fontId="98" fillId="0" borderId="0" xfId="1448" applyFont="1" applyAlignment="1">
      <alignment horizontal="center" wrapText="1"/>
    </xf>
    <xf numFmtId="0" fontId="98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/>
    </xf>
    <xf numFmtId="0" fontId="91" fillId="0" borderId="0" xfId="1448" applyFont="1" applyAlignment="1">
      <alignment horizontal="center" vertical="center"/>
    </xf>
    <xf numFmtId="0" fontId="91" fillId="0" borderId="0" xfId="1448" applyFont="1" applyAlignment="1">
      <alignment vertical="center" wrapText="1"/>
    </xf>
    <xf numFmtId="0" fontId="91" fillId="0" borderId="0" xfId="527" applyNumberFormat="1" applyFont="1" applyFill="1" applyBorder="1" applyAlignment="1">
      <alignment horizontal="center" wrapText="1"/>
    </xf>
    <xf numFmtId="165" fontId="92" fillId="0" borderId="0" xfId="1448" applyNumberFormat="1" applyFont="1" applyAlignment="1">
      <alignment wrapText="1"/>
    </xf>
    <xf numFmtId="165" fontId="92" fillId="0" borderId="0" xfId="527" applyNumberFormat="1" applyFont="1" applyFill="1" applyAlignment="1">
      <alignment wrapText="1"/>
    </xf>
    <xf numFmtId="0" fontId="92" fillId="0" borderId="0" xfId="1448" applyFont="1" applyAlignment="1">
      <alignment vertical="top" wrapText="1"/>
    </xf>
    <xf numFmtId="0" fontId="91" fillId="0" borderId="0" xfId="527" applyNumberFormat="1" applyFont="1" applyFill="1" applyAlignment="1">
      <alignment horizontal="center" wrapText="1"/>
    </xf>
    <xf numFmtId="0" fontId="92" fillId="0" borderId="0" xfId="527" applyNumberFormat="1" applyFont="1" applyFill="1" applyAlignment="1">
      <alignment horizontal="center" wrapText="1"/>
    </xf>
    <xf numFmtId="169" fontId="41" fillId="0" borderId="21" xfId="717" applyNumberFormat="1" applyFont="1" applyFill="1" applyBorder="1" applyAlignment="1" applyProtection="1">
      <alignment horizontal="center" vertical="center" wrapText="1"/>
    </xf>
    <xf numFmtId="165" fontId="41" fillId="0" borderId="21" xfId="1451" applyNumberFormat="1" applyFont="1" applyBorder="1" applyAlignment="1">
      <alignment horizontal="center" vertical="center" wrapText="1"/>
    </xf>
    <xf numFmtId="169" fontId="53" fillId="0" borderId="21" xfId="717" applyNumberFormat="1" applyFont="1" applyFill="1" applyBorder="1" applyAlignment="1" applyProtection="1">
      <alignment horizontal="center" vertical="center" wrapText="1"/>
    </xf>
    <xf numFmtId="0" fontId="41" fillId="0" borderId="21" xfId="1451" applyFont="1" applyBorder="1" applyAlignment="1">
      <alignment horizontal="center" vertical="center" wrapText="1"/>
    </xf>
    <xf numFmtId="169" fontId="41" fillId="0" borderId="21" xfId="728" applyFont="1" applyFill="1" applyBorder="1" applyAlignment="1" applyProtection="1">
      <alignment horizontal="center" vertical="center" wrapText="1"/>
    </xf>
    <xf numFmtId="3" fontId="41" fillId="0" borderId="21" xfId="1450" applyNumberFormat="1" applyFont="1" applyBorder="1" applyAlignment="1">
      <alignment horizontal="center" vertical="center" wrapText="1"/>
    </xf>
    <xf numFmtId="169" fontId="41" fillId="0" borderId="21" xfId="728" applyFont="1" applyFill="1" applyBorder="1" applyAlignment="1">
      <alignment horizontal="center" vertical="center" wrapText="1"/>
    </xf>
    <xf numFmtId="0" fontId="40" fillId="0" borderId="3" xfId="1448" applyFont="1" applyBorder="1" applyAlignment="1">
      <alignment horizontal="center" vertical="center"/>
    </xf>
    <xf numFmtId="0" fontId="40" fillId="0" borderId="3" xfId="1448" applyFont="1" applyBorder="1" applyAlignment="1">
      <alignment horizontal="left" vertical="center" wrapText="1"/>
    </xf>
    <xf numFmtId="0" fontId="40" fillId="0" borderId="3" xfId="1448" applyFont="1" applyBorder="1" applyAlignment="1">
      <alignment horizontal="center" vertical="center" wrapText="1"/>
    </xf>
    <xf numFmtId="169" fontId="40" fillId="0" borderId="3" xfId="715" applyNumberFormat="1" applyFont="1" applyFill="1" applyBorder="1" applyAlignment="1">
      <alignment horizontal="center" vertical="center" wrapText="1"/>
    </xf>
    <xf numFmtId="3" fontId="126" fillId="32" borderId="3" xfId="1448" applyNumberFormat="1" applyFont="1" applyFill="1" applyBorder="1" applyAlignment="1">
      <alignment horizontal="center" vertical="center" wrapText="1"/>
    </xf>
    <xf numFmtId="0" fontId="41" fillId="0" borderId="21" xfId="1451" applyFont="1" applyBorder="1" applyAlignment="1">
      <alignment horizontal="center" vertical="center"/>
    </xf>
    <xf numFmtId="0" fontId="131" fillId="0" borderId="21" xfId="1451" applyFont="1" applyBorder="1" applyAlignment="1">
      <alignment horizontal="left" vertical="center" wrapText="1"/>
    </xf>
    <xf numFmtId="0" fontId="41" fillId="33" borderId="21" xfId="1451" applyFont="1" applyFill="1" applyBorder="1" applyAlignment="1">
      <alignment horizontal="left" vertical="center" wrapText="1"/>
    </xf>
    <xf numFmtId="0" fontId="41" fillId="0" borderId="21" xfId="1451" applyFont="1" applyBorder="1" applyAlignment="1">
      <alignment horizontal="left" wrapText="1"/>
    </xf>
    <xf numFmtId="0" fontId="41" fillId="0" borderId="21" xfId="1450" applyFont="1" applyBorder="1" applyAlignment="1">
      <alignment horizontal="center" vertical="center"/>
    </xf>
    <xf numFmtId="0" fontId="41" fillId="0" borderId="21" xfId="1450" applyFont="1" applyBorder="1" applyAlignment="1">
      <alignment horizontal="left" wrapText="1"/>
    </xf>
    <xf numFmtId="0" fontId="111" fillId="0" borderId="21" xfId="1615" applyFont="1" applyBorder="1" applyAlignment="1">
      <alignment vertical="top" wrapText="1"/>
    </xf>
    <xf numFmtId="167" fontId="125" fillId="0" borderId="0" xfId="523" applyFont="1" applyFill="1" applyAlignment="1">
      <alignment horizontal="left" wrapText="1"/>
    </xf>
    <xf numFmtId="0" fontId="5" fillId="0" borderId="0" xfId="2673" applyAlignment="1">
      <alignment vertical="center" wrapText="1"/>
    </xf>
    <xf numFmtId="0" fontId="5" fillId="0" borderId="0" xfId="2673" applyAlignment="1">
      <alignment horizontal="center" vertical="center" wrapText="1"/>
    </xf>
    <xf numFmtId="0" fontId="5" fillId="0" borderId="28" xfId="2673" applyBorder="1" applyAlignment="1">
      <alignment vertical="center" wrapText="1"/>
    </xf>
    <xf numFmtId="0" fontId="129" fillId="0" borderId="0" xfId="2673" applyFont="1" applyAlignment="1">
      <alignment vertical="center" wrapText="1"/>
    </xf>
    <xf numFmtId="0" fontId="94" fillId="0" borderId="0" xfId="2673" applyFont="1" applyAlignment="1">
      <alignment vertical="center" wrapText="1"/>
    </xf>
    <xf numFmtId="2" fontId="102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29" fillId="0" borderId="28" xfId="2673" applyFont="1" applyBorder="1" applyAlignment="1">
      <alignment vertical="center" wrapText="1"/>
    </xf>
    <xf numFmtId="0" fontId="7" fillId="0" borderId="21" xfId="1615" applyFont="1" applyBorder="1" applyAlignment="1">
      <alignment horizontal="center" vertical="center"/>
    </xf>
    <xf numFmtId="0" fontId="117" fillId="33" borderId="0" xfId="1451" applyFont="1" applyFill="1"/>
    <xf numFmtId="0" fontId="117" fillId="33" borderId="26" xfId="1451" applyFont="1" applyFill="1" applyBorder="1"/>
    <xf numFmtId="0" fontId="117" fillId="33" borderId="36" xfId="1451" applyFont="1" applyFill="1" applyBorder="1"/>
    <xf numFmtId="0" fontId="117" fillId="33" borderId="48" xfId="1451" applyFont="1" applyFill="1" applyBorder="1"/>
    <xf numFmtId="0" fontId="117" fillId="33" borderId="28" xfId="1451" applyFont="1" applyFill="1" applyBorder="1"/>
    <xf numFmtId="0" fontId="117" fillId="33" borderId="37" xfId="1451" applyFont="1" applyFill="1" applyBorder="1"/>
    <xf numFmtId="0" fontId="118" fillId="33" borderId="0" xfId="1451" applyFont="1" applyFill="1" applyAlignment="1">
      <alignment vertical="center"/>
    </xf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horizontal="center" vertical="center"/>
    </xf>
    <xf numFmtId="0" fontId="121" fillId="33" borderId="0" xfId="1451" applyFont="1" applyFill="1"/>
    <xf numFmtId="0" fontId="122" fillId="33" borderId="0" xfId="1451" applyFont="1" applyFill="1"/>
    <xf numFmtId="0" fontId="113" fillId="33" borderId="0" xfId="1451" applyFont="1" applyFill="1" applyAlignment="1">
      <alignment vertical="center"/>
    </xf>
    <xf numFmtId="0" fontId="113" fillId="33" borderId="37" xfId="1451" applyFont="1" applyFill="1" applyBorder="1" applyAlignment="1">
      <alignment vertical="center"/>
    </xf>
    <xf numFmtId="0" fontId="122" fillId="33" borderId="0" xfId="1451" applyFont="1" applyFill="1" applyAlignment="1">
      <alignment horizontal="center"/>
    </xf>
    <xf numFmtId="0" fontId="113" fillId="33" borderId="0" xfId="1451" applyFont="1" applyFill="1" applyAlignment="1">
      <alignment horizontal="center" vertical="center"/>
    </xf>
    <xf numFmtId="0" fontId="113" fillId="33" borderId="37" xfId="1451" applyFont="1" applyFill="1" applyBorder="1" applyAlignment="1">
      <alignment horizontal="center" vertical="center"/>
    </xf>
    <xf numFmtId="0" fontId="123" fillId="33" borderId="0" xfId="1451" applyFont="1" applyFill="1" applyAlignment="1">
      <alignment vertical="center"/>
    </xf>
    <xf numFmtId="0" fontId="123" fillId="33" borderId="37" xfId="1451" applyFont="1" applyFill="1" applyBorder="1" applyAlignment="1">
      <alignment vertical="center"/>
    </xf>
    <xf numFmtId="0" fontId="117" fillId="33" borderId="34" xfId="1451" applyFont="1" applyFill="1" applyBorder="1"/>
    <xf numFmtId="0" fontId="117" fillId="33" borderId="19" xfId="1451" applyFont="1" applyFill="1" applyBorder="1"/>
    <xf numFmtId="0" fontId="113" fillId="33" borderId="19" xfId="1451" applyFont="1" applyFill="1" applyBorder="1" applyAlignment="1">
      <alignment vertical="center"/>
    </xf>
    <xf numFmtId="0" fontId="113" fillId="33" borderId="19" xfId="1451" applyFont="1" applyFill="1" applyBorder="1" applyAlignment="1">
      <alignment horizontal="center" vertical="center"/>
    </xf>
    <xf numFmtId="0" fontId="113" fillId="33" borderId="31" xfId="1451" applyFont="1" applyFill="1" applyBorder="1" applyAlignment="1">
      <alignment vertical="center"/>
    </xf>
    <xf numFmtId="0" fontId="117" fillId="33" borderId="31" xfId="1451" applyFont="1" applyFill="1" applyBorder="1"/>
    <xf numFmtId="0" fontId="142" fillId="0" borderId="7" xfId="2673" applyFont="1" applyBorder="1" applyAlignment="1">
      <alignment horizontal="center" vertical="center" wrapText="1"/>
    </xf>
    <xf numFmtId="0" fontId="94" fillId="0" borderId="0" xfId="2673" applyFont="1" applyAlignment="1">
      <alignment horizontal="left" vertical="center" wrapText="1"/>
    </xf>
    <xf numFmtId="0" fontId="50" fillId="0" borderId="21" xfId="1450" applyFont="1" applyBorder="1" applyAlignment="1">
      <alignment horizontal="center" wrapText="1"/>
    </xf>
    <xf numFmtId="0" fontId="41" fillId="0" borderId="21" xfId="1450" applyFont="1" applyBorder="1" applyAlignment="1">
      <alignment horizontal="center" vertical="center" wrapText="1"/>
    </xf>
    <xf numFmtId="3" fontId="41" fillId="0" borderId="21" xfId="1451" applyNumberFormat="1" applyFont="1" applyBorder="1" applyAlignment="1">
      <alignment horizontal="center" vertical="center" wrapText="1"/>
    </xf>
    <xf numFmtId="165" fontId="41" fillId="0" borderId="21" xfId="1450" applyNumberFormat="1" applyFont="1" applyBorder="1" applyAlignment="1">
      <alignment horizontal="center" vertical="center" wrapText="1"/>
    </xf>
    <xf numFmtId="3" fontId="41" fillId="0" borderId="0" xfId="1451" applyNumberFormat="1" applyFont="1" applyAlignment="1">
      <alignment horizontal="center" vertical="center" wrapText="1"/>
    </xf>
    <xf numFmtId="0" fontId="18" fillId="0" borderId="0" xfId="1649"/>
    <xf numFmtId="3" fontId="131" fillId="0" borderId="21" xfId="1451" applyNumberFormat="1" applyFont="1" applyBorder="1" applyAlignment="1">
      <alignment horizontal="center" vertical="center" wrapText="1"/>
    </xf>
    <xf numFmtId="3" fontId="7" fillId="0" borderId="21" xfId="1615" applyNumberFormat="1" applyFont="1" applyBorder="1" applyAlignment="1">
      <alignment horizontal="center" vertical="center"/>
    </xf>
    <xf numFmtId="0" fontId="6" fillId="0" borderId="0" xfId="2670" applyAlignment="1">
      <alignment horizontal="center" vertical="center"/>
    </xf>
    <xf numFmtId="0" fontId="138" fillId="36" borderId="0" xfId="2670" applyFont="1" applyFill="1" applyAlignment="1">
      <alignment horizontal="left" vertical="center"/>
    </xf>
    <xf numFmtId="0" fontId="138" fillId="36" borderId="0" xfId="2670" applyFont="1" applyFill="1" applyAlignment="1">
      <alignment horizontal="center" vertical="center"/>
    </xf>
    <xf numFmtId="0" fontId="139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right" vertical="center"/>
    </xf>
    <xf numFmtId="9" fontId="141" fillId="36" borderId="0" xfId="2671" applyFont="1" applyFill="1" applyBorder="1" applyAlignment="1" applyProtection="1">
      <alignment horizontal="right" vertical="center"/>
    </xf>
    <xf numFmtId="167" fontId="140" fillId="36" borderId="0" xfId="2672" applyFont="1" applyFill="1" applyBorder="1" applyAlignment="1" applyProtection="1">
      <alignment horizontal="right" vertical="center"/>
    </xf>
    <xf numFmtId="167" fontId="141" fillId="36" borderId="0" xfId="2672" applyFont="1" applyFill="1" applyBorder="1" applyAlignment="1" applyProtection="1">
      <alignment horizontal="right" vertical="center"/>
    </xf>
    <xf numFmtId="10" fontId="141" fillId="36" borderId="0" xfId="2671" applyNumberFormat="1" applyFont="1" applyFill="1" applyBorder="1" applyAlignment="1" applyProtection="1">
      <alignment horizontal="right" vertical="center"/>
    </xf>
    <xf numFmtId="169" fontId="140" fillId="36" borderId="0" xfId="2672" applyNumberFormat="1" applyFont="1" applyFill="1" applyBorder="1" applyAlignment="1" applyProtection="1">
      <alignment horizontal="right" vertical="center"/>
    </xf>
    <xf numFmtId="0" fontId="134" fillId="0" borderId="0" xfId="2670" applyFont="1" applyAlignment="1">
      <alignment horizontal="left" vertical="center"/>
    </xf>
    <xf numFmtId="0" fontId="137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09" fillId="0" borderId="0" xfId="1538"/>
    <xf numFmtId="167" fontId="109" fillId="0" borderId="0" xfId="1538" applyNumberFormat="1"/>
    <xf numFmtId="0" fontId="58" fillId="0" borderId="0" xfId="1538" applyFont="1"/>
    <xf numFmtId="0" fontId="124" fillId="0" borderId="0" xfId="1538" applyFont="1"/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vertical="center"/>
    </xf>
    <xf numFmtId="0" fontId="109" fillId="38" borderId="0" xfId="1538" applyFill="1"/>
    <xf numFmtId="0" fontId="58" fillId="38" borderId="0" xfId="1538" applyFont="1" applyFill="1"/>
    <xf numFmtId="0" fontId="100" fillId="0" borderId="0" xfId="1538" applyFont="1" applyAlignment="1">
      <alignment horizontal="center" vertical="center" wrapText="1"/>
    </xf>
    <xf numFmtId="0" fontId="109" fillId="38" borderId="3" xfId="1538" applyFill="1" applyBorder="1" applyAlignment="1">
      <alignment horizontal="center" vertical="center"/>
    </xf>
    <xf numFmtId="0" fontId="109" fillId="0" borderId="0" xfId="1538" applyAlignment="1">
      <alignment horizontal="center" vertical="center"/>
    </xf>
    <xf numFmtId="1" fontId="109" fillId="0" borderId="0" xfId="1538" applyNumberFormat="1"/>
    <xf numFmtId="0" fontId="109" fillId="0" borderId="3" xfId="1538" applyBorder="1"/>
    <xf numFmtId="167" fontId="0" fillId="0" borderId="3" xfId="1026" applyFont="1" applyFill="1" applyBorder="1" applyProtection="1"/>
    <xf numFmtId="167" fontId="109" fillId="0" borderId="3" xfId="1538" applyNumberFormat="1" applyBorder="1"/>
    <xf numFmtId="167" fontId="135" fillId="0" borderId="3" xfId="1026" applyFont="1" applyBorder="1" applyProtection="1"/>
    <xf numFmtId="167" fontId="0" fillId="0" borderId="3" xfId="1026" applyFont="1" applyBorder="1" applyProtection="1"/>
    <xf numFmtId="167" fontId="124" fillId="0" borderId="3" xfId="1538" applyNumberFormat="1" applyFont="1" applyBorder="1"/>
    <xf numFmtId="0" fontId="58" fillId="0" borderId="3" xfId="1538" applyFont="1" applyBorder="1"/>
    <xf numFmtId="165" fontId="109" fillId="0" borderId="3" xfId="1538" applyNumberFormat="1" applyBorder="1"/>
    <xf numFmtId="167" fontId="101" fillId="0" borderId="3" xfId="1026" applyFont="1" applyFill="1" applyBorder="1" applyProtection="1"/>
    <xf numFmtId="0" fontId="46" fillId="0" borderId="0" xfId="1538" applyFont="1"/>
    <xf numFmtId="0" fontId="46" fillId="0" borderId="3" xfId="1538" applyFont="1" applyBorder="1" applyAlignment="1">
      <alignment horizontal="center"/>
    </xf>
    <xf numFmtId="167" fontId="46" fillId="0" borderId="3" xfId="1538" applyNumberFormat="1" applyFont="1" applyBorder="1"/>
    <xf numFmtId="0" fontId="109" fillId="29" borderId="0" xfId="1538" applyFill="1"/>
    <xf numFmtId="0" fontId="46" fillId="0" borderId="0" xfId="1538" applyFont="1" applyAlignment="1">
      <alignment horizontal="center"/>
    </xf>
    <xf numFmtId="167" fontId="46" fillId="0" borderId="0" xfId="1538" applyNumberFormat="1" applyFont="1"/>
    <xf numFmtId="0" fontId="109" fillId="29" borderId="3" xfId="1538" applyFill="1" applyBorder="1"/>
    <xf numFmtId="169" fontId="109" fillId="29" borderId="3" xfId="1538" applyNumberFormat="1" applyFill="1" applyBorder="1" applyAlignment="1">
      <alignment horizontal="right"/>
    </xf>
    <xf numFmtId="43" fontId="109" fillId="0" borderId="0" xfId="1538" applyNumberFormat="1"/>
    <xf numFmtId="167" fontId="109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09" fillId="29" borderId="3" xfId="1538" applyNumberFormat="1" applyFill="1" applyBorder="1"/>
    <xf numFmtId="10" fontId="109" fillId="29" borderId="3" xfId="1538" applyNumberFormat="1" applyFill="1" applyBorder="1"/>
    <xf numFmtId="0" fontId="143" fillId="0" borderId="0" xfId="1614" applyFont="1" applyAlignment="1">
      <alignment horizontal="center"/>
    </xf>
    <xf numFmtId="0" fontId="144" fillId="0" borderId="0" xfId="1614" applyFont="1" applyAlignment="1">
      <alignment horizontal="center" vertical="center"/>
    </xf>
    <xf numFmtId="0" fontId="145" fillId="0" borderId="0" xfId="1614" applyFont="1" applyAlignment="1">
      <alignment horizontal="left" vertical="center"/>
    </xf>
    <xf numFmtId="0" fontId="145" fillId="0" borderId="0" xfId="1614" applyFont="1" applyAlignment="1">
      <alignment vertical="center"/>
    </xf>
    <xf numFmtId="0" fontId="146" fillId="0" borderId="0" xfId="1614" applyFont="1" applyAlignment="1">
      <alignment horizontal="center" vertical="center"/>
    </xf>
    <xf numFmtId="3" fontId="144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 vertical="center"/>
    </xf>
    <xf numFmtId="0" fontId="146" fillId="0" borderId="0" xfId="1614" applyFont="1" applyAlignment="1">
      <alignment horizontal="center"/>
    </xf>
    <xf numFmtId="0" fontId="144" fillId="0" borderId="0" xfId="1614" applyFont="1" applyAlignment="1">
      <alignment horizontal="center"/>
    </xf>
    <xf numFmtId="3" fontId="143" fillId="0" borderId="0" xfId="1614" applyNumberFormat="1" applyFont="1" applyAlignment="1">
      <alignment horizontal="center"/>
    </xf>
    <xf numFmtId="0" fontId="148" fillId="0" borderId="0" xfId="1614" applyFont="1"/>
    <xf numFmtId="167" fontId="148" fillId="0" borderId="0" xfId="1652" applyNumberFormat="1" applyFont="1"/>
    <xf numFmtId="0" fontId="148" fillId="0" borderId="0" xfId="1614" applyFont="1" applyAlignment="1">
      <alignment horizontal="left" vertical="center"/>
    </xf>
    <xf numFmtId="0" fontId="148" fillId="0" borderId="0" xfId="1614" applyFont="1" applyAlignment="1">
      <alignment horizontal="center" vertical="center"/>
    </xf>
    <xf numFmtId="3" fontId="145" fillId="0" borderId="0" xfId="1614" applyNumberFormat="1" applyFont="1" applyAlignment="1">
      <alignment horizontal="left" vertical="center"/>
    </xf>
    <xf numFmtId="0" fontId="148" fillId="0" borderId="0" xfId="1614" applyFont="1" applyAlignment="1">
      <alignment horizontal="center"/>
    </xf>
    <xf numFmtId="0" fontId="145" fillId="0" borderId="0" xfId="1614" applyFont="1" applyAlignment="1">
      <alignment horizontal="center"/>
    </xf>
    <xf numFmtId="0" fontId="148" fillId="0" borderId="0" xfId="1614" applyFont="1" applyAlignment="1">
      <alignment horizontal="center" vertical="center" wrapText="1"/>
    </xf>
    <xf numFmtId="0" fontId="145" fillId="0" borderId="0" xfId="1614" applyFont="1" applyAlignment="1">
      <alignment horizontal="center" vertical="center" wrapText="1"/>
    </xf>
    <xf numFmtId="3" fontId="144" fillId="0" borderId="0" xfId="1614" applyNumberFormat="1" applyFont="1" applyAlignment="1">
      <alignment vertical="center"/>
    </xf>
    <xf numFmtId="0" fontId="145" fillId="0" borderId="20" xfId="1615" applyFont="1" applyBorder="1" applyAlignment="1">
      <alignment horizontal="center" vertical="center"/>
    </xf>
    <xf numFmtId="0" fontId="145" fillId="0" borderId="21" xfId="1615" applyFont="1" applyBorder="1" applyAlignment="1">
      <alignment horizontal="left" vertical="center" wrapText="1"/>
    </xf>
    <xf numFmtId="0" fontId="144" fillId="0" borderId="21" xfId="1614" applyFont="1" applyBorder="1" applyAlignment="1">
      <alignment horizontal="center" vertical="center" wrapText="1"/>
    </xf>
    <xf numFmtId="0" fontId="151" fillId="0" borderId="21" xfId="1614" applyFont="1" applyBorder="1" applyAlignment="1">
      <alignment horizontal="center" vertical="center"/>
    </xf>
    <xf numFmtId="3" fontId="151" fillId="0" borderId="21" xfId="1614" applyNumberFormat="1" applyFont="1" applyBorder="1" applyAlignment="1">
      <alignment horizontal="center" vertical="center"/>
    </xf>
    <xf numFmtId="3" fontId="144" fillId="0" borderId="21" xfId="1614" applyNumberFormat="1" applyFont="1" applyBorder="1" applyAlignment="1">
      <alignment horizontal="center" vertical="center"/>
    </xf>
    <xf numFmtId="3" fontId="144" fillId="0" borderId="22" xfId="1614" applyNumberFormat="1" applyFont="1" applyBorder="1" applyAlignment="1">
      <alignment horizontal="center" vertical="center"/>
    </xf>
    <xf numFmtId="3" fontId="144" fillId="0" borderId="0" xfId="1614" applyNumberFormat="1" applyFont="1" applyAlignment="1">
      <alignment horizontal="center"/>
    </xf>
    <xf numFmtId="3" fontId="143" fillId="0" borderId="0" xfId="1614" applyNumberFormat="1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5" fillId="0" borderId="20" xfId="1653" applyFont="1" applyBorder="1" applyAlignment="1">
      <alignment horizontal="center" vertical="center"/>
    </xf>
    <xf numFmtId="0" fontId="145" fillId="0" borderId="21" xfId="1451" applyFont="1" applyBorder="1" applyAlignment="1">
      <alignment horizontal="left" vertical="center" wrapText="1"/>
    </xf>
    <xf numFmtId="0" fontId="146" fillId="0" borderId="21" xfId="1653" applyFont="1" applyBorder="1" applyAlignment="1">
      <alignment horizontal="center" vertical="center"/>
    </xf>
    <xf numFmtId="3" fontId="147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/>
    </xf>
    <xf numFmtId="0" fontId="146" fillId="0" borderId="20" xfId="1653" applyFont="1" applyBorder="1" applyAlignment="1">
      <alignment horizontal="center" vertical="center"/>
    </xf>
    <xf numFmtId="0" fontId="146" fillId="0" borderId="21" xfId="1653" applyFont="1" applyBorder="1" applyAlignment="1">
      <alignment vertical="center" wrapText="1"/>
    </xf>
    <xf numFmtId="0" fontId="146" fillId="0" borderId="21" xfId="1652" applyFont="1" applyBorder="1" applyAlignment="1">
      <alignment vertical="center" wrapText="1"/>
    </xf>
    <xf numFmtId="0" fontId="144" fillId="0" borderId="20" xfId="1652" applyFont="1" applyBorder="1" applyAlignment="1">
      <alignment horizontal="center" vertical="center"/>
    </xf>
    <xf numFmtId="0" fontId="148" fillId="0" borderId="20" xfId="1652" applyFont="1" applyBorder="1" applyAlignment="1">
      <alignment horizontal="center" vertical="center"/>
    </xf>
    <xf numFmtId="0" fontId="148" fillId="0" borderId="21" xfId="1652" applyFont="1" applyBorder="1" applyAlignment="1">
      <alignment vertical="center" wrapText="1"/>
    </xf>
    <xf numFmtId="0" fontId="151" fillId="0" borderId="21" xfId="1652" applyFont="1" applyBorder="1" applyAlignment="1">
      <alignment horizontal="center" vertical="center"/>
    </xf>
    <xf numFmtId="0" fontId="151" fillId="0" borderId="49" xfId="1652" applyFont="1" applyBorder="1" applyAlignment="1">
      <alignment horizontal="center" vertical="center"/>
    </xf>
    <xf numFmtId="0" fontId="151" fillId="0" borderId="3" xfId="1652" applyFont="1" applyBorder="1" applyAlignment="1">
      <alignment vertical="center" wrapText="1"/>
    </xf>
    <xf numFmtId="0" fontId="144" fillId="0" borderId="3" xfId="1614" applyFont="1" applyBorder="1" applyAlignment="1">
      <alignment horizontal="center" vertical="center" wrapText="1"/>
    </xf>
    <xf numFmtId="0" fontId="151" fillId="0" borderId="3" xfId="1614" applyFont="1" applyBorder="1" applyAlignment="1">
      <alignment horizontal="center" vertical="center"/>
    </xf>
    <xf numFmtId="0" fontId="151" fillId="0" borderId="3" xfId="1652" applyFont="1" applyBorder="1" applyAlignment="1">
      <alignment horizontal="center" vertical="center"/>
    </xf>
    <xf numFmtId="207" fontId="151" fillId="0" borderId="3" xfId="1614" applyNumberFormat="1" applyFont="1" applyBorder="1" applyAlignment="1">
      <alignment horizontal="center" vertical="center"/>
    </xf>
    <xf numFmtId="3" fontId="144" fillId="0" borderId="3" xfId="1614" applyNumberFormat="1" applyFont="1" applyBorder="1" applyAlignment="1">
      <alignment horizontal="center" vertical="center"/>
    </xf>
    <xf numFmtId="0" fontId="151" fillId="0" borderId="20" xfId="1652" applyFont="1" applyBorder="1" applyAlignment="1">
      <alignment horizontal="center" vertical="center"/>
    </xf>
    <xf numFmtId="0" fontId="151" fillId="0" borderId="21" xfId="1652" applyFont="1" applyBorder="1" applyAlignment="1">
      <alignment vertical="center" wrapText="1"/>
    </xf>
    <xf numFmtId="0" fontId="144" fillId="0" borderId="23" xfId="1614" applyFont="1" applyBorder="1" applyAlignment="1">
      <alignment horizontal="center" vertical="center"/>
    </xf>
    <xf numFmtId="0" fontId="144" fillId="0" borderId="24" xfId="1614" applyFont="1" applyBorder="1" applyAlignment="1">
      <alignment horizontal="left" vertical="center"/>
    </xf>
    <xf numFmtId="0" fontId="144" fillId="0" borderId="24" xfId="1614" applyFont="1" applyBorder="1" applyAlignment="1">
      <alignment vertical="center"/>
    </xf>
    <xf numFmtId="0" fontId="151" fillId="0" borderId="24" xfId="1614" applyFont="1" applyBorder="1" applyAlignment="1">
      <alignment horizontal="center" vertical="center"/>
    </xf>
    <xf numFmtId="3" fontId="144" fillId="0" borderId="24" xfId="1614" applyNumberFormat="1" applyFont="1" applyBorder="1" applyAlignment="1">
      <alignment horizontal="center" vertical="center"/>
    </xf>
    <xf numFmtId="3" fontId="144" fillId="0" borderId="25" xfId="1614" applyNumberFormat="1" applyFont="1" applyBorder="1" applyAlignment="1">
      <alignment horizontal="center" vertical="center"/>
    </xf>
    <xf numFmtId="0" fontId="146" fillId="0" borderId="26" xfId="1614" applyFont="1" applyBorder="1" applyAlignment="1">
      <alignment horizontal="center" vertical="center"/>
    </xf>
    <xf numFmtId="37" fontId="148" fillId="0" borderId="27" xfId="1614" applyNumberFormat="1" applyFont="1" applyBorder="1" applyAlignment="1">
      <alignment horizontal="center"/>
    </xf>
    <xf numFmtId="37" fontId="146" fillId="0" borderId="27" xfId="1614" applyNumberFormat="1" applyFont="1" applyBorder="1" applyAlignment="1">
      <alignment horizontal="center"/>
    </xf>
    <xf numFmtId="0" fontId="146" fillId="0" borderId="28" xfId="1614" applyFont="1" applyBorder="1" applyAlignment="1">
      <alignment horizontal="center" vertical="center"/>
    </xf>
    <xf numFmtId="37" fontId="148" fillId="0" borderId="29" xfId="1614" applyNumberFormat="1" applyFont="1" applyBorder="1" applyAlignment="1">
      <alignment horizontal="center"/>
    </xf>
    <xf numFmtId="37" fontId="146" fillId="0" borderId="29" xfId="1614" applyNumberFormat="1" applyFont="1" applyBorder="1" applyAlignment="1">
      <alignment horizontal="center"/>
    </xf>
    <xf numFmtId="37" fontId="152" fillId="0" borderId="30" xfId="1614" applyNumberFormat="1" applyFont="1" applyBorder="1" applyAlignment="1">
      <alignment horizontal="center"/>
    </xf>
    <xf numFmtId="37" fontId="152" fillId="0" borderId="32" xfId="1614" applyNumberFormat="1" applyFont="1" applyBorder="1" applyAlignment="1">
      <alignment horizontal="center"/>
    </xf>
    <xf numFmtId="0" fontId="152" fillId="0" borderId="34" xfId="1614" applyFont="1" applyBorder="1" applyAlignment="1">
      <alignment vertical="center"/>
    </xf>
    <xf numFmtId="0" fontId="146" fillId="0" borderId="19" xfId="1614" applyFont="1" applyBorder="1"/>
    <xf numFmtId="0" fontId="146" fillId="0" borderId="19" xfId="1614" applyFont="1" applyBorder="1" applyAlignment="1">
      <alignment horizontal="center"/>
    </xf>
    <xf numFmtId="0" fontId="146" fillId="0" borderId="19" xfId="1614" applyFont="1" applyBorder="1" applyAlignment="1">
      <alignment horizontal="right"/>
    </xf>
    <xf numFmtId="0" fontId="146" fillId="0" borderId="31" xfId="1614" applyFont="1" applyBorder="1" applyAlignment="1">
      <alignment horizontal="right"/>
    </xf>
    <xf numFmtId="0" fontId="144" fillId="0" borderId="0" xfId="1614" applyFont="1" applyAlignment="1">
      <alignment horizontal="left" vertical="center"/>
    </xf>
    <xf numFmtId="0" fontId="144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165" fontId="151" fillId="0" borderId="0" xfId="1652" applyNumberFormat="1" applyFont="1" applyAlignment="1">
      <alignment vertical="center"/>
    </xf>
    <xf numFmtId="0" fontId="146" fillId="0" borderId="0" xfId="1652" applyFont="1" applyAlignment="1">
      <alignment horizontal="right"/>
    </xf>
    <xf numFmtId="0" fontId="153" fillId="0" borderId="0" xfId="1644" applyFont="1" applyAlignment="1">
      <alignment horizontal="center" vertical="center"/>
    </xf>
    <xf numFmtId="0" fontId="151" fillId="0" borderId="0" xfId="1652" applyFont="1" applyAlignment="1">
      <alignment vertical="center"/>
    </xf>
    <xf numFmtId="0" fontId="154" fillId="39" borderId="71" xfId="2670" applyFont="1" applyFill="1" applyBorder="1" applyAlignment="1">
      <alignment horizontal="left" vertical="center"/>
    </xf>
    <xf numFmtId="0" fontId="154" fillId="39" borderId="72" xfId="2670" applyFont="1" applyFill="1" applyBorder="1" applyAlignment="1">
      <alignment horizontal="center" vertical="center"/>
    </xf>
    <xf numFmtId="0" fontId="154" fillId="39" borderId="74" xfId="2670" applyFont="1" applyFill="1" applyBorder="1" applyAlignment="1">
      <alignment horizontal="left" vertical="center"/>
    </xf>
    <xf numFmtId="0" fontId="154" fillId="39" borderId="70" xfId="2670" applyFont="1" applyFill="1" applyBorder="1" applyAlignment="1">
      <alignment horizontal="center" vertical="center"/>
    </xf>
    <xf numFmtId="0" fontId="154" fillId="39" borderId="76" xfId="2670" applyFont="1" applyFill="1" applyBorder="1" applyAlignment="1">
      <alignment horizontal="left" vertical="center"/>
    </xf>
    <xf numFmtId="0" fontId="154" fillId="39" borderId="77" xfId="2670" applyFont="1" applyFill="1" applyBorder="1" applyAlignment="1">
      <alignment horizontal="center" vertical="center"/>
    </xf>
    <xf numFmtId="167" fontId="136" fillId="40" borderId="73" xfId="2672" applyFont="1" applyFill="1" applyBorder="1" applyAlignment="1" applyProtection="1">
      <alignment horizontal="right" vertical="center" wrapText="1"/>
      <protection locked="0"/>
    </xf>
    <xf numFmtId="167" fontId="136" fillId="40" borderId="75" xfId="2672" applyFont="1" applyFill="1" applyBorder="1" applyAlignment="1" applyProtection="1">
      <alignment horizontal="right" vertical="center"/>
      <protection locked="0"/>
    </xf>
    <xf numFmtId="169" fontId="136" fillId="40" borderId="75" xfId="2672" applyNumberFormat="1" applyFont="1" applyFill="1" applyBorder="1" applyAlignment="1" applyProtection="1">
      <alignment horizontal="right" vertical="center"/>
      <protection locked="0"/>
    </xf>
    <xf numFmtId="169" fontId="136" fillId="40" borderId="78" xfId="2672" applyNumberFormat="1" applyFont="1" applyFill="1" applyBorder="1" applyAlignment="1" applyProtection="1">
      <alignment horizontal="right" vertical="center"/>
      <protection locked="0"/>
    </xf>
    <xf numFmtId="1" fontId="104" fillId="0" borderId="0" xfId="2673" applyNumberFormat="1" applyFont="1" applyAlignment="1">
      <alignment horizontal="center" vertical="center" wrapText="1"/>
    </xf>
    <xf numFmtId="1" fontId="102" fillId="0" borderId="0" xfId="2673" applyNumberFormat="1" applyFont="1" applyAlignment="1">
      <alignment horizontal="center" vertical="center" wrapText="1"/>
    </xf>
    <xf numFmtId="0" fontId="103" fillId="0" borderId="61" xfId="2673" applyFont="1" applyBorder="1" applyAlignment="1">
      <alignment horizontal="center" vertical="center" wrapText="1"/>
    </xf>
    <xf numFmtId="0" fontId="157" fillId="0" borderId="0" xfId="2673" applyFont="1" applyAlignment="1">
      <alignment horizontal="center" vertical="center" wrapText="1"/>
    </xf>
    <xf numFmtId="0" fontId="158" fillId="0" borderId="0" xfId="2673" applyFont="1" applyAlignment="1">
      <alignment vertical="center" wrapText="1"/>
    </xf>
    <xf numFmtId="0" fontId="159" fillId="0" borderId="0" xfId="2673" applyFont="1" applyAlignment="1">
      <alignment vertical="center" wrapText="1"/>
    </xf>
    <xf numFmtId="0" fontId="142" fillId="35" borderId="82" xfId="2673" applyFont="1" applyFill="1" applyBorder="1" applyAlignment="1">
      <alignment vertical="center" wrapText="1"/>
    </xf>
    <xf numFmtId="0" fontId="142" fillId="43" borderId="82" xfId="2673" applyFont="1" applyFill="1" applyBorder="1" applyAlignment="1">
      <alignment vertical="center" wrapText="1"/>
    </xf>
    <xf numFmtId="0" fontId="156" fillId="0" borderId="0" xfId="2673" applyFont="1" applyAlignment="1">
      <alignment vertical="center" wrapText="1"/>
    </xf>
    <xf numFmtId="0" fontId="162" fillId="0" borderId="0" xfId="2673" applyFont="1" applyAlignment="1">
      <alignment horizontal="center" vertical="center" wrapText="1"/>
    </xf>
    <xf numFmtId="1" fontId="163" fillId="0" borderId="0" xfId="2673" applyNumberFormat="1" applyFont="1" applyAlignment="1">
      <alignment horizontal="center" vertical="center" wrapText="1"/>
    </xf>
    <xf numFmtId="0" fontId="103" fillId="0" borderId="0" xfId="2673" applyFont="1" applyAlignment="1">
      <alignment horizontal="center" vertical="center" wrapText="1"/>
    </xf>
    <xf numFmtId="0" fontId="130" fillId="35" borderId="32" xfId="2673" applyFont="1" applyFill="1" applyBorder="1" applyAlignment="1">
      <alignment vertical="center" wrapText="1"/>
    </xf>
    <xf numFmtId="0" fontId="130" fillId="43" borderId="32" xfId="2673" applyFont="1" applyFill="1" applyBorder="1" applyAlignment="1">
      <alignment vertical="center" wrapText="1"/>
    </xf>
    <xf numFmtId="0" fontId="130" fillId="0" borderId="0" xfId="2673" applyFont="1" applyAlignment="1">
      <alignment vertical="center" wrapText="1"/>
    </xf>
    <xf numFmtId="2" fontId="130" fillId="0" borderId="0" xfId="2673" applyNumberFormat="1" applyFont="1" applyAlignment="1">
      <alignment horizontal="center" vertical="center" wrapText="1"/>
    </xf>
    <xf numFmtId="0" fontId="103" fillId="0" borderId="3" xfId="2673" applyFont="1" applyBorder="1" applyAlignment="1">
      <alignment horizontal="center" vertical="center" wrapText="1"/>
    </xf>
    <xf numFmtId="0" fontId="142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5" fillId="0" borderId="0" xfId="2673" applyNumberFormat="1" applyAlignment="1">
      <alignment vertical="center" wrapText="1"/>
    </xf>
    <xf numFmtId="1" fontId="5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0" fillId="0" borderId="0" xfId="2675" applyFont="1" applyFill="1" applyBorder="1" applyAlignment="1">
      <alignment horizontal="center" vertical="center" wrapText="1"/>
    </xf>
    <xf numFmtId="1" fontId="130" fillId="0" borderId="50" xfId="2673" applyNumberFormat="1" applyFont="1" applyBorder="1" applyAlignment="1">
      <alignment vertical="center" wrapText="1"/>
    </xf>
    <xf numFmtId="0" fontId="164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2" fontId="164" fillId="0" borderId="0" xfId="2673" applyNumberFormat="1" applyFont="1" applyAlignment="1">
      <alignment horizontal="center" vertical="center" wrapText="1"/>
    </xf>
    <xf numFmtId="1" fontId="164" fillId="0" borderId="0" xfId="2673" applyNumberFormat="1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42" fillId="35" borderId="51" xfId="2673" applyFont="1" applyFill="1" applyBorder="1" applyAlignment="1">
      <alignment vertical="center" wrapText="1"/>
    </xf>
    <xf numFmtId="0" fontId="142" fillId="0" borderId="53" xfId="2673" applyFont="1" applyBorder="1" applyAlignment="1">
      <alignment horizontal="center" vertical="center" wrapText="1"/>
    </xf>
    <xf numFmtId="0" fontId="142" fillId="35" borderId="49" xfId="2673" applyFont="1" applyFill="1" applyBorder="1" applyAlignment="1">
      <alignment vertical="center" wrapText="1"/>
    </xf>
    <xf numFmtId="1" fontId="130" fillId="0" borderId="58" xfId="2673" applyNumberFormat="1" applyFont="1" applyBorder="1" applyAlignment="1">
      <alignment vertical="center" wrapText="1"/>
    </xf>
    <xf numFmtId="0" fontId="130" fillId="35" borderId="49" xfId="2673" applyFont="1" applyFill="1" applyBorder="1" applyAlignment="1">
      <alignment vertical="center" wrapText="1"/>
    </xf>
    <xf numFmtId="0" fontId="130" fillId="35" borderId="86" xfId="2673" applyFont="1" applyFill="1" applyBorder="1" applyAlignment="1">
      <alignment vertical="center" wrapText="1"/>
    </xf>
    <xf numFmtId="0" fontId="103" fillId="0" borderId="63" xfId="2673" applyFont="1" applyBorder="1" applyAlignment="1">
      <alignment horizontal="center" vertical="center" wrapText="1"/>
    </xf>
    <xf numFmtId="0" fontId="142" fillId="0" borderId="51" xfId="2673" applyFont="1" applyBorder="1" applyAlignment="1">
      <alignment vertical="center" wrapText="1"/>
    </xf>
    <xf numFmtId="0" fontId="142" fillId="0" borderId="49" xfId="2673" applyFont="1" applyBorder="1" applyAlignment="1">
      <alignment vertical="center" wrapText="1"/>
    </xf>
    <xf numFmtId="0" fontId="130" fillId="0" borderId="49" xfId="2673" applyFont="1" applyBorder="1" applyAlignment="1">
      <alignment vertical="center" wrapText="1"/>
    </xf>
    <xf numFmtId="0" fontId="130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7" fillId="0" borderId="0" xfId="2676" applyFont="1" applyAlignment="1">
      <alignment horizontal="center" vertical="center"/>
    </xf>
    <xf numFmtId="0" fontId="4" fillId="0" borderId="0" xfId="2670" applyFont="1" applyAlignment="1">
      <alignment horizontal="center" vertical="center"/>
    </xf>
    <xf numFmtId="0" fontId="124" fillId="0" borderId="0" xfId="2670" applyFont="1" applyAlignment="1">
      <alignment horizontal="left" vertical="center"/>
    </xf>
    <xf numFmtId="0" fontId="4" fillId="0" borderId="21" xfId="1653" applyFont="1" applyBorder="1" applyAlignment="1">
      <alignment horizontal="left" vertical="center" wrapText="1"/>
    </xf>
    <xf numFmtId="207" fontId="41" fillId="0" borderId="21" xfId="2549" applyNumberFormat="1" applyFont="1" applyBorder="1" applyAlignment="1">
      <alignment horizontal="center" vertical="center" wrapText="1"/>
    </xf>
    <xf numFmtId="0" fontId="41" fillId="0" borderId="21" xfId="2677" applyFont="1" applyBorder="1" applyAlignment="1">
      <alignment horizontal="left" vertical="center" wrapText="1"/>
    </xf>
    <xf numFmtId="169" fontId="140" fillId="47" borderId="0" xfId="2672" applyNumberFormat="1" applyFont="1" applyFill="1" applyBorder="1" applyAlignment="1" applyProtection="1">
      <alignment horizontal="right" vertical="center"/>
    </xf>
    <xf numFmtId="0" fontId="144" fillId="0" borderId="21" xfId="1615" applyFont="1" applyBorder="1" applyAlignment="1">
      <alignment horizontal="left" vertical="center" wrapText="1"/>
    </xf>
    <xf numFmtId="0" fontId="150" fillId="0" borderId="20" xfId="1653" applyFont="1" applyBorder="1" applyAlignment="1">
      <alignment horizontal="center" vertical="center"/>
    </xf>
    <xf numFmtId="0" fontId="151" fillId="0" borderId="21" xfId="1615" applyFont="1" applyBorder="1" applyAlignment="1">
      <alignment horizontal="center" vertical="center"/>
    </xf>
    <xf numFmtId="0" fontId="144" fillId="0" borderId="20" xfId="1615" applyFont="1" applyBorder="1" applyAlignment="1">
      <alignment horizontal="center" vertical="center"/>
    </xf>
    <xf numFmtId="0" fontId="150" fillId="0" borderId="21" xfId="1653" applyFont="1" applyBorder="1" applyAlignment="1">
      <alignment vertical="center" wrapText="1"/>
    </xf>
    <xf numFmtId="9" fontId="116" fillId="33" borderId="0" xfId="2542" applyFont="1" applyFill="1" applyAlignment="1">
      <alignment horizontal="center"/>
    </xf>
    <xf numFmtId="9" fontId="112" fillId="33" borderId="0" xfId="2542" applyFont="1" applyFill="1" applyBorder="1" applyAlignment="1">
      <alignment horizontal="center" vertical="center"/>
    </xf>
    <xf numFmtId="0" fontId="117" fillId="0" borderId="0" xfId="1451" applyFont="1"/>
    <xf numFmtId="0" fontId="117" fillId="0" borderId="26" xfId="1451" applyFont="1" applyBorder="1"/>
    <xf numFmtId="0" fontId="117" fillId="0" borderId="36" xfId="1451" applyFont="1" applyBorder="1"/>
    <xf numFmtId="0" fontId="117" fillId="0" borderId="48" xfId="1451" applyFont="1" applyBorder="1"/>
    <xf numFmtId="0" fontId="117" fillId="0" borderId="37" xfId="1451" applyFont="1" applyBorder="1"/>
    <xf numFmtId="0" fontId="117" fillId="0" borderId="28" xfId="1451" applyFont="1" applyBorder="1"/>
    <xf numFmtId="0" fontId="118" fillId="0" borderId="0" xfId="1451" applyFont="1" applyAlignment="1">
      <alignment vertical="center"/>
    </xf>
    <xf numFmtId="0" fontId="169" fillId="0" borderId="0" xfId="1451" applyFont="1"/>
    <xf numFmtId="0" fontId="119" fillId="0" borderId="0" xfId="1451" applyFont="1" applyAlignment="1">
      <alignment vertical="center"/>
    </xf>
    <xf numFmtId="0" fontId="120" fillId="0" borderId="0" xfId="1451" applyFont="1" applyAlignment="1">
      <alignment horizontal="center" vertical="center"/>
    </xf>
    <xf numFmtId="0" fontId="121" fillId="0" borderId="0" xfId="1451" applyFont="1"/>
    <xf numFmtId="0" fontId="122" fillId="0" borderId="0" xfId="1451" applyFont="1"/>
    <xf numFmtId="0" fontId="113" fillId="0" borderId="0" xfId="1451" applyFont="1" applyAlignment="1">
      <alignment vertical="center"/>
    </xf>
    <xf numFmtId="0" fontId="113" fillId="0" borderId="37" xfId="1451" applyFont="1" applyBorder="1" applyAlignment="1">
      <alignment vertical="center"/>
    </xf>
    <xf numFmtId="0" fontId="122" fillId="0" borderId="0" xfId="1451" applyFont="1" applyAlignment="1">
      <alignment horizontal="center"/>
    </xf>
    <xf numFmtId="0" fontId="113" fillId="0" borderId="0" xfId="1451" applyFont="1" applyAlignment="1">
      <alignment horizontal="center" vertical="center"/>
    </xf>
    <xf numFmtId="0" fontId="113" fillId="0" borderId="37" xfId="1451" applyFont="1" applyBorder="1" applyAlignment="1">
      <alignment horizontal="center" vertical="center"/>
    </xf>
    <xf numFmtId="0" fontId="117" fillId="0" borderId="34" xfId="1451" applyFont="1" applyBorder="1"/>
    <xf numFmtId="0" fontId="117" fillId="0" borderId="19" xfId="1451" applyFont="1" applyBorder="1"/>
    <xf numFmtId="0" fontId="113" fillId="0" borderId="19" xfId="1451" applyFont="1" applyBorder="1" applyAlignment="1">
      <alignment vertical="center"/>
    </xf>
    <xf numFmtId="0" fontId="113" fillId="0" borderId="19" xfId="1451" applyFont="1" applyBorder="1" applyAlignment="1">
      <alignment horizontal="center" vertical="center"/>
    </xf>
    <xf numFmtId="0" fontId="113" fillId="0" borderId="31" xfId="1451" applyFont="1" applyBorder="1" applyAlignment="1">
      <alignment vertical="center"/>
    </xf>
    <xf numFmtId="0" fontId="117" fillId="0" borderId="31" xfId="1451" applyFont="1" applyBorder="1"/>
    <xf numFmtId="0" fontId="117" fillId="0" borderId="0" xfId="1451" applyFont="1" applyAlignment="1">
      <alignment horizontal="center" vertical="center"/>
    </xf>
    <xf numFmtId="0" fontId="117" fillId="0" borderId="0" xfId="1451" applyFont="1" applyAlignment="1">
      <alignment horizont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111" fillId="0" borderId="20" xfId="1652" applyFont="1" applyBorder="1" applyAlignment="1">
      <alignment horizontal="center" vertical="center"/>
    </xf>
    <xf numFmtId="0" fontId="7" fillId="0" borderId="21" xfId="1614" applyFont="1" applyBorder="1" applyAlignment="1">
      <alignment horizontal="center" vertical="center"/>
    </xf>
    <xf numFmtId="0" fontId="3" fillId="0" borderId="21" xfId="1652" applyFont="1" applyBorder="1" applyAlignment="1">
      <alignment horizontal="center" vertical="center"/>
    </xf>
    <xf numFmtId="3" fontId="7" fillId="0" borderId="21" xfId="1599" applyNumberFormat="1" applyFont="1" applyBorder="1" applyAlignment="1">
      <alignment horizontal="center" vertical="center"/>
    </xf>
    <xf numFmtId="0" fontId="124" fillId="0" borderId="21" xfId="1652" applyFont="1" applyBorder="1" applyAlignment="1">
      <alignment horizontal="center" vertical="center"/>
    </xf>
    <xf numFmtId="0" fontId="150" fillId="0" borderId="21" xfId="1652" applyFont="1" applyBorder="1" applyAlignment="1">
      <alignment horizontal="center" vertical="center"/>
    </xf>
    <xf numFmtId="0" fontId="146" fillId="48" borderId="21" xfId="1653" applyFont="1" applyFill="1" applyBorder="1" applyAlignment="1">
      <alignment vertical="center" wrapText="1"/>
    </xf>
    <xf numFmtId="0" fontId="41" fillId="48" borderId="21" xfId="1451" applyFont="1" applyFill="1" applyBorder="1" applyAlignment="1">
      <alignment horizontal="left" vertical="center" wrapText="1"/>
    </xf>
    <xf numFmtId="0" fontId="117" fillId="33" borderId="0" xfId="1451" applyFont="1" applyFill="1" applyAlignment="1">
      <alignment horizontal="center" vertical="center"/>
    </xf>
    <xf numFmtId="0" fontId="117" fillId="33" borderId="0" xfId="1451" applyFont="1" applyFill="1" applyAlignment="1">
      <alignment horizont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41" fillId="0" borderId="21" xfId="0" applyFont="1" applyBorder="1" applyAlignment="1">
      <alignment horizontal="left" vertical="center" wrapText="1"/>
    </xf>
    <xf numFmtId="0" fontId="2" fillId="0" borderId="21" xfId="1652" applyFont="1" applyBorder="1" applyAlignment="1">
      <alignment horizontal="center" vertical="center"/>
    </xf>
    <xf numFmtId="0" fontId="124" fillId="0" borderId="20" xfId="1652" applyFont="1" applyBorder="1" applyAlignment="1">
      <alignment horizontal="center" vertical="center"/>
    </xf>
    <xf numFmtId="0" fontId="124" fillId="0" borderId="21" xfId="1652" applyFont="1" applyBorder="1" applyAlignment="1">
      <alignment horizontal="left" vertical="center" wrapText="1"/>
    </xf>
    <xf numFmtId="0" fontId="2" fillId="0" borderId="21" xfId="1652" applyFont="1" applyBorder="1" applyAlignment="1">
      <alignment horizontal="left" vertical="center" wrapText="1"/>
    </xf>
    <xf numFmtId="0" fontId="112" fillId="33" borderId="0" xfId="2677" applyFont="1" applyFill="1" applyAlignment="1">
      <alignment horizontal="center"/>
    </xf>
    <xf numFmtId="0" fontId="112" fillId="33" borderId="26" xfId="2677" applyFont="1" applyFill="1" applyBorder="1" applyAlignment="1">
      <alignment horizontal="center"/>
    </xf>
    <xf numFmtId="0" fontId="112" fillId="33" borderId="36" xfId="2677" applyFont="1" applyFill="1" applyBorder="1" applyAlignment="1">
      <alignment horizontal="center"/>
    </xf>
    <xf numFmtId="0" fontId="112" fillId="33" borderId="28" xfId="2677" applyFont="1" applyFill="1" applyBorder="1" applyAlignment="1">
      <alignment horizontal="center"/>
    </xf>
    <xf numFmtId="0" fontId="112" fillId="33" borderId="0" xfId="2677" quotePrefix="1" applyFont="1" applyFill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2" fillId="33" borderId="37" xfId="2677" applyFont="1" applyFill="1" applyBorder="1" applyAlignment="1">
      <alignment horizont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0" fontId="132" fillId="33" borderId="0" xfId="2677" applyFont="1" applyFill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applyFont="1" applyFill="1" applyAlignment="1">
      <alignment horizontal="center"/>
    </xf>
    <xf numFmtId="0" fontId="112" fillId="33" borderId="38" xfId="2677" applyFont="1" applyFill="1" applyBorder="1" applyAlignment="1">
      <alignment horizontal="center"/>
    </xf>
    <xf numFmtId="0" fontId="113" fillId="33" borderId="0" xfId="2677" applyFont="1" applyFill="1" applyAlignment="1">
      <alignment horizontal="left"/>
    </xf>
    <xf numFmtId="0" fontId="113" fillId="33" borderId="0" xfId="2677" applyFont="1" applyFill="1" applyAlignment="1">
      <alignment horizontal="center"/>
    </xf>
    <xf numFmtId="0" fontId="89" fillId="33" borderId="40" xfId="2677" applyFont="1" applyFill="1" applyBorder="1" applyAlignment="1">
      <alignment horizontal="center" vertical="center"/>
    </xf>
    <xf numFmtId="0" fontId="89" fillId="33" borderId="47" xfId="2677" applyFont="1" applyFill="1" applyBorder="1" applyAlignment="1">
      <alignment horizontal="center" vertical="center"/>
    </xf>
    <xf numFmtId="0" fontId="112" fillId="33" borderId="3" xfId="2677" applyFont="1" applyFill="1" applyBorder="1" applyAlignment="1">
      <alignment horizontal="center" vertical="center"/>
    </xf>
    <xf numFmtId="0" fontId="112" fillId="33" borderId="39" xfId="2677" applyFont="1" applyFill="1" applyBorder="1" applyAlignment="1">
      <alignment horizontal="center" vertical="center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0" fontId="115" fillId="33" borderId="0" xfId="2677" applyFont="1" applyFill="1" applyAlignment="1">
      <alignment horizontal="center"/>
    </xf>
    <xf numFmtId="0" fontId="89" fillId="33" borderId="69" xfId="2677" applyFont="1" applyFill="1" applyBorder="1" applyAlignment="1">
      <alignment horizontal="left" vertical="center"/>
    </xf>
    <xf numFmtId="0" fontId="112" fillId="33" borderId="39" xfId="2677" applyFont="1" applyFill="1" applyBorder="1" applyAlignment="1">
      <alignment horizontal="center" vertical="top" wrapText="1"/>
    </xf>
    <xf numFmtId="0" fontId="170" fillId="33" borderId="59" xfId="2677" applyFont="1" applyFill="1" applyBorder="1" applyAlignment="1">
      <alignment horizontal="left" vertical="center"/>
    </xf>
    <xf numFmtId="0" fontId="170" fillId="33" borderId="69" xfId="2677" applyFont="1" applyFill="1" applyBorder="1" applyAlignment="1">
      <alignment horizontal="left" vertical="center"/>
    </xf>
    <xf numFmtId="0" fontId="89" fillId="33" borderId="98" xfId="2677" applyFont="1" applyFill="1" applyBorder="1" applyAlignment="1">
      <alignment horizontal="center" vertical="center"/>
    </xf>
    <xf numFmtId="0" fontId="170" fillId="33" borderId="101" xfId="2677" applyFont="1" applyFill="1" applyBorder="1" applyAlignment="1">
      <alignment horizontal="left" vertical="center"/>
    </xf>
    <xf numFmtId="0" fontId="170" fillId="33" borderId="100" xfId="2677" applyFont="1" applyFill="1" applyBorder="1" applyAlignment="1">
      <alignment horizontal="left" vertical="center"/>
    </xf>
    <xf numFmtId="0" fontId="170" fillId="33" borderId="99" xfId="2677" applyFont="1" applyFill="1" applyBorder="1" applyAlignment="1">
      <alignment horizontal="center" vertical="center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2" fillId="33" borderId="3" xfId="2677" applyFont="1" applyFill="1" applyBorder="1" applyAlignment="1">
      <alignment vertical="top" wrapText="1"/>
    </xf>
    <xf numFmtId="0" fontId="112" fillId="33" borderId="39" xfId="2677" applyFont="1" applyFill="1" applyBorder="1" applyAlignment="1">
      <alignment vertical="top" wrapText="1"/>
    </xf>
    <xf numFmtId="0" fontId="116" fillId="33" borderId="95" xfId="2677" applyFont="1" applyFill="1" applyBorder="1" applyAlignment="1">
      <alignment horizontal="center" vertical="top" wrapText="1"/>
    </xf>
    <xf numFmtId="0" fontId="116" fillId="33" borderId="94" xfId="2677" applyFont="1" applyFill="1" applyBorder="1" applyAlignment="1">
      <alignment horizontal="center" vertical="top" wrapText="1"/>
    </xf>
    <xf numFmtId="0" fontId="112" fillId="33" borderId="42" xfId="2677" applyFont="1" applyFill="1" applyBorder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20" fontId="112" fillId="33" borderId="39" xfId="2677" applyNumberFormat="1" applyFont="1" applyFill="1" applyBorder="1" applyAlignment="1">
      <alignment horizontal="center"/>
    </xf>
    <xf numFmtId="0" fontId="112" fillId="33" borderId="0" xfId="2677" applyFont="1" applyFill="1" applyAlignment="1">
      <alignment horizontal="left"/>
    </xf>
    <xf numFmtId="0" fontId="112" fillId="33" borderId="42" xfId="2677" applyFont="1" applyFill="1" applyBorder="1" applyAlignment="1">
      <alignment horizontal="center" vertical="center" wrapText="1"/>
    </xf>
    <xf numFmtId="0" fontId="112" fillId="33" borderId="0" xfId="2677" applyFont="1" applyFill="1" applyAlignment="1">
      <alignment horizontal="center" vertical="center"/>
    </xf>
    <xf numFmtId="0" fontId="116" fillId="33" borderId="0" xfId="2677" applyFont="1" applyFill="1" applyAlignment="1">
      <alignment horizontal="center" vertical="center"/>
    </xf>
    <xf numFmtId="0" fontId="116" fillId="33" borderId="34" xfId="2677" applyFont="1" applyFill="1" applyBorder="1" applyAlignment="1">
      <alignment horizontal="center"/>
    </xf>
    <xf numFmtId="0" fontId="116" fillId="33" borderId="19" xfId="2677" applyFont="1" applyFill="1" applyBorder="1" applyAlignment="1">
      <alignment horizontal="center"/>
    </xf>
    <xf numFmtId="0" fontId="112" fillId="33" borderId="19" xfId="2677" applyFont="1" applyFill="1" applyBorder="1" applyAlignment="1">
      <alignment horizontal="center"/>
    </xf>
    <xf numFmtId="0" fontId="112" fillId="33" borderId="46" xfId="2677" applyFont="1" applyFill="1" applyBorder="1" applyAlignment="1">
      <alignment horizontal="center"/>
    </xf>
    <xf numFmtId="3" fontId="40" fillId="31" borderId="38" xfId="1615" applyNumberFormat="1" applyFont="1" applyFill="1" applyBorder="1" applyAlignment="1">
      <alignment horizontal="center" vertical="center"/>
    </xf>
    <xf numFmtId="3" fontId="40" fillId="31" borderId="65" xfId="1615" applyNumberFormat="1" applyFont="1" applyFill="1" applyBorder="1" applyAlignment="1">
      <alignment horizontal="center" vertical="center"/>
    </xf>
    <xf numFmtId="3" fontId="40" fillId="31" borderId="18" xfId="1615" applyNumberFormat="1" applyFont="1" applyFill="1" applyBorder="1" applyAlignment="1">
      <alignment horizontal="center" vertical="center"/>
    </xf>
    <xf numFmtId="3" fontId="40" fillId="31" borderId="42" xfId="1615" applyNumberFormat="1" applyFont="1" applyFill="1" applyBorder="1" applyAlignment="1">
      <alignment horizontal="center" vertical="center"/>
    </xf>
    <xf numFmtId="3" fontId="40" fillId="31" borderId="43" xfId="1615" applyNumberFormat="1" applyFont="1" applyFill="1" applyBorder="1" applyAlignment="1">
      <alignment horizontal="center" vertical="center"/>
    </xf>
    <xf numFmtId="3" fontId="40" fillId="31" borderId="66" xfId="1615" applyNumberFormat="1" applyFont="1" applyFill="1" applyBorder="1" applyAlignment="1">
      <alignment horizontal="center" vertical="center"/>
    </xf>
    <xf numFmtId="3" fontId="40" fillId="31" borderId="3" xfId="1615" applyNumberFormat="1" applyFont="1" applyFill="1" applyBorder="1" applyAlignment="1">
      <alignment horizontal="center" vertical="center"/>
    </xf>
    <xf numFmtId="0" fontId="93" fillId="0" borderId="0" xfId="1653" applyFont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 wrapText="1"/>
    </xf>
    <xf numFmtId="37" fontId="59" fillId="0" borderId="19" xfId="1614" applyNumberFormat="1" applyFont="1" applyBorder="1" applyAlignment="1">
      <alignment horizontal="center"/>
    </xf>
    <xf numFmtId="0" fontId="44" fillId="0" borderId="0" xfId="1652" applyFont="1" applyAlignment="1">
      <alignment horizontal="center" vertical="center"/>
    </xf>
    <xf numFmtId="0" fontId="108" fillId="0" borderId="0" xfId="1652" applyAlignment="1">
      <alignment horizontal="center" vertical="center"/>
    </xf>
    <xf numFmtId="0" fontId="59" fillId="0" borderId="26" xfId="1614" applyFont="1" applyBorder="1" applyAlignment="1">
      <alignment horizontal="left" vertical="center"/>
    </xf>
    <xf numFmtId="0" fontId="59" fillId="0" borderId="36" xfId="1614" applyFont="1" applyBorder="1" applyAlignment="1">
      <alignment horizontal="left" vertical="center"/>
    </xf>
    <xf numFmtId="0" fontId="59" fillId="0" borderId="48" xfId="1614" applyFont="1" applyBorder="1" applyAlignment="1">
      <alignment horizontal="left" vertical="center"/>
    </xf>
    <xf numFmtId="0" fontId="59" fillId="0" borderId="28" xfId="1614" applyFont="1" applyBorder="1" applyAlignment="1">
      <alignment horizontal="left" vertical="center"/>
    </xf>
    <xf numFmtId="0" fontId="59" fillId="0" borderId="0" xfId="1614" applyFont="1" applyAlignment="1">
      <alignment horizontal="left" vertical="center"/>
    </xf>
    <xf numFmtId="0" fontId="59" fillId="0" borderId="37" xfId="1614" applyFont="1" applyBorder="1" applyAlignment="1">
      <alignment horizontal="left" vertical="center"/>
    </xf>
    <xf numFmtId="0" fontId="49" fillId="0" borderId="0" xfId="1614" applyFont="1" applyAlignment="1">
      <alignment horizontal="left" vertical="top" wrapText="1"/>
    </xf>
    <xf numFmtId="37" fontId="108" fillId="0" borderId="36" xfId="1614" applyNumberFormat="1" applyBorder="1" applyAlignment="1">
      <alignment horizontal="center"/>
    </xf>
    <xf numFmtId="37" fontId="108" fillId="0" borderId="0" xfId="1614" applyNumberFormat="1" applyAlignment="1">
      <alignment horizontal="center"/>
    </xf>
    <xf numFmtId="0" fontId="49" fillId="0" borderId="3" xfId="1614" applyFont="1" applyBorder="1" applyAlignment="1">
      <alignment horizontal="center" vertical="center"/>
    </xf>
    <xf numFmtId="0" fontId="49" fillId="0" borderId="39" xfId="1614" applyFont="1" applyBorder="1" applyAlignment="1">
      <alignment horizontal="center" vertical="center"/>
    </xf>
    <xf numFmtId="0" fontId="49" fillId="0" borderId="35" xfId="1652" applyFont="1" applyBorder="1" applyAlignment="1">
      <alignment horizontal="center" vertical="center" wrapText="1"/>
    </xf>
    <xf numFmtId="0" fontId="49" fillId="0" borderId="33" xfId="1652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7" fillId="0" borderId="51" xfId="1614" applyFont="1" applyBorder="1" applyAlignment="1">
      <alignment horizontal="center" vertical="center"/>
    </xf>
    <xf numFmtId="0" fontId="47" fillId="0" borderId="49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/>
    </xf>
    <xf numFmtId="0" fontId="47" fillId="0" borderId="21" xfId="1614" applyFont="1" applyBorder="1" applyAlignment="1">
      <alignment horizontal="center" vertical="center"/>
    </xf>
    <xf numFmtId="0" fontId="47" fillId="0" borderId="33" xfId="1614" applyFont="1" applyBorder="1" applyAlignment="1">
      <alignment horizontal="center" vertical="center"/>
    </xf>
    <xf numFmtId="0" fontId="49" fillId="0" borderId="53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 wrapText="1"/>
    </xf>
    <xf numFmtId="0" fontId="47" fillId="0" borderId="33" xfId="1614" applyFont="1" applyBorder="1" applyAlignment="1">
      <alignment horizontal="center" vertical="center" wrapText="1"/>
    </xf>
    <xf numFmtId="0" fontId="49" fillId="0" borderId="54" xfId="1614" applyFont="1" applyBorder="1" applyAlignment="1">
      <alignment horizontal="center" vertical="center"/>
    </xf>
    <xf numFmtId="169" fontId="40" fillId="0" borderId="3" xfId="714" applyFont="1" applyFill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40" fillId="0" borderId="3" xfId="1448" applyFont="1" applyBorder="1" applyAlignment="1">
      <alignment horizontal="center" vertical="center" wrapText="1"/>
    </xf>
    <xf numFmtId="0" fontId="52" fillId="0" borderId="3" xfId="1448" applyFont="1" applyBorder="1" applyAlignment="1">
      <alignment horizontal="center" vertical="center" wrapText="1"/>
    </xf>
    <xf numFmtId="0" fontId="5" fillId="0" borderId="84" xfId="2673" applyBorder="1" applyAlignment="1">
      <alignment horizontal="center" vertical="center" wrapText="1"/>
    </xf>
    <xf numFmtId="0" fontId="5" fillId="0" borderId="6" xfId="2673" applyBorder="1" applyAlignment="1">
      <alignment horizontal="center" vertical="center" wrapText="1"/>
    </xf>
    <xf numFmtId="0" fontId="5" fillId="0" borderId="85" xfId="2673" applyBorder="1" applyAlignment="1">
      <alignment horizontal="center" vertical="center" wrapText="1"/>
    </xf>
    <xf numFmtId="9" fontId="164" fillId="0" borderId="0" xfId="2675" applyFont="1" applyFill="1" applyBorder="1" applyAlignment="1">
      <alignment horizontal="center" vertical="center" wrapText="1"/>
    </xf>
    <xf numFmtId="0" fontId="161" fillId="37" borderId="0" xfId="2673" applyFont="1" applyFill="1" applyAlignment="1">
      <alignment horizontal="left" vertical="center" wrapText="1"/>
    </xf>
    <xf numFmtId="43" fontId="142" fillId="35" borderId="7" xfId="2673" applyNumberFormat="1" applyFont="1" applyFill="1" applyBorder="1" applyAlignment="1">
      <alignment horizontal="center" vertical="center" wrapText="1"/>
    </xf>
    <xf numFmtId="0" fontId="142" fillId="35" borderId="58" xfId="2673" applyFont="1" applyFill="1" applyBorder="1" applyAlignment="1">
      <alignment horizontal="center" vertical="center" wrapText="1"/>
    </xf>
    <xf numFmtId="2" fontId="130" fillId="35" borderId="61" xfId="2673" applyNumberFormat="1" applyFont="1" applyFill="1" applyBorder="1" applyAlignment="1">
      <alignment horizontal="center" vertical="center" wrapText="1"/>
    </xf>
    <xf numFmtId="2" fontId="130" fillId="35" borderId="83" xfId="2673" applyNumberFormat="1" applyFont="1" applyFill="1" applyBorder="1" applyAlignment="1">
      <alignment horizontal="center" vertical="center" wrapText="1"/>
    </xf>
    <xf numFmtId="0" fontId="157" fillId="41" borderId="79" xfId="2673" applyFont="1" applyFill="1" applyBorder="1" applyAlignment="1">
      <alignment horizontal="center" vertical="center" wrapText="1"/>
    </xf>
    <xf numFmtId="0" fontId="157" fillId="41" borderId="80" xfId="2673" applyFont="1" applyFill="1" applyBorder="1" applyAlignment="1">
      <alignment horizontal="center" vertical="center" wrapText="1"/>
    </xf>
    <xf numFmtId="0" fontId="157" fillId="41" borderId="81" xfId="2673" applyFont="1" applyFill="1" applyBorder="1" applyAlignment="1">
      <alignment horizontal="center" vertical="center" wrapText="1"/>
    </xf>
    <xf numFmtId="0" fontId="130" fillId="35" borderId="7" xfId="2673" applyFont="1" applyFill="1" applyBorder="1" applyAlignment="1">
      <alignment horizontal="center" vertical="center" wrapText="1"/>
    </xf>
    <xf numFmtId="0" fontId="130" fillId="35" borderId="58" xfId="2673" applyFont="1" applyFill="1" applyBorder="1" applyAlignment="1">
      <alignment horizontal="center" vertical="center" wrapText="1"/>
    </xf>
    <xf numFmtId="1" fontId="142" fillId="35" borderId="7" xfId="2673" applyNumberFormat="1" applyFont="1" applyFill="1" applyBorder="1" applyAlignment="1">
      <alignment horizontal="center" vertical="center" wrapText="1"/>
    </xf>
    <xf numFmtId="1" fontId="142" fillId="35" borderId="58" xfId="2673" applyNumberFormat="1" applyFont="1" applyFill="1" applyBorder="1" applyAlignment="1">
      <alignment horizontal="center" vertical="center" wrapText="1"/>
    </xf>
    <xf numFmtId="43" fontId="142" fillId="0" borderId="53" xfId="2673" applyNumberFormat="1" applyFont="1" applyBorder="1" applyAlignment="1">
      <alignment horizontal="center" vertical="center" wrapText="1"/>
    </xf>
    <xf numFmtId="0" fontId="142" fillId="0" borderId="54" xfId="2673" applyFont="1" applyBorder="1" applyAlignment="1">
      <alignment horizontal="center" vertical="center" wrapText="1"/>
    </xf>
    <xf numFmtId="9" fontId="130" fillId="0" borderId="63" xfId="2675" applyFont="1" applyFill="1" applyBorder="1" applyAlignment="1">
      <alignment horizontal="center" vertical="center" wrapText="1"/>
    </xf>
    <xf numFmtId="9" fontId="130" fillId="0" borderId="64" xfId="2675" applyFont="1" applyFill="1" applyBorder="1" applyAlignment="1">
      <alignment horizontal="center" vertical="center" wrapText="1"/>
    </xf>
    <xf numFmtId="1" fontId="142" fillId="0" borderId="3" xfId="2673" applyNumberFormat="1" applyFont="1" applyBorder="1" applyAlignment="1">
      <alignment horizontal="center" vertical="center" wrapText="1"/>
    </xf>
    <xf numFmtId="1" fontId="142" fillId="0" borderId="39" xfId="2673" applyNumberFormat="1" applyFont="1" applyBorder="1" applyAlignment="1">
      <alignment horizontal="center" vertical="center" wrapText="1"/>
    </xf>
    <xf numFmtId="2" fontId="130" fillId="0" borderId="3" xfId="2673" applyNumberFormat="1" applyFont="1" applyBorder="1" applyAlignment="1">
      <alignment horizontal="center" vertical="center" wrapText="1"/>
    </xf>
    <xf numFmtId="2" fontId="130" fillId="0" borderId="39" xfId="2673" applyNumberFormat="1" applyFont="1" applyBorder="1" applyAlignment="1">
      <alignment horizontal="center" vertical="center" wrapText="1"/>
    </xf>
    <xf numFmtId="9" fontId="130" fillId="35" borderId="63" xfId="2675" applyFont="1" applyFill="1" applyBorder="1" applyAlignment="1">
      <alignment horizontal="center" vertical="center" wrapText="1"/>
    </xf>
    <xf numFmtId="9" fontId="130" fillId="35" borderId="64" xfId="2675" applyFont="1" applyFill="1" applyBorder="1" applyAlignment="1">
      <alignment horizontal="center" vertical="center" wrapText="1"/>
    </xf>
    <xf numFmtId="2" fontId="130" fillId="35" borderId="3" xfId="2673" applyNumberFormat="1" applyFont="1" applyFill="1" applyBorder="1" applyAlignment="1">
      <alignment horizontal="center" vertical="center" wrapText="1"/>
    </xf>
    <xf numFmtId="2" fontId="130" fillId="35" borderId="39" xfId="2673" applyNumberFormat="1" applyFont="1" applyFill="1" applyBorder="1" applyAlignment="1">
      <alignment horizontal="center" vertical="center" wrapText="1"/>
    </xf>
    <xf numFmtId="0" fontId="160" fillId="0" borderId="50" xfId="2673" applyFont="1" applyBorder="1" applyAlignment="1">
      <alignment horizontal="center" vertical="center" wrapText="1"/>
    </xf>
    <xf numFmtId="0" fontId="160" fillId="0" borderId="58" xfId="2673" applyFont="1" applyBorder="1" applyAlignment="1">
      <alignment horizontal="center" vertical="center" wrapText="1"/>
    </xf>
    <xf numFmtId="0" fontId="160" fillId="44" borderId="3" xfId="2673" applyFont="1" applyFill="1" applyBorder="1" applyAlignment="1">
      <alignment horizontal="center" vertical="center" wrapText="1"/>
    </xf>
    <xf numFmtId="0" fontId="160" fillId="44" borderId="39" xfId="2673" applyFont="1" applyFill="1" applyBorder="1" applyAlignment="1">
      <alignment horizontal="center" vertical="center" wrapText="1"/>
    </xf>
    <xf numFmtId="1" fontId="130" fillId="0" borderId="3" xfId="2673" applyNumberFormat="1" applyFont="1" applyBorder="1" applyAlignment="1">
      <alignment horizontal="center" vertical="center" wrapText="1"/>
    </xf>
    <xf numFmtId="1" fontId="130" fillId="0" borderId="39" xfId="2673" applyNumberFormat="1" applyFont="1" applyBorder="1" applyAlignment="1">
      <alignment horizontal="center" vertical="center" wrapText="1"/>
    </xf>
    <xf numFmtId="2" fontId="130" fillId="45" borderId="3" xfId="2673" applyNumberFormat="1" applyFont="1" applyFill="1" applyBorder="1" applyAlignment="1">
      <alignment horizontal="center" vertical="center" wrapText="1"/>
    </xf>
    <xf numFmtId="2" fontId="130" fillId="45" borderId="39" xfId="2673" applyNumberFormat="1" applyFont="1" applyFill="1" applyBorder="1" applyAlignment="1">
      <alignment horizontal="center" vertical="center" wrapText="1"/>
    </xf>
    <xf numFmtId="0" fontId="157" fillId="42" borderId="79" xfId="2673" applyFont="1" applyFill="1" applyBorder="1" applyAlignment="1">
      <alignment horizontal="center" vertical="center" wrapText="1"/>
    </xf>
    <xf numFmtId="0" fontId="157" fillId="42" borderId="80" xfId="2673" applyFont="1" applyFill="1" applyBorder="1" applyAlignment="1">
      <alignment horizontal="center" vertical="center" wrapText="1"/>
    </xf>
    <xf numFmtId="0" fontId="157" fillId="42" borderId="81" xfId="2673" applyFont="1" applyFill="1" applyBorder="1" applyAlignment="1">
      <alignment horizontal="center" vertical="center" wrapText="1"/>
    </xf>
    <xf numFmtId="43" fontId="142" fillId="43" borderId="7" xfId="2673" applyNumberFormat="1" applyFont="1" applyFill="1" applyBorder="1" applyAlignment="1">
      <alignment horizontal="center" vertical="center" wrapText="1"/>
    </xf>
    <xf numFmtId="0" fontId="142" fillId="43" borderId="58" xfId="2673" applyFont="1" applyFill="1" applyBorder="1" applyAlignment="1">
      <alignment horizontal="center" vertical="center" wrapText="1"/>
    </xf>
    <xf numFmtId="1" fontId="130" fillId="43" borderId="7" xfId="2673" applyNumberFormat="1" applyFont="1" applyFill="1" applyBorder="1" applyAlignment="1">
      <alignment horizontal="center" vertical="center" wrapText="1"/>
    </xf>
    <xf numFmtId="1" fontId="130" fillId="43" borderId="58" xfId="2673" applyNumberFormat="1" applyFont="1" applyFill="1" applyBorder="1" applyAlignment="1">
      <alignment horizontal="center" vertical="center" wrapText="1"/>
    </xf>
    <xf numFmtId="0" fontId="130" fillId="43" borderId="7" xfId="2673" applyFont="1" applyFill="1" applyBorder="1" applyAlignment="1">
      <alignment horizontal="center" vertical="center" wrapText="1"/>
    </xf>
    <xf numFmtId="0" fontId="130" fillId="43" borderId="58" xfId="2673" applyFont="1" applyFill="1" applyBorder="1" applyAlignment="1">
      <alignment horizontal="center" vertical="center" wrapText="1"/>
    </xf>
    <xf numFmtId="2" fontId="130" fillId="43" borderId="61" xfId="2673" applyNumberFormat="1" applyFont="1" applyFill="1" applyBorder="1" applyAlignment="1">
      <alignment horizontal="center" vertical="center" wrapText="1"/>
    </xf>
    <xf numFmtId="2" fontId="130" fillId="43" borderId="83" xfId="2673" applyNumberFormat="1" applyFont="1" applyFill="1" applyBorder="1" applyAlignment="1">
      <alignment horizontal="center" vertical="center" wrapText="1"/>
    </xf>
    <xf numFmtId="0" fontId="6" fillId="34" borderId="67" xfId="2670" applyFill="1" applyBorder="1" applyAlignment="1">
      <alignment horizontal="center" vertical="center"/>
    </xf>
    <xf numFmtId="0" fontId="134" fillId="0" borderId="68" xfId="2670" applyFont="1" applyBorder="1" applyAlignment="1">
      <alignment horizontal="left" vertical="center"/>
    </xf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horizontal="center" vertical="center"/>
    </xf>
    <xf numFmtId="0" fontId="109" fillId="38" borderId="3" xfId="1538" applyFill="1" applyBorder="1" applyAlignment="1">
      <alignment horizontal="center" vertical="center" wrapText="1"/>
    </xf>
    <xf numFmtId="0" fontId="100" fillId="38" borderId="3" xfId="1538" applyFont="1" applyFill="1" applyBorder="1" applyAlignment="1">
      <alignment horizontal="center" vertical="center" wrapText="1"/>
    </xf>
    <xf numFmtId="0" fontId="46" fillId="0" borderId="3" xfId="1538" applyFont="1" applyBorder="1" applyAlignment="1">
      <alignment horizontal="center"/>
    </xf>
    <xf numFmtId="0" fontId="109" fillId="38" borderId="35" xfId="1538" applyFill="1" applyBorder="1" applyAlignment="1">
      <alignment horizontal="center" vertical="center" wrapText="1"/>
    </xf>
    <xf numFmtId="0" fontId="109" fillId="38" borderId="33" xfId="1538" applyFill="1" applyBorder="1" applyAlignment="1">
      <alignment horizontal="center" vertical="center" wrapText="1"/>
    </xf>
    <xf numFmtId="0" fontId="148" fillId="30" borderId="3" xfId="1614" applyFont="1" applyFill="1" applyBorder="1" applyAlignment="1">
      <alignment horizontal="center" vertical="center"/>
    </xf>
    <xf numFmtId="0" fontId="149" fillId="0" borderId="0" xfId="1652" applyFont="1" applyAlignment="1">
      <alignment horizontal="center" vertical="center"/>
    </xf>
    <xf numFmtId="37" fontId="146" fillId="0" borderId="36" xfId="1614" applyNumberFormat="1" applyFont="1" applyBorder="1" applyAlignment="1">
      <alignment horizontal="center"/>
    </xf>
    <xf numFmtId="0" fontId="150" fillId="35" borderId="51" xfId="1614" applyFont="1" applyFill="1" applyBorder="1" applyAlignment="1">
      <alignment horizontal="center" vertical="center"/>
    </xf>
    <xf numFmtId="0" fontId="150" fillId="35" borderId="49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/>
    </xf>
    <xf numFmtId="0" fontId="150" fillId="35" borderId="21" xfId="1614" applyFont="1" applyFill="1" applyBorder="1" applyAlignment="1">
      <alignment horizontal="center" vertical="center"/>
    </xf>
    <xf numFmtId="0" fontId="150" fillId="35" borderId="33" xfId="1614" applyFont="1" applyFill="1" applyBorder="1" applyAlignment="1">
      <alignment horizontal="center" vertical="center"/>
    </xf>
    <xf numFmtId="0" fontId="150" fillId="35" borderId="53" xfId="1614" applyFont="1" applyFill="1" applyBorder="1" applyAlignment="1">
      <alignment horizontal="center" vertical="center"/>
    </xf>
    <xf numFmtId="0" fontId="150" fillId="35" borderId="3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 wrapText="1"/>
    </xf>
    <xf numFmtId="0" fontId="150" fillId="35" borderId="21" xfId="1614" applyFont="1" applyFill="1" applyBorder="1" applyAlignment="1">
      <alignment horizontal="center" vertical="center" wrapText="1"/>
    </xf>
    <xf numFmtId="0" fontId="150" fillId="35" borderId="33" xfId="1614" applyFont="1" applyFill="1" applyBorder="1" applyAlignment="1">
      <alignment horizontal="center" vertical="center" wrapText="1"/>
    </xf>
    <xf numFmtId="0" fontId="150" fillId="35" borderId="35" xfId="1652" applyFont="1" applyFill="1" applyBorder="1" applyAlignment="1">
      <alignment horizontal="center" vertical="center" wrapText="1"/>
    </xf>
    <xf numFmtId="0" fontId="150" fillId="35" borderId="33" xfId="1652" applyFont="1" applyFill="1" applyBorder="1" applyAlignment="1">
      <alignment horizontal="center" vertical="center" wrapText="1"/>
    </xf>
    <xf numFmtId="0" fontId="145" fillId="0" borderId="0" xfId="1644" applyFont="1" applyAlignment="1">
      <alignment horizontal="center" vertical="center"/>
    </xf>
    <xf numFmtId="37" fontId="152" fillId="0" borderId="19" xfId="1614" applyNumberFormat="1" applyFont="1" applyBorder="1" applyAlignment="1">
      <alignment horizontal="center"/>
    </xf>
    <xf numFmtId="0" fontId="148" fillId="0" borderId="0" xfId="1614" quotePrefix="1" applyFont="1" applyAlignment="1">
      <alignment horizontal="left" vertical="top" wrapText="1"/>
    </xf>
    <xf numFmtId="0" fontId="148" fillId="0" borderId="0" xfId="1614" applyFont="1" applyAlignment="1">
      <alignment horizontal="left" vertical="top" wrapText="1"/>
    </xf>
    <xf numFmtId="37" fontId="146" fillId="0" borderId="0" xfId="1614" applyNumberFormat="1" applyFont="1" applyAlignment="1">
      <alignment horizontal="center"/>
    </xf>
    <xf numFmtId="0" fontId="166" fillId="0" borderId="26" xfId="1614" applyFont="1" applyBorder="1" applyAlignment="1">
      <alignment horizontal="left" vertical="center" wrapText="1"/>
    </xf>
    <xf numFmtId="0" fontId="166" fillId="0" borderId="36" xfId="1614" applyFont="1" applyBorder="1" applyAlignment="1">
      <alignment horizontal="left" vertical="center" wrapText="1"/>
    </xf>
    <xf numFmtId="0" fontId="166" fillId="0" borderId="48" xfId="1614" applyFont="1" applyBorder="1" applyAlignment="1">
      <alignment horizontal="left" vertical="center" wrapText="1"/>
    </xf>
    <xf numFmtId="0" fontId="166" fillId="0" borderId="28" xfId="1614" applyFont="1" applyBorder="1" applyAlignment="1">
      <alignment horizontal="left" vertical="center" wrapText="1"/>
    </xf>
    <xf numFmtId="0" fontId="166" fillId="0" borderId="0" xfId="1614" applyFont="1" applyAlignment="1">
      <alignment horizontal="left" vertical="center" wrapText="1"/>
    </xf>
    <xf numFmtId="0" fontId="166" fillId="0" borderId="37" xfId="1614" applyFont="1" applyBorder="1" applyAlignment="1">
      <alignment horizontal="left" vertical="center" wrapText="1"/>
    </xf>
    <xf numFmtId="0" fontId="151" fillId="0" borderId="0" xfId="1652" applyFont="1" applyAlignment="1">
      <alignment horizontal="center" vertical="center"/>
    </xf>
    <xf numFmtId="0" fontId="146" fillId="0" borderId="0" xfId="1652" applyFont="1" applyAlignment="1">
      <alignment horizontal="center" vertical="center"/>
    </xf>
    <xf numFmtId="0" fontId="150" fillId="35" borderId="54" xfId="1614" applyFont="1" applyFill="1" applyBorder="1" applyAlignment="1">
      <alignment horizontal="center" vertical="center"/>
    </xf>
    <xf numFmtId="0" fontId="150" fillId="35" borderId="39" xfId="1614" applyFont="1" applyFill="1" applyBorder="1" applyAlignment="1">
      <alignment horizontal="center" vertical="center"/>
    </xf>
    <xf numFmtId="0" fontId="112" fillId="33" borderId="50" xfId="2677" applyFont="1" applyFill="1" applyBorder="1" applyAlignment="1">
      <alignment horizontal="center"/>
    </xf>
    <xf numFmtId="0" fontId="112" fillId="33" borderId="41" xfId="2677" applyFont="1" applyFill="1" applyBorder="1" applyAlignment="1">
      <alignment horizont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0" fontId="112" fillId="33" borderId="87" xfId="2677" applyFont="1" applyFill="1" applyBorder="1" applyAlignment="1">
      <alignment horizontal="center"/>
    </xf>
    <xf numFmtId="0" fontId="112" fillId="33" borderId="62" xfId="2677" applyFont="1" applyFill="1" applyBorder="1" applyAlignment="1">
      <alignment horizontal="center"/>
    </xf>
    <xf numFmtId="0" fontId="112" fillId="33" borderId="63" xfId="2677" applyFont="1" applyFill="1" applyBorder="1" applyAlignment="1">
      <alignment horizontal="center"/>
    </xf>
    <xf numFmtId="0" fontId="112" fillId="33" borderId="64" xfId="2677" applyFont="1" applyFill="1" applyBorder="1" applyAlignment="1">
      <alignment horizontal="center"/>
    </xf>
    <xf numFmtId="0" fontId="112" fillId="33" borderId="56" xfId="2677" applyFont="1" applyFill="1" applyBorder="1" applyAlignment="1">
      <alignment horizontal="center" vertical="center"/>
    </xf>
    <xf numFmtId="0" fontId="112" fillId="33" borderId="57" xfId="2677" applyFont="1" applyFill="1" applyBorder="1" applyAlignment="1">
      <alignment horizontal="center" vertical="center"/>
    </xf>
    <xf numFmtId="0" fontId="117" fillId="33" borderId="0" xfId="2677" applyFont="1" applyFill="1" applyAlignment="1">
      <alignment horizontal="center" vertical="center" wrapText="1"/>
    </xf>
    <xf numFmtId="0" fontId="117" fillId="33" borderId="37" xfId="2677" applyFont="1" applyFill="1" applyBorder="1" applyAlignment="1">
      <alignment horizontal="center" vertical="center" wrapText="1"/>
    </xf>
    <xf numFmtId="0" fontId="117" fillId="33" borderId="44" xfId="2677" applyFont="1" applyFill="1" applyBorder="1" applyAlignment="1">
      <alignment horizontal="center" vertical="center" wrapText="1"/>
    </xf>
    <xf numFmtId="0" fontId="117" fillId="33" borderId="45" xfId="2677" applyFont="1" applyFill="1" applyBorder="1" applyAlignment="1">
      <alignment horizontal="center" vertical="center" wrapText="1"/>
    </xf>
    <xf numFmtId="0" fontId="112" fillId="33" borderId="7" xfId="2677" applyFont="1" applyFill="1" applyBorder="1" applyAlignment="1">
      <alignment horizontal="center"/>
    </xf>
    <xf numFmtId="15" fontId="112" fillId="33" borderId="3" xfId="2677" applyNumberFormat="1" applyFont="1" applyFill="1" applyBorder="1" applyAlignment="1">
      <alignment horizontal="center"/>
    </xf>
    <xf numFmtId="0" fontId="112" fillId="33" borderId="7" xfId="2677" applyFont="1" applyFill="1" applyBorder="1" applyAlignment="1">
      <alignment vertical="top" wrapText="1"/>
    </xf>
    <xf numFmtId="0" fontId="112" fillId="33" borderId="41" xfId="2677" applyFont="1" applyFill="1" applyBorder="1" applyAlignment="1">
      <alignment vertical="top" wrapText="1"/>
    </xf>
    <xf numFmtId="0" fontId="116" fillId="33" borderId="97" xfId="2677" applyFont="1" applyFill="1" applyBorder="1" applyAlignment="1">
      <alignment horizontal="center" vertical="center" wrapText="1"/>
    </xf>
    <xf numFmtId="0" fontId="116" fillId="33" borderId="96" xfId="2677" applyFont="1" applyFill="1" applyBorder="1" applyAlignment="1">
      <alignment horizontal="center" vertical="center" wrapText="1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3" fillId="33" borderId="38" xfId="2677" applyFont="1" applyFill="1" applyBorder="1" applyAlignment="1">
      <alignment horizontal="left" vertical="top" wrapText="1"/>
    </xf>
    <xf numFmtId="0" fontId="113" fillId="33" borderId="56" xfId="2677" applyFont="1" applyFill="1" applyBorder="1" applyAlignment="1">
      <alignment horizontal="left" vertical="top" wrapText="1"/>
    </xf>
    <xf numFmtId="0" fontId="113" fillId="33" borderId="57" xfId="2677" applyFont="1" applyFill="1" applyBorder="1" applyAlignment="1">
      <alignment horizontal="left" vertical="top" wrapText="1"/>
    </xf>
    <xf numFmtId="0" fontId="113" fillId="33" borderId="43" xfId="2677" applyFont="1" applyFill="1" applyBorder="1" applyAlignment="1">
      <alignment horizontal="left" vertical="top" wrapText="1"/>
    </xf>
    <xf numFmtId="0" fontId="113" fillId="33" borderId="44" xfId="2677" applyFont="1" applyFill="1" applyBorder="1" applyAlignment="1">
      <alignment horizontal="left" vertical="top" wrapText="1"/>
    </xf>
    <xf numFmtId="0" fontId="113" fillId="33" borderId="45" xfId="2677" applyFont="1" applyFill="1" applyBorder="1" applyAlignment="1">
      <alignment horizontal="left" vertical="top" wrapText="1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horizontal="left" vertical="center"/>
    </xf>
    <xf numFmtId="49" fontId="112" fillId="33" borderId="41" xfId="2677" applyNumberFormat="1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vertical="center"/>
    </xf>
    <xf numFmtId="49" fontId="112" fillId="33" borderId="41" xfId="2677" applyNumberFormat="1" applyFont="1" applyFill="1" applyBorder="1" applyAlignment="1">
      <alignment vertical="center"/>
    </xf>
    <xf numFmtId="49" fontId="112" fillId="33" borderId="50" xfId="2677" applyNumberFormat="1" applyFont="1" applyFill="1" applyBorder="1" applyAlignment="1">
      <alignment vertical="top" wrapText="1"/>
    </xf>
    <xf numFmtId="49" fontId="112" fillId="33" borderId="41" xfId="2677" applyNumberFormat="1" applyFont="1" applyFill="1" applyBorder="1" applyAlignment="1">
      <alignment vertical="top" wrapText="1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49" fontId="89" fillId="33" borderId="102" xfId="2677" applyNumberFormat="1" applyFont="1" applyFill="1" applyBorder="1" applyAlignment="1">
      <alignment horizontal="left" vertical="center"/>
    </xf>
    <xf numFmtId="49" fontId="89" fillId="33" borderId="40" xfId="2677" applyNumberFormat="1" applyFont="1" applyFill="1" applyBorder="1" applyAlignment="1">
      <alignment horizontal="left" vertical="center"/>
    </xf>
    <xf numFmtId="49" fontId="171" fillId="33" borderId="102" xfId="2677" applyNumberFormat="1" applyFont="1" applyFill="1" applyBorder="1" applyAlignment="1">
      <alignment horizontal="left" vertical="center"/>
    </xf>
    <xf numFmtId="49" fontId="171" fillId="33" borderId="40" xfId="2677" applyNumberFormat="1" applyFont="1" applyFill="1" applyBorder="1" applyAlignment="1">
      <alignment horizontal="left" vertical="center"/>
    </xf>
    <xf numFmtId="0" fontId="171" fillId="33" borderId="59" xfId="2677" applyFont="1" applyFill="1" applyBorder="1" applyAlignment="1">
      <alignment horizontal="left" vertical="center"/>
    </xf>
    <xf numFmtId="0" fontId="171" fillId="33" borderId="60" xfId="2677" applyFont="1" applyFill="1" applyBorder="1" applyAlignment="1">
      <alignment horizontal="left" vertical="center"/>
    </xf>
    <xf numFmtId="0" fontId="112" fillId="33" borderId="56" xfId="2677" applyFont="1" applyFill="1" applyBorder="1" applyAlignment="1">
      <alignment horizontal="center"/>
    </xf>
    <xf numFmtId="0" fontId="112" fillId="33" borderId="57" xfId="2677" applyFont="1" applyFill="1" applyBorder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3" fillId="33" borderId="0" xfId="2677" applyFont="1" applyFill="1" applyAlignment="1">
      <alignment horizontal="left"/>
    </xf>
    <xf numFmtId="0" fontId="113" fillId="33" borderId="37" xfId="2677" applyFont="1" applyFill="1" applyBorder="1" applyAlignment="1">
      <alignment horizontal="left"/>
    </xf>
    <xf numFmtId="0" fontId="128" fillId="33" borderId="50" xfId="2677" applyFont="1" applyFill="1" applyBorder="1" applyAlignment="1">
      <alignment horizontal="center" vertical="center"/>
    </xf>
    <xf numFmtId="0" fontId="128" fillId="33" borderId="7" xfId="2677" applyFont="1" applyFill="1" applyBorder="1" applyAlignment="1">
      <alignment horizontal="center" vertical="center"/>
    </xf>
    <xf numFmtId="0" fontId="128" fillId="33" borderId="41" xfId="2677" applyFont="1" applyFill="1" applyBorder="1" applyAlignment="1">
      <alignment horizontal="center" vertical="center"/>
    </xf>
    <xf numFmtId="0" fontId="113" fillId="33" borderId="50" xfId="2677" applyFont="1" applyFill="1" applyBorder="1" applyAlignment="1">
      <alignment horizontal="center" vertical="center"/>
    </xf>
    <xf numFmtId="0" fontId="113" fillId="33" borderId="7" xfId="2677" applyFont="1" applyFill="1" applyBorder="1" applyAlignment="1">
      <alignment horizontal="center" vertical="center"/>
    </xf>
    <xf numFmtId="0" fontId="113" fillId="33" borderId="58" xfId="2677" applyFont="1" applyFill="1" applyBorder="1" applyAlignment="1">
      <alignment horizontal="center" vertical="center"/>
    </xf>
    <xf numFmtId="0" fontId="127" fillId="35" borderId="55" xfId="2677" applyFont="1" applyFill="1" applyBorder="1" applyAlignment="1">
      <alignment horizontal="center" vertical="center"/>
    </xf>
    <xf numFmtId="0" fontId="127" fillId="35" borderId="36" xfId="2677" applyFont="1" applyFill="1" applyBorder="1" applyAlignment="1">
      <alignment horizontal="center" vertical="center"/>
    </xf>
    <xf numFmtId="0" fontId="127" fillId="35" borderId="48" xfId="2677" applyFont="1" applyFill="1" applyBorder="1" applyAlignment="1">
      <alignment horizontal="center" vertical="center"/>
    </xf>
    <xf numFmtId="0" fontId="127" fillId="35" borderId="43" xfId="2677" applyFont="1" applyFill="1" applyBorder="1" applyAlignment="1">
      <alignment horizontal="center" vertical="center"/>
    </xf>
    <xf numFmtId="0" fontId="127" fillId="35" borderId="44" xfId="2677" applyFont="1" applyFill="1" applyBorder="1" applyAlignment="1">
      <alignment horizontal="center" vertical="center"/>
    </xf>
    <xf numFmtId="0" fontId="127" fillId="35" borderId="45" xfId="2677" applyFont="1" applyFill="1" applyBorder="1" applyAlignment="1">
      <alignment horizontal="center" vertical="center"/>
    </xf>
    <xf numFmtId="0" fontId="168" fillId="0" borderId="88" xfId="1451" applyFont="1" applyBorder="1" applyAlignment="1">
      <alignment horizontal="center" vertical="center"/>
    </xf>
    <xf numFmtId="0" fontId="168" fillId="0" borderId="89" xfId="1451" applyFont="1" applyBorder="1" applyAlignment="1">
      <alignment horizontal="center" vertical="center"/>
    </xf>
    <xf numFmtId="0" fontId="168" fillId="0" borderId="90" xfId="1451" applyFont="1" applyBorder="1" applyAlignment="1">
      <alignment horizontal="center" vertical="center"/>
    </xf>
    <xf numFmtId="0" fontId="168" fillId="0" borderId="91" xfId="1451" applyFont="1" applyBorder="1" applyAlignment="1">
      <alignment horizontal="center" vertical="center"/>
    </xf>
    <xf numFmtId="0" fontId="168" fillId="0" borderId="92" xfId="1451" applyFont="1" applyBorder="1" applyAlignment="1">
      <alignment horizontal="center" vertical="center"/>
    </xf>
    <xf numFmtId="0" fontId="168" fillId="0" borderId="93" xfId="1451" applyFont="1" applyBorder="1" applyAlignment="1">
      <alignment horizontal="center" vertical="center"/>
    </xf>
    <xf numFmtId="0" fontId="119" fillId="33" borderId="88" xfId="1451" applyFont="1" applyFill="1" applyBorder="1" applyAlignment="1">
      <alignment horizontal="center" vertical="center"/>
    </xf>
    <xf numFmtId="0" fontId="119" fillId="33" borderId="89" xfId="1451" applyFont="1" applyFill="1" applyBorder="1" applyAlignment="1">
      <alignment horizontal="center" vertical="center"/>
    </xf>
    <xf numFmtId="0" fontId="119" fillId="33" borderId="90" xfId="1451" applyFont="1" applyFill="1" applyBorder="1" applyAlignment="1">
      <alignment horizontal="center" vertical="center"/>
    </xf>
    <xf numFmtId="0" fontId="119" fillId="33" borderId="91" xfId="1451" applyFont="1" applyFill="1" applyBorder="1" applyAlignment="1">
      <alignment horizontal="center" vertical="center"/>
    </xf>
    <xf numFmtId="0" fontId="119" fillId="33" borderId="92" xfId="1451" applyFont="1" applyFill="1" applyBorder="1" applyAlignment="1">
      <alignment horizontal="center" vertical="center"/>
    </xf>
    <xf numFmtId="0" fontId="119" fillId="33" borderId="93" xfId="1451" applyFont="1" applyFill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41" fillId="0" borderId="21" xfId="1450" applyFont="1" applyBorder="1" applyAlignment="1">
      <alignment vertical="center" wrapText="1"/>
    </xf>
    <xf numFmtId="0" fontId="1" fillId="0" borderId="21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6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55AB8-E910-4ADC-84BC-EF0A9114E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7323BF-46E8-4F0B-9419-6DD5F5285045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E36D53-7100-42EA-8014-A921ABE1738C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3</xdr:col>
      <xdr:colOff>-1</xdr:colOff>
      <xdr:row>5</xdr:row>
      <xdr:rowOff>0</xdr:rowOff>
    </xdr:from>
    <xdr:to>
      <xdr:col>25</xdr:col>
      <xdr:colOff>547180</xdr:colOff>
      <xdr:row>51</xdr:row>
      <xdr:rowOff>141861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3E3D7-D82E-A1CC-130A-291D4865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031" y="810638"/>
          <a:ext cx="13882181" cy="75997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E1F0-1A43-4ADA-B09D-335010A99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7E417D-4366-402E-A295-EDC0EAC6A91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4</xdr:col>
      <xdr:colOff>0</xdr:colOff>
      <xdr:row>7</xdr:row>
      <xdr:rowOff>0</xdr:rowOff>
    </xdr:from>
    <xdr:to>
      <xdr:col>26</xdr:col>
      <xdr:colOff>509477</xdr:colOff>
      <xdr:row>55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0E8107-7727-5A58-1856-DF13D9AB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558" y="1063256"/>
          <a:ext cx="14088140" cy="75092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2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2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73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3CF744-331F-478B-ABEB-8539A1EE0325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8F12DA9B-67ED-4E34-B07F-D6C332F8B07F}"/>
            </a:ext>
          </a:extLst>
        </xdr:cNvPr>
        <xdr:cNvGrpSpPr/>
      </xdr:nvGrpSpPr>
      <xdr:grpSpPr>
        <a:xfrm>
          <a:off x="9874047" y="821390"/>
          <a:ext cx="76286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0DEE2775-27FB-780C-A460-7C42D4DA969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86CE572D-7BCE-228C-BF11-B00EAEB54E3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38B6B6B-F00B-AB5A-7C65-42355D45A587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6DB47-B566-4E49-9E15-F9CC00B58342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A3D672AC-4E82-4088-A8ED-705F2A6C22D9}"/>
            </a:ext>
          </a:extLst>
        </xdr:cNvPr>
        <xdr:cNvGrpSpPr/>
      </xdr:nvGrpSpPr>
      <xdr:grpSpPr>
        <a:xfrm>
          <a:off x="10631271" y="82422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D1B65DC1-30D9-43A3-5F46-693DAE5A8BA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8AE8947-4A40-6EBD-ACF4-9FAF5E061BBE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4AE2DA8-91C7-CAF3-DEB1-5AE3F53D7FB4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D5DDF5F-97AD-4CDB-9A6E-DB20F8265665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06F7E5-E2BA-4833-9FFA-B8D82095C6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6F433B0-DBD5-40E1-8CD8-7957176DC0D4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DCB93B9-3E77-4763-A015-7DEEA759F332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49B4A1-F840-4676-A5D5-F29B867623FF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CCBE085-2BFB-4145-A7DE-B797BFC5B190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2F6601-2554-4278-9CBE-006D92BEA608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5FD85E7-C3CF-44D6-85AA-16A4F6A84A0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B546039-DF56-45AD-A93E-2985E349C0F5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55240B-34A7-4883-8E5D-019B4744585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0685941-0759-4E80-9109-3E554891265C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80C4FC9-9C60-4E6C-840D-27E4215A3B5B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043EB0B-456D-4955-A8BC-8D204CF6C8DA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4492F261-1175-4ED5-A140-14C9E1662330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E41D18-DAF2-4D68-AE9D-F8EC7F16D09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C98A8414-3E16-4775-8F26-B60E78A3DE9A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DE37E98-DCCD-4B65-85ED-EDD822B92899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492C0D5-3C9E-4FB5-A252-FC14FB2325AE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434DCC-C954-40F0-9112-C89908834603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9FE43B-F5F8-4307-8E55-B864EE16D6E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EAB92BE-2269-4B6B-8C23-3D1B901B29C1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EA77A68-F61E-42BB-8523-EC5EE72C93F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D847377-2E27-45EC-B2C5-8346AA18C2F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BA76F02-134A-4553-A168-18E15AE7DC6F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256AE83-10A8-48C4-B4C9-E6EB0F8B6EB0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EBBF39A7-E81A-4D2C-85EE-6FA5D02B31A3}"/>
            </a:ext>
          </a:extLst>
        </xdr:cNvPr>
        <xdr:cNvGrpSpPr/>
      </xdr:nvGrpSpPr>
      <xdr:grpSpPr>
        <a:xfrm>
          <a:off x="9796130" y="2042699"/>
          <a:ext cx="194624" cy="120549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7D4EF0C-9AF9-59F7-BBE0-746AF2196022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77DE1BD3-632C-CD35-29DE-B10C0E4FC81B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FF055DD2-1272-4377-9985-2DFEFF4A73C7}"/>
            </a:ext>
          </a:extLst>
        </xdr:cNvPr>
        <xdr:cNvGrpSpPr/>
      </xdr:nvGrpSpPr>
      <xdr:grpSpPr>
        <a:xfrm>
          <a:off x="10586372" y="2043282"/>
          <a:ext cx="198434" cy="120548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646FFFA-28C8-E2BF-1F1D-31365AA3CF5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7AD0899B-4DA6-AAAE-7B76-76DBA2925F0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7308D1EB-143D-4D28-8AB5-AC27C027D702}"/>
            </a:ext>
          </a:extLst>
        </xdr:cNvPr>
        <xdr:cNvGrpSpPr/>
      </xdr:nvGrpSpPr>
      <xdr:grpSpPr>
        <a:xfrm>
          <a:off x="9731200" y="2211114"/>
          <a:ext cx="318639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6E1F94E1-F523-3714-A194-06F1A3DD75BD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1685CF44-A3DF-A5DB-85B9-4971B3163D92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17E3A61-AF4A-EBF3-D1E8-F5B07B16767D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3B668C58-FDDD-87C2-B484-8EFC1FA9E58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16CE1254-755E-48F4-AB7C-A1B57F334BD6}"/>
            </a:ext>
          </a:extLst>
        </xdr:cNvPr>
        <xdr:cNvGrpSpPr/>
      </xdr:nvGrpSpPr>
      <xdr:grpSpPr>
        <a:xfrm>
          <a:off x="10517124" y="2211114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F650B4A-D5A9-B43F-90CF-D993E21BDFB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CFF2348-F038-16BB-0143-13392A2DF564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F1B6ED2D-0911-44BA-8A47-605DA6C0631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2684A1B-2C20-66DD-169A-C0EA8E959EE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5F9E7B-B842-4FA5-88AB-05EDCFFBFF23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E8F734-3E22-4FE0-92CB-2632D2305372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363B8-82D5-4758-A0D4-8D67474043F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257268-F1ED-4612-8F90-BF05B6442A04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102D3213-E6EB-4A47-B5EF-DA61B36050D7}"/>
            </a:ext>
          </a:extLst>
        </xdr:cNvPr>
        <xdr:cNvGrpSpPr/>
      </xdr:nvGrpSpPr>
      <xdr:grpSpPr>
        <a:xfrm>
          <a:off x="9849749" y="1905410"/>
          <a:ext cx="114883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90B16824-19C8-00CE-15EF-2704A84CA963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7D83500C-1006-3ADD-DA34-C8E22822C89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7582DEC6-25CE-0DFC-12CE-52939F19A03A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9C1072F1-7624-4CF9-BBF3-2E012F8F300C}"/>
            </a:ext>
          </a:extLst>
        </xdr:cNvPr>
        <xdr:cNvGrpSpPr/>
      </xdr:nvGrpSpPr>
      <xdr:grpSpPr>
        <a:xfrm>
          <a:off x="10621147" y="1906116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82F07EA5-D7DA-F2F2-0EE3-94523EB7C97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FD0A295-BCDD-4F33-2CCA-41E91B6E9DB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DA7AE1FF-8EB8-65DE-B741-60E093D6C6B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B93C3290-3D12-40E0-ABE1-736D544A2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3663DC2-25EC-4E0E-8FE8-CC318D1E03F5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3ABDF3-82D6-4917-9A1D-8B47508BEAA2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9338F22-F834-48B6-81F2-381A1CF10537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FF8A146-B9B8-4317-B736-FDCD5B2B1943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296543-5B94-4733-9134-55229C5CDECB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2E38087-442C-420E-A41D-F9DD452C1E5E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B6BC3E79-A6CB-476F-889D-4AB982F260DB}"/>
            </a:ext>
          </a:extLst>
        </xdr:cNvPr>
        <xdr:cNvGrpSpPr/>
      </xdr:nvGrpSpPr>
      <xdr:grpSpPr>
        <a:xfrm rot="21429191">
          <a:off x="7131421" y="8956930"/>
          <a:ext cx="83822" cy="82871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FFDA0321-74D4-FAD6-2FD0-0018810FEB1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FD4AFA23-C52D-8194-8A51-43998E1BE96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695F8473-3FB3-C323-3616-E5261F00A38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D481D6F-22B4-4F0A-A8A9-6EAC34F5352C}"/>
            </a:ext>
          </a:extLst>
        </xdr:cNvPr>
        <xdr:cNvGrpSpPr/>
      </xdr:nvGrpSpPr>
      <xdr:grpSpPr>
        <a:xfrm>
          <a:off x="12687541" y="2298519"/>
          <a:ext cx="107252" cy="65187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C31D1B2A-1183-F407-B1CB-FBABAC2C6CD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FE99D3B6-5E3C-C633-48C2-16399BB6E19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25512F89-64DB-27EC-67CA-8DCD285E8C6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B88C3670-48D4-455D-88C7-DD2D1C6C500D}"/>
            </a:ext>
          </a:extLst>
        </xdr:cNvPr>
        <xdr:cNvGrpSpPr/>
      </xdr:nvGrpSpPr>
      <xdr:grpSpPr>
        <a:xfrm>
          <a:off x="12644013" y="2443485"/>
          <a:ext cx="139135" cy="66758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7F30983-D492-9D11-4B79-E867A5265C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B4C4B35B-516D-BEBA-35D8-ED370D8C0C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AF5780C1-E985-0B98-BB54-C8B327185A5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0159F0E-2F92-C8D6-FBD5-08572783BDB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ED481BD-DEA4-4CCF-A35B-5180C661855A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C15F1A4D-3D60-47CE-AEDB-0FD9A21C085F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CD804BC7-23FC-4ADF-94AC-EABF0F76094A}"/>
            </a:ext>
          </a:extLst>
        </xdr:cNvPr>
        <xdr:cNvGrpSpPr/>
      </xdr:nvGrpSpPr>
      <xdr:grpSpPr>
        <a:xfrm>
          <a:off x="11849720" y="2888519"/>
          <a:ext cx="206054" cy="120549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AA1CC03-7DFB-F23A-4EAD-E169125BB0F3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BA09AF97-8B30-8954-B598-D92BC79C719F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0947B8F1-271C-478D-91C4-2394384B53F6}"/>
            </a:ext>
          </a:extLst>
        </xdr:cNvPr>
        <xdr:cNvGrpSpPr/>
      </xdr:nvGrpSpPr>
      <xdr:grpSpPr>
        <a:xfrm>
          <a:off x="12643772" y="2889102"/>
          <a:ext cx="206054" cy="120548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BCD5ACB5-D3BD-A1D3-6B90-D283D64D45E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9C9F96B1-0826-57F1-86A6-741BDFEF4AD8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750C81BD-1857-4397-ADA7-5B69C10BCC06}"/>
            </a:ext>
          </a:extLst>
        </xdr:cNvPr>
        <xdr:cNvGrpSpPr/>
      </xdr:nvGrpSpPr>
      <xdr:grpSpPr>
        <a:xfrm>
          <a:off x="11792410" y="3056934"/>
          <a:ext cx="322449" cy="83914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911DB963-F909-9AA8-D0F9-512F55D363B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6EB6C91-C3EC-F022-8B22-59C07041160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70959B2D-FFA0-E246-287A-6B545555610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B4EEF1FA-1CC0-CA80-3DA1-D395C1BDBD6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D49FD2DB-5D04-40D2-9D96-6AA23829EBAB}"/>
            </a:ext>
          </a:extLst>
        </xdr:cNvPr>
        <xdr:cNvGrpSpPr/>
      </xdr:nvGrpSpPr>
      <xdr:grpSpPr>
        <a:xfrm>
          <a:off x="12582144" y="3056934"/>
          <a:ext cx="322449" cy="83914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3366DBBE-DD05-A699-D478-7D72FAEC3E14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BE10A80-6DE1-0E1F-9054-A9406D6D2A23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4E268D9A-E6E0-2643-54DC-4D538845C93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C3C13992-3A4F-2A8A-B941-3EBC230219F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4FFBF67-340D-4524-8367-D0BD4553970B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354E20E-4B66-4FB0-BD34-EB66B82F8C1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6F1141D-D192-4865-AD51-F5C9A76D9FAF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82221EB-F173-4345-BDE5-385B095742A4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8B556E18-299F-4721-BA0D-044775A3823A}"/>
            </a:ext>
          </a:extLst>
        </xdr:cNvPr>
        <xdr:cNvGrpSpPr/>
      </xdr:nvGrpSpPr>
      <xdr:grpSpPr>
        <a:xfrm>
          <a:off x="11903339" y="2753135"/>
          <a:ext cx="126313" cy="62050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9C4B6F53-CF21-ECB4-72E5-BEACC294EB76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D609C60E-CFBA-EE41-C7EA-74DFB3F1FC01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A7910000-8AFC-1597-A74D-61B0917C1DB5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0F2D76A0-021F-4A32-AE14-85E4960311E6}"/>
            </a:ext>
          </a:extLst>
        </xdr:cNvPr>
        <xdr:cNvGrpSpPr/>
      </xdr:nvGrpSpPr>
      <xdr:grpSpPr>
        <a:xfrm>
          <a:off x="12678547" y="2753841"/>
          <a:ext cx="126313" cy="62050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6FF54D28-E15C-7E06-F4FF-F1F70669609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75E11AB9-D24E-C1C5-99C8-BD4F9C8409F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29AC76BE-E75C-9FAE-8ADF-C3AA183B63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374359</xdr:colOff>
      <xdr:row>9</xdr:row>
      <xdr:rowOff>1</xdr:rowOff>
    </xdr:from>
    <xdr:to>
      <xdr:col>11</xdr:col>
      <xdr:colOff>161925</xdr:colOff>
      <xdr:row>34</xdr:row>
      <xdr:rowOff>95251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7EFE146-354B-4EB6-B29A-DCEDA641F538}"/>
            </a:ext>
          </a:extLst>
        </xdr:cNvPr>
        <xdr:cNvSpPr txBox="1"/>
      </xdr:nvSpPr>
      <xdr:spPr>
        <a:xfrm rot="5400000">
          <a:off x="1858817" y="3258993"/>
          <a:ext cx="3905250" cy="16856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1998630-9AF0-4CC7-A25E-54D97AE1C908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3111781F-9BF1-4C22-9147-A2049A113596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3CC8571-3B7A-46F7-8BD7-E29C1338AF00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491413C-6DD2-4F0F-AC80-746E29345CF4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66261AB-694B-4D35-8C21-425F59FFB21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FB4EF83-DECD-4493-8E15-686BE5AF3017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3EC44B1B-EFED-4220-B72E-9B811AC040C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389FCD71-EBFB-41DE-8916-BED9763EBDD8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75957927-2BAF-4065-B2CE-F97EDA9A54FC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8BF0DF3E-E5C2-4EB9-8745-D44791CCEC99}"/>
            </a:ext>
          </a:extLst>
        </xdr:cNvPr>
        <xdr:cNvGrpSpPr/>
      </xdr:nvGrpSpPr>
      <xdr:grpSpPr>
        <a:xfrm>
          <a:off x="2971800" y="8686800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CD2F7FFA-37B6-DBA8-067B-DE70EC8523D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59BE5E0E-9FE1-D61D-0C38-7E4A91094A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FE165C2D-9A72-E69C-360C-F9F4FC2AEB1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9F477B5D-416F-48DA-ACB9-F2935055E8FE}"/>
            </a:ext>
          </a:extLst>
        </xdr:cNvPr>
        <xdr:cNvGrpSpPr/>
      </xdr:nvGrpSpPr>
      <xdr:grpSpPr>
        <a:xfrm>
          <a:off x="3375660" y="8665846"/>
          <a:ext cx="158386" cy="141173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E63B4F7F-A142-2756-8D8A-5CA3CB7387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44C57B58-2C3B-326D-9B18-E9305FE8D56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3C8E6565-9151-AC7D-3EA8-616CA6EAFE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8708E64-4339-4820-A512-D017EE3DC447}"/>
            </a:ext>
          </a:extLst>
        </xdr:cNvPr>
        <xdr:cNvGrpSpPr/>
      </xdr:nvGrpSpPr>
      <xdr:grpSpPr>
        <a:xfrm>
          <a:off x="3910965" y="8703944"/>
          <a:ext cx="157278" cy="141175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60499FD0-3B25-5E15-8188-9810E5E665A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69E9635-370C-7D8C-FCC2-0AD0493427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27D3B5DA-7FEF-740D-DCE1-92734772C2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181929</xdr:colOff>
      <xdr:row>20</xdr:row>
      <xdr:rowOff>74296</xdr:rowOff>
    </xdr:from>
    <xdr:to>
      <xdr:col>13</xdr:col>
      <xdr:colOff>326481</xdr:colOff>
      <xdr:row>21</xdr:row>
      <xdr:rowOff>70729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83FCC763-F473-4E28-AB3E-BF4902CBC2DA}"/>
            </a:ext>
          </a:extLst>
        </xdr:cNvPr>
        <xdr:cNvGrpSpPr/>
      </xdr:nvGrpSpPr>
      <xdr:grpSpPr>
        <a:xfrm>
          <a:off x="4677729" y="3150871"/>
          <a:ext cx="144552" cy="148833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1A295A-315C-4C3D-E64B-07817552BFD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F52EA243-0D72-89E3-6312-5A91C38E36F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6A357142-FE92-A2F8-6163-001D3C64832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8E7BAFF-8FA3-4720-96CD-9772E4F4D711}"/>
            </a:ext>
          </a:extLst>
        </xdr:cNvPr>
        <xdr:cNvGrpSpPr/>
      </xdr:nvGrpSpPr>
      <xdr:grpSpPr>
        <a:xfrm>
          <a:off x="4758690" y="8698229"/>
          <a:ext cx="125502" cy="141618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2CD9B4FB-5D45-63DC-A2CF-01C5F4FA22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E4BB43DF-F3E0-C91D-C7D3-3C38DDF38EB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6C8480F7-AA87-E1DE-4D0A-A484B10F54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6" name="Straight Connector 140">
          <a:extLst>
            <a:ext uri="{FF2B5EF4-FFF2-40B4-BE49-F238E27FC236}">
              <a16:creationId xmlns:a16="http://schemas.microsoft.com/office/drawing/2014/main" id="{8FA2BC6A-96A4-45C2-971B-E9F71CB6E5C8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A03B60C6-1E8A-4D32-A9BF-2F3965984D45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BBCA904C-F9E0-4482-9B12-A0496A36BAAA}"/>
            </a:ext>
          </a:extLst>
        </xdr:cNvPr>
        <xdr:cNvGrpSpPr/>
      </xdr:nvGrpSpPr>
      <xdr:grpSpPr>
        <a:xfrm>
          <a:off x="5236845" y="8660130"/>
          <a:ext cx="125502" cy="148834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57BA697-B870-FA42-B18D-0AE0FBE25E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62AD6806-FFF9-2C4F-3AEB-740FF1454E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CF4C2710-6E06-45F9-893E-06713AD394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0C7DE1BB-4136-4BA6-9C3C-D28DB95AE288}"/>
            </a:ext>
          </a:extLst>
        </xdr:cNvPr>
        <xdr:cNvGrpSpPr/>
      </xdr:nvGrpSpPr>
      <xdr:grpSpPr>
        <a:xfrm>
          <a:off x="5747385" y="8721090"/>
          <a:ext cx="144423" cy="154928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74589A36-35ED-4269-7B14-3A80B92E59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A5F60117-047F-5464-F9A9-F5F58A763F3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60E5FA93-BEC3-6BD2-D46E-01C539D02B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EED28218-E400-4596-BDEE-D380CAC75509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01C10AF7-C94C-434D-9159-ED7C372E840A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AF47834C-7E19-4B2A-9C4F-27EA39C9A9D0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3A8A0CA9-D0B8-4366-9CD0-60765678C88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60" name="TextBox 160">
          <a:extLst>
            <a:ext uri="{FF2B5EF4-FFF2-40B4-BE49-F238E27FC236}">
              <a16:creationId xmlns:a16="http://schemas.microsoft.com/office/drawing/2014/main" id="{E2E731BF-D32F-4E94-89B1-F71401CF9E11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BDEFA8E5-544C-4F63-BD01-6B6359B75668}"/>
            </a:ext>
          </a:extLst>
        </xdr:cNvPr>
        <xdr:cNvGrpSpPr/>
      </xdr:nvGrpSpPr>
      <xdr:grpSpPr>
        <a:xfrm>
          <a:off x="2426970" y="8631555"/>
          <a:ext cx="231003" cy="94715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FD9BD94A-1298-4FBC-9DC7-1E0CE2281CB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4804DBF-406E-626E-D414-CE0CB09D03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82BAFBA7-E37B-ADE9-C847-74B661DE4C8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F863BD6A-F9A4-4756-BCB4-0CF7F2391C3F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F3866B91-080D-41F8-9EEE-03A25933F9FA}"/>
            </a:ext>
          </a:extLst>
        </xdr:cNvPr>
        <xdr:cNvGrpSpPr/>
      </xdr:nvGrpSpPr>
      <xdr:grpSpPr>
        <a:xfrm>
          <a:off x="1948815" y="8862061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C9C7EBC6-5E06-CE0C-1B4D-5E0078D1201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568762E5-A624-40D2-EBEF-C8A846FA102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386E3184-8236-F897-5630-052F80FF1ADB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C3074276-9A36-4268-818C-0C45DDBC95C2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FBFF1AC8-49BC-49E9-939D-919E92765423}"/>
            </a:ext>
          </a:extLst>
        </xdr:cNvPr>
        <xdr:cNvGrpSpPr/>
      </xdr:nvGrpSpPr>
      <xdr:grpSpPr>
        <a:xfrm rot="21429191">
          <a:off x="7494270" y="8970646"/>
          <a:ext cx="83822" cy="82871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F634AD8E-5028-8F5C-83C3-1A56EE41D27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26E88FE7-A50C-10D3-7092-7C33D19BA67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1F541770-8271-2F78-761C-0E80A6AB877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8953BDCC-F16A-443A-B827-FCAAE7FC968E}"/>
            </a:ext>
          </a:extLst>
        </xdr:cNvPr>
        <xdr:cNvGrpSpPr/>
      </xdr:nvGrpSpPr>
      <xdr:grpSpPr>
        <a:xfrm>
          <a:off x="7715250" y="8973503"/>
          <a:ext cx="139135" cy="66758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A12B48BB-07BD-3885-4171-BB5B95E00EC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19A9F328-96A7-C63C-3A36-D911E7241BF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0D4B8572-446A-4BCB-A789-7D6A5ED7E11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FE46853E-6705-F42F-31FC-386E43FA359E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A0EC342A-B392-4A5A-9456-18377E4CF717}"/>
            </a:ext>
          </a:extLst>
        </xdr:cNvPr>
        <xdr:cNvGrpSpPr/>
      </xdr:nvGrpSpPr>
      <xdr:grpSpPr>
        <a:xfrm>
          <a:off x="7928610" y="8958262"/>
          <a:ext cx="139135" cy="66758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4FA306E4-0460-383C-C42B-60A05380554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9FFC2FEE-ED07-D80E-2134-3716C876B27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CA435612-7095-1DCE-192E-80F36589900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DC13AC2C-47FD-FB71-6BA8-07A7F695756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211455</xdr:colOff>
      <xdr:row>20</xdr:row>
      <xdr:rowOff>78104</xdr:rowOff>
    </xdr:from>
    <xdr:to>
      <xdr:col>11</xdr:col>
      <xdr:colOff>356007</xdr:colOff>
      <xdr:row>21</xdr:row>
      <xdr:rowOff>74537</xdr:rowOff>
    </xdr:to>
    <xdr:grpSp>
      <xdr:nvGrpSpPr>
        <xdr:cNvPr id="185" name="Group 13">
          <a:extLst>
            <a:ext uri="{FF2B5EF4-FFF2-40B4-BE49-F238E27FC236}">
              <a16:creationId xmlns:a16="http://schemas.microsoft.com/office/drawing/2014/main" id="{96D1C79F-097D-4728-A136-E242A5759B50}"/>
            </a:ext>
          </a:extLst>
        </xdr:cNvPr>
        <xdr:cNvGrpSpPr/>
      </xdr:nvGrpSpPr>
      <xdr:grpSpPr>
        <a:xfrm>
          <a:off x="3945255" y="3154679"/>
          <a:ext cx="144552" cy="148833"/>
          <a:chOff x="9937028" y="802652"/>
          <a:chExt cx="83991" cy="77961"/>
        </a:xfrm>
      </xdr:grpSpPr>
      <xdr:sp macro="" textlink="">
        <xdr:nvSpPr>
          <xdr:cNvPr id="186" name="Oval 1">
            <a:extLst>
              <a:ext uri="{FF2B5EF4-FFF2-40B4-BE49-F238E27FC236}">
                <a16:creationId xmlns:a16="http://schemas.microsoft.com/office/drawing/2014/main" id="{3132339A-C52F-ACAE-F70B-3FA0A83FDBA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7" name="Straight Connector 3">
            <a:extLst>
              <a:ext uri="{FF2B5EF4-FFF2-40B4-BE49-F238E27FC236}">
                <a16:creationId xmlns:a16="http://schemas.microsoft.com/office/drawing/2014/main" id="{D222E405-CA0E-BEFE-8D11-92CB853D5CC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Connector 7">
            <a:extLst>
              <a:ext uri="{FF2B5EF4-FFF2-40B4-BE49-F238E27FC236}">
                <a16:creationId xmlns:a16="http://schemas.microsoft.com/office/drawing/2014/main" id="{94048102-0840-E304-5161-1DA969F62BD0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316098</xdr:colOff>
      <xdr:row>40</xdr:row>
      <xdr:rowOff>136664</xdr:rowOff>
    </xdr:from>
    <xdr:to>
      <xdr:col>16</xdr:col>
      <xdr:colOff>4440</xdr:colOff>
      <xdr:row>46</xdr:row>
      <xdr:rowOff>96163</xdr:rowOff>
    </xdr:to>
    <xdr:sp macro="" textlink="">
      <xdr:nvSpPr>
        <xdr:cNvPr id="189" name="Rectangle 1">
          <a:extLst>
            <a:ext uri="{FF2B5EF4-FFF2-40B4-BE49-F238E27FC236}">
              <a16:creationId xmlns:a16="http://schemas.microsoft.com/office/drawing/2014/main" id="{975604C4-8EB8-49C8-A95D-44A7A713F848}"/>
            </a:ext>
          </a:extLst>
        </xdr:cNvPr>
        <xdr:cNvSpPr/>
      </xdr:nvSpPr>
      <xdr:spPr>
        <a:xfrm rot="16200000">
          <a:off x="4790619" y="6292043"/>
          <a:ext cx="873899" cy="83134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296738</xdr:colOff>
      <xdr:row>20</xdr:row>
      <xdr:rowOff>81316</xdr:rowOff>
    </xdr:from>
    <xdr:to>
      <xdr:col>17</xdr:col>
      <xdr:colOff>94808</xdr:colOff>
      <xdr:row>20</xdr:row>
      <xdr:rowOff>117046</xdr:rowOff>
    </xdr:to>
    <xdr:cxnSp macro="">
      <xdr:nvCxnSpPr>
        <xdr:cNvPr id="191" name="Straight Connector 139">
          <a:extLst>
            <a:ext uri="{FF2B5EF4-FFF2-40B4-BE49-F238E27FC236}">
              <a16:creationId xmlns:a16="http://schemas.microsoft.com/office/drawing/2014/main" id="{491ABDDB-D972-41D2-8BB5-AB2FA054AAF6}"/>
            </a:ext>
          </a:extLst>
        </xdr:cNvPr>
        <xdr:cNvCxnSpPr>
          <a:cxnSpLocks/>
        </xdr:cNvCxnSpPr>
      </xdr:nvCxnSpPr>
      <xdr:spPr bwMode="auto">
        <a:xfrm>
          <a:off x="4030538" y="3157891"/>
          <a:ext cx="2084070" cy="357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20</xdr:row>
      <xdr:rowOff>99060</xdr:rowOff>
    </xdr:from>
    <xdr:to>
      <xdr:col>15</xdr:col>
      <xdr:colOff>277902</xdr:colOff>
      <xdr:row>21</xdr:row>
      <xdr:rowOff>95491</xdr:rowOff>
    </xdr:to>
    <xdr:grpSp>
      <xdr:nvGrpSpPr>
        <xdr:cNvPr id="192" name="Group 13">
          <a:extLst>
            <a:ext uri="{FF2B5EF4-FFF2-40B4-BE49-F238E27FC236}">
              <a16:creationId xmlns:a16="http://schemas.microsoft.com/office/drawing/2014/main" id="{E521A9ED-AA4C-4265-BF39-0833B956C14F}"/>
            </a:ext>
          </a:extLst>
        </xdr:cNvPr>
        <xdr:cNvGrpSpPr/>
      </xdr:nvGrpSpPr>
      <xdr:grpSpPr>
        <a:xfrm>
          <a:off x="5391150" y="3175635"/>
          <a:ext cx="144552" cy="148831"/>
          <a:chOff x="9937028" y="802652"/>
          <a:chExt cx="83991" cy="77961"/>
        </a:xfrm>
      </xdr:grpSpPr>
      <xdr:sp macro="" textlink="">
        <xdr:nvSpPr>
          <xdr:cNvPr id="193" name="Oval 1">
            <a:extLst>
              <a:ext uri="{FF2B5EF4-FFF2-40B4-BE49-F238E27FC236}">
                <a16:creationId xmlns:a16="http://schemas.microsoft.com/office/drawing/2014/main" id="{B77135F7-4DA5-72FC-5B21-1F9F6357DBBF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4" name="Straight Connector 3">
            <a:extLst>
              <a:ext uri="{FF2B5EF4-FFF2-40B4-BE49-F238E27FC236}">
                <a16:creationId xmlns:a16="http://schemas.microsoft.com/office/drawing/2014/main" id="{B6423018-9667-E2FB-B085-CF278AFAE3C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Straight Connector 7">
            <a:extLst>
              <a:ext uri="{FF2B5EF4-FFF2-40B4-BE49-F238E27FC236}">
                <a16:creationId xmlns:a16="http://schemas.microsoft.com/office/drawing/2014/main" id="{F066A521-3942-C43A-EC80-E50E12C243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20</xdr:row>
      <xdr:rowOff>133350</xdr:rowOff>
    </xdr:from>
    <xdr:to>
      <xdr:col>11</xdr:col>
      <xdr:colOff>211455</xdr:colOff>
      <xdr:row>21</xdr:row>
      <xdr:rowOff>121</xdr:rowOff>
    </xdr:to>
    <xdr:cxnSp macro="">
      <xdr:nvCxnSpPr>
        <xdr:cNvPr id="196" name="Straight Connector 139">
          <a:extLst>
            <a:ext uri="{FF2B5EF4-FFF2-40B4-BE49-F238E27FC236}">
              <a16:creationId xmlns:a16="http://schemas.microsoft.com/office/drawing/2014/main" id="{A14C62F0-2CB1-44D5-854D-80FD8B393553}"/>
            </a:ext>
          </a:extLst>
        </xdr:cNvPr>
        <xdr:cNvCxnSpPr>
          <a:cxnSpLocks/>
          <a:endCxn id="186" idx="2"/>
        </xdr:cNvCxnSpPr>
      </xdr:nvCxnSpPr>
      <xdr:spPr bwMode="auto">
        <a:xfrm>
          <a:off x="2771775" y="3209925"/>
          <a:ext cx="1173480" cy="1917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21</xdr:row>
      <xdr:rowOff>47624</xdr:rowOff>
    </xdr:from>
    <xdr:to>
      <xdr:col>17</xdr:col>
      <xdr:colOff>2119</xdr:colOff>
      <xdr:row>21</xdr:row>
      <xdr:rowOff>79410</xdr:rowOff>
    </xdr:to>
    <xdr:cxnSp macro="">
      <xdr:nvCxnSpPr>
        <xdr:cNvPr id="198" name="Straight Connector 139">
          <a:extLst>
            <a:ext uri="{FF2B5EF4-FFF2-40B4-BE49-F238E27FC236}">
              <a16:creationId xmlns:a16="http://schemas.microsoft.com/office/drawing/2014/main" id="{BBB57418-2736-446B-9AB5-180F6E11B600}"/>
            </a:ext>
          </a:extLst>
        </xdr:cNvPr>
        <xdr:cNvCxnSpPr>
          <a:cxnSpLocks/>
          <a:endCxn id="236" idx="3"/>
        </xdr:cNvCxnSpPr>
      </xdr:nvCxnSpPr>
      <xdr:spPr bwMode="auto">
        <a:xfrm>
          <a:off x="4038600" y="3276599"/>
          <a:ext cx="1983319" cy="3178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48578</xdr:colOff>
      <xdr:row>38</xdr:row>
      <xdr:rowOff>45120</xdr:rowOff>
    </xdr:from>
    <xdr:to>
      <xdr:col>17</xdr:col>
      <xdr:colOff>2119</xdr:colOff>
      <xdr:row>41</xdr:row>
      <xdr:rowOff>131445</xdr:rowOff>
    </xdr:to>
    <xdr:cxnSp macro="">
      <xdr:nvCxnSpPr>
        <xdr:cNvPr id="199" name="Straight Connector 139">
          <a:extLst>
            <a:ext uri="{FF2B5EF4-FFF2-40B4-BE49-F238E27FC236}">
              <a16:creationId xmlns:a16="http://schemas.microsoft.com/office/drawing/2014/main" id="{91977968-7F47-4ED3-B896-A83804DEBB64}"/>
            </a:ext>
          </a:extLst>
        </xdr:cNvPr>
        <xdr:cNvCxnSpPr>
          <a:cxnSpLocks/>
          <a:stCxn id="202" idx="0"/>
        </xdr:cNvCxnSpPr>
      </xdr:nvCxnSpPr>
      <xdr:spPr bwMode="auto">
        <a:xfrm flipV="1">
          <a:off x="5687378" y="5874420"/>
          <a:ext cx="334541" cy="5435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346710</xdr:colOff>
      <xdr:row>41</xdr:row>
      <xdr:rowOff>131445</xdr:rowOff>
    </xdr:from>
    <xdr:to>
      <xdr:col>16</xdr:col>
      <xdr:colOff>131445</xdr:colOff>
      <xdr:row>42</xdr:row>
      <xdr:rowOff>131445</xdr:rowOff>
    </xdr:to>
    <xdr:sp macro="" textlink="">
      <xdr:nvSpPr>
        <xdr:cNvPr id="202" name="Rectangle 146">
          <a:extLst>
            <a:ext uri="{FF2B5EF4-FFF2-40B4-BE49-F238E27FC236}">
              <a16:creationId xmlns:a16="http://schemas.microsoft.com/office/drawing/2014/main" id="{4BE35D7F-97C7-438B-8F57-45AED1831006}"/>
            </a:ext>
          </a:extLst>
        </xdr:cNvPr>
        <xdr:cNvSpPr/>
      </xdr:nvSpPr>
      <xdr:spPr>
        <a:xfrm>
          <a:off x="5604510" y="6417945"/>
          <a:ext cx="165735" cy="152400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11</xdr:col>
      <xdr:colOff>137160</xdr:colOff>
      <xdr:row>18</xdr:row>
      <xdr:rowOff>34291</xdr:rowOff>
    </xdr:from>
    <xdr:to>
      <xdr:col>13</xdr:col>
      <xdr:colOff>156570</xdr:colOff>
      <xdr:row>19</xdr:row>
      <xdr:rowOff>68685</xdr:rowOff>
    </xdr:to>
    <xdr:sp macro="" textlink="">
      <xdr:nvSpPr>
        <xdr:cNvPr id="208" name="TextBox 160">
          <a:extLst>
            <a:ext uri="{FF2B5EF4-FFF2-40B4-BE49-F238E27FC236}">
              <a16:creationId xmlns:a16="http://schemas.microsoft.com/office/drawing/2014/main" id="{F998543A-447B-4D87-BEDC-FAB77C954031}"/>
            </a:ext>
          </a:extLst>
        </xdr:cNvPr>
        <xdr:cNvSpPr txBox="1"/>
      </xdr:nvSpPr>
      <xdr:spPr>
        <a:xfrm>
          <a:off x="3870960" y="2806066"/>
          <a:ext cx="781410" cy="186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baseline="0">
              <a:solidFill>
                <a:srgbClr val="FF0000"/>
              </a:solidFill>
              <a:effectLst/>
            </a:rPr>
            <a:t>1 Ph </a:t>
          </a:r>
          <a:r>
            <a:rPr lang="xx-YY" sz="800" baseline="0">
              <a:solidFill>
                <a:srgbClr val="FF0000"/>
              </a:solidFill>
              <a:effectLst/>
            </a:rPr>
            <a:t>50</a:t>
          </a:r>
          <a:r>
            <a:rPr lang="en-ID" sz="800" baseline="0">
              <a:solidFill>
                <a:srgbClr val="FF0000"/>
              </a:solidFill>
              <a:effectLst/>
            </a:rPr>
            <a:t>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352425</xdr:colOff>
      <xdr:row>20</xdr:row>
      <xdr:rowOff>71437</xdr:rowOff>
    </xdr:from>
    <xdr:to>
      <xdr:col>9</xdr:col>
      <xdr:colOff>115977</xdr:colOff>
      <xdr:row>21</xdr:row>
      <xdr:rowOff>67870</xdr:rowOff>
    </xdr:to>
    <xdr:grpSp>
      <xdr:nvGrpSpPr>
        <xdr:cNvPr id="212" name="Group 13">
          <a:extLst>
            <a:ext uri="{FF2B5EF4-FFF2-40B4-BE49-F238E27FC236}">
              <a16:creationId xmlns:a16="http://schemas.microsoft.com/office/drawing/2014/main" id="{63C10AB1-F4E2-416B-848A-FE3A9F8F6EDB}"/>
            </a:ext>
          </a:extLst>
        </xdr:cNvPr>
        <xdr:cNvGrpSpPr/>
      </xdr:nvGrpSpPr>
      <xdr:grpSpPr>
        <a:xfrm>
          <a:off x="2943225" y="3148012"/>
          <a:ext cx="144552" cy="148833"/>
          <a:chOff x="9937028" y="802652"/>
          <a:chExt cx="83991" cy="77961"/>
        </a:xfrm>
      </xdr:grpSpPr>
      <xdr:sp macro="" textlink="">
        <xdr:nvSpPr>
          <xdr:cNvPr id="213" name="Oval 1">
            <a:extLst>
              <a:ext uri="{FF2B5EF4-FFF2-40B4-BE49-F238E27FC236}">
                <a16:creationId xmlns:a16="http://schemas.microsoft.com/office/drawing/2014/main" id="{A4EBF03A-4CD3-16E2-B295-FEFB265A4BD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4" name="Straight Connector 3">
            <a:extLst>
              <a:ext uri="{FF2B5EF4-FFF2-40B4-BE49-F238E27FC236}">
                <a16:creationId xmlns:a16="http://schemas.microsoft.com/office/drawing/2014/main" id="{A59F84A7-86EA-FD93-E0DC-46EE07DCD37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7">
            <a:extLst>
              <a:ext uri="{FF2B5EF4-FFF2-40B4-BE49-F238E27FC236}">
                <a16:creationId xmlns:a16="http://schemas.microsoft.com/office/drawing/2014/main" id="{F2938ABF-E250-BA57-B7DA-5E5FB71A600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341457</xdr:colOff>
      <xdr:row>22</xdr:row>
      <xdr:rowOff>30017</xdr:rowOff>
    </xdr:from>
    <xdr:to>
      <xdr:col>20</xdr:col>
      <xdr:colOff>104774</xdr:colOff>
      <xdr:row>23</xdr:row>
      <xdr:rowOff>9525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BE06D7FA-3130-4A02-822C-5F3A0438BA04}"/>
            </a:ext>
          </a:extLst>
        </xdr:cNvPr>
        <xdr:cNvSpPr txBox="1"/>
      </xdr:nvSpPr>
      <xdr:spPr>
        <a:xfrm>
          <a:off x="2170257" y="3411392"/>
          <a:ext cx="5097317" cy="13190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10</xdr:col>
      <xdr:colOff>180975</xdr:colOff>
      <xdr:row>14</xdr:row>
      <xdr:rowOff>57150</xdr:rowOff>
    </xdr:from>
    <xdr:to>
      <xdr:col>10</xdr:col>
      <xdr:colOff>325527</xdr:colOff>
      <xdr:row>15</xdr:row>
      <xdr:rowOff>53583</xdr:rowOff>
    </xdr:to>
    <xdr:grpSp>
      <xdr:nvGrpSpPr>
        <xdr:cNvPr id="218" name="Group 13">
          <a:extLst>
            <a:ext uri="{FF2B5EF4-FFF2-40B4-BE49-F238E27FC236}">
              <a16:creationId xmlns:a16="http://schemas.microsoft.com/office/drawing/2014/main" id="{83E2B67D-AF9F-40A2-A856-0C43A2647FBD}"/>
            </a:ext>
          </a:extLst>
        </xdr:cNvPr>
        <xdr:cNvGrpSpPr/>
      </xdr:nvGrpSpPr>
      <xdr:grpSpPr>
        <a:xfrm>
          <a:off x="3533775" y="2219325"/>
          <a:ext cx="144552" cy="148833"/>
          <a:chOff x="9937028" y="802652"/>
          <a:chExt cx="83991" cy="77961"/>
        </a:xfrm>
      </xdr:grpSpPr>
      <xdr:sp macro="" textlink="">
        <xdr:nvSpPr>
          <xdr:cNvPr id="219" name="Oval 1">
            <a:extLst>
              <a:ext uri="{FF2B5EF4-FFF2-40B4-BE49-F238E27FC236}">
                <a16:creationId xmlns:a16="http://schemas.microsoft.com/office/drawing/2014/main" id="{81B43D4A-467D-A908-0C29-AB3FDD65024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0" name="Straight Connector 3">
            <a:extLst>
              <a:ext uri="{FF2B5EF4-FFF2-40B4-BE49-F238E27FC236}">
                <a16:creationId xmlns:a16="http://schemas.microsoft.com/office/drawing/2014/main" id="{5093661B-BAF0-8183-55EC-EEB32220F96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Straight Connector 7">
            <a:extLst>
              <a:ext uri="{FF2B5EF4-FFF2-40B4-BE49-F238E27FC236}">
                <a16:creationId xmlns:a16="http://schemas.microsoft.com/office/drawing/2014/main" id="{22CD2DB5-3EDC-C96E-6311-B8A60D304CA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200025</xdr:colOff>
      <xdr:row>28</xdr:row>
      <xdr:rowOff>95250</xdr:rowOff>
    </xdr:from>
    <xdr:to>
      <xdr:col>11</xdr:col>
      <xdr:colOff>344577</xdr:colOff>
      <xdr:row>29</xdr:row>
      <xdr:rowOff>91683</xdr:rowOff>
    </xdr:to>
    <xdr:grpSp>
      <xdr:nvGrpSpPr>
        <xdr:cNvPr id="222" name="Group 13">
          <a:extLst>
            <a:ext uri="{FF2B5EF4-FFF2-40B4-BE49-F238E27FC236}">
              <a16:creationId xmlns:a16="http://schemas.microsoft.com/office/drawing/2014/main" id="{96B0F046-3965-40A0-B3E8-8E4E9CB3B06A}"/>
            </a:ext>
          </a:extLst>
        </xdr:cNvPr>
        <xdr:cNvGrpSpPr/>
      </xdr:nvGrpSpPr>
      <xdr:grpSpPr>
        <a:xfrm>
          <a:off x="3933825" y="4391025"/>
          <a:ext cx="144552" cy="148833"/>
          <a:chOff x="9937028" y="802652"/>
          <a:chExt cx="83991" cy="77961"/>
        </a:xfrm>
      </xdr:grpSpPr>
      <xdr:sp macro="" textlink="">
        <xdr:nvSpPr>
          <xdr:cNvPr id="223" name="Oval 1">
            <a:extLst>
              <a:ext uri="{FF2B5EF4-FFF2-40B4-BE49-F238E27FC236}">
                <a16:creationId xmlns:a16="http://schemas.microsoft.com/office/drawing/2014/main" id="{93145228-8BB3-236B-47F2-E609B46BB10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4" name="Straight Connector 3">
            <a:extLst>
              <a:ext uri="{FF2B5EF4-FFF2-40B4-BE49-F238E27FC236}">
                <a16:creationId xmlns:a16="http://schemas.microsoft.com/office/drawing/2014/main" id="{3890EC7A-074C-76EC-01C2-86D764AA2FE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Connector 7">
            <a:extLst>
              <a:ext uri="{FF2B5EF4-FFF2-40B4-BE49-F238E27FC236}">
                <a16:creationId xmlns:a16="http://schemas.microsoft.com/office/drawing/2014/main" id="{3CD5773C-E95E-4FB6-632E-475ABE36F6D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142875</xdr:colOff>
      <xdr:row>12</xdr:row>
      <xdr:rowOff>133350</xdr:rowOff>
    </xdr:from>
    <xdr:to>
      <xdr:col>11</xdr:col>
      <xdr:colOff>232624</xdr:colOff>
      <xdr:row>20</xdr:row>
      <xdr:rowOff>99900</xdr:rowOff>
    </xdr:to>
    <xdr:cxnSp macro="">
      <xdr:nvCxnSpPr>
        <xdr:cNvPr id="227" name="Straight Connector 139">
          <a:extLst>
            <a:ext uri="{FF2B5EF4-FFF2-40B4-BE49-F238E27FC236}">
              <a16:creationId xmlns:a16="http://schemas.microsoft.com/office/drawing/2014/main" id="{4DCA78C3-9AF3-4466-9429-9E59B6CE168D}"/>
            </a:ext>
          </a:extLst>
        </xdr:cNvPr>
        <xdr:cNvCxnSpPr>
          <a:cxnSpLocks/>
          <a:endCxn id="186" idx="1"/>
        </xdr:cNvCxnSpPr>
      </xdr:nvCxnSpPr>
      <xdr:spPr bwMode="auto">
        <a:xfrm>
          <a:off x="3495675" y="1981200"/>
          <a:ext cx="470749" cy="11952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21</xdr:row>
      <xdr:rowOff>74537</xdr:rowOff>
    </xdr:from>
    <xdr:to>
      <xdr:col>11</xdr:col>
      <xdr:colOff>283731</xdr:colOff>
      <xdr:row>31</xdr:row>
      <xdr:rowOff>123825</xdr:rowOff>
    </xdr:to>
    <xdr:cxnSp macro="">
      <xdr:nvCxnSpPr>
        <xdr:cNvPr id="230" name="Straight Connector 139">
          <a:extLst>
            <a:ext uri="{FF2B5EF4-FFF2-40B4-BE49-F238E27FC236}">
              <a16:creationId xmlns:a16="http://schemas.microsoft.com/office/drawing/2014/main" id="{5C376C73-BB5E-4298-ADEC-D98FB20763A6}"/>
            </a:ext>
          </a:extLst>
        </xdr:cNvPr>
        <xdr:cNvCxnSpPr>
          <a:cxnSpLocks/>
          <a:stCxn id="186" idx="4"/>
        </xdr:cNvCxnSpPr>
      </xdr:nvCxnSpPr>
      <xdr:spPr bwMode="auto">
        <a:xfrm flipH="1">
          <a:off x="4010025" y="3303512"/>
          <a:ext cx="7506" cy="156376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20</xdr:row>
      <xdr:rowOff>104775</xdr:rowOff>
    </xdr:from>
    <xdr:to>
      <xdr:col>17</xdr:col>
      <xdr:colOff>125502</xdr:colOff>
      <xdr:row>21</xdr:row>
      <xdr:rowOff>101206</xdr:rowOff>
    </xdr:to>
    <xdr:grpSp>
      <xdr:nvGrpSpPr>
        <xdr:cNvPr id="235" name="Group 13">
          <a:extLst>
            <a:ext uri="{FF2B5EF4-FFF2-40B4-BE49-F238E27FC236}">
              <a16:creationId xmlns:a16="http://schemas.microsoft.com/office/drawing/2014/main" id="{06F5484F-5DA1-4827-A874-C7FD6FCEA1E6}"/>
            </a:ext>
          </a:extLst>
        </xdr:cNvPr>
        <xdr:cNvGrpSpPr/>
      </xdr:nvGrpSpPr>
      <xdr:grpSpPr>
        <a:xfrm>
          <a:off x="6000750" y="3181350"/>
          <a:ext cx="144552" cy="148831"/>
          <a:chOff x="9937028" y="802652"/>
          <a:chExt cx="83991" cy="77961"/>
        </a:xfrm>
      </xdr:grpSpPr>
      <xdr:sp macro="" textlink="">
        <xdr:nvSpPr>
          <xdr:cNvPr id="236" name="Oval 1">
            <a:extLst>
              <a:ext uri="{FF2B5EF4-FFF2-40B4-BE49-F238E27FC236}">
                <a16:creationId xmlns:a16="http://schemas.microsoft.com/office/drawing/2014/main" id="{071BFBB2-9E49-93C6-DA8D-1E45B97540B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37" name="Straight Connector 3">
            <a:extLst>
              <a:ext uri="{FF2B5EF4-FFF2-40B4-BE49-F238E27FC236}">
                <a16:creationId xmlns:a16="http://schemas.microsoft.com/office/drawing/2014/main" id="{6B522A82-600C-DFAE-B212-4872F9F50F4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7">
            <a:extLst>
              <a:ext uri="{FF2B5EF4-FFF2-40B4-BE49-F238E27FC236}">
                <a16:creationId xmlns:a16="http://schemas.microsoft.com/office/drawing/2014/main" id="{32CFF6DA-9680-520C-F25B-7EE3CAA5737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352425</xdr:colOff>
      <xdr:row>25</xdr:row>
      <xdr:rowOff>76200</xdr:rowOff>
    </xdr:from>
    <xdr:to>
      <xdr:col>17</xdr:col>
      <xdr:colOff>128703</xdr:colOff>
      <xdr:row>26</xdr:row>
      <xdr:rowOff>64975</xdr:rowOff>
    </xdr:to>
    <xdr:grpSp>
      <xdr:nvGrpSpPr>
        <xdr:cNvPr id="241" name="Group 13">
          <a:extLst>
            <a:ext uri="{FF2B5EF4-FFF2-40B4-BE49-F238E27FC236}">
              <a16:creationId xmlns:a16="http://schemas.microsoft.com/office/drawing/2014/main" id="{67F95987-CB5F-44F3-BF6A-4A8713D17522}"/>
            </a:ext>
          </a:extLst>
        </xdr:cNvPr>
        <xdr:cNvGrpSpPr/>
      </xdr:nvGrpSpPr>
      <xdr:grpSpPr>
        <a:xfrm>
          <a:off x="5991225" y="3914775"/>
          <a:ext cx="157278" cy="141175"/>
          <a:chOff x="9937028" y="802652"/>
          <a:chExt cx="83991" cy="77961"/>
        </a:xfrm>
      </xdr:grpSpPr>
      <xdr:sp macro="" textlink="">
        <xdr:nvSpPr>
          <xdr:cNvPr id="242" name="Oval 1">
            <a:extLst>
              <a:ext uri="{FF2B5EF4-FFF2-40B4-BE49-F238E27FC236}">
                <a16:creationId xmlns:a16="http://schemas.microsoft.com/office/drawing/2014/main" id="{39233D55-6EE7-2202-7170-CF283CD22B5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3" name="Straight Connector 3">
            <a:extLst>
              <a:ext uri="{FF2B5EF4-FFF2-40B4-BE49-F238E27FC236}">
                <a16:creationId xmlns:a16="http://schemas.microsoft.com/office/drawing/2014/main" id="{E8A12C6F-40CF-32EE-50E2-5B95AC8C1E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7">
            <a:extLst>
              <a:ext uri="{FF2B5EF4-FFF2-40B4-BE49-F238E27FC236}">
                <a16:creationId xmlns:a16="http://schemas.microsoft.com/office/drawing/2014/main" id="{B2AF6E00-30CA-7FE0-BEF5-4E6B545D0C9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352425</xdr:colOff>
      <xdr:row>30</xdr:row>
      <xdr:rowOff>0</xdr:rowOff>
    </xdr:from>
    <xdr:to>
      <xdr:col>17</xdr:col>
      <xdr:colOff>128703</xdr:colOff>
      <xdr:row>30</xdr:row>
      <xdr:rowOff>141175</xdr:rowOff>
    </xdr:to>
    <xdr:grpSp>
      <xdr:nvGrpSpPr>
        <xdr:cNvPr id="245" name="Group 13">
          <a:extLst>
            <a:ext uri="{FF2B5EF4-FFF2-40B4-BE49-F238E27FC236}">
              <a16:creationId xmlns:a16="http://schemas.microsoft.com/office/drawing/2014/main" id="{05091559-7A16-41AF-8135-2DF3C4902163}"/>
            </a:ext>
          </a:extLst>
        </xdr:cNvPr>
        <xdr:cNvGrpSpPr/>
      </xdr:nvGrpSpPr>
      <xdr:grpSpPr>
        <a:xfrm>
          <a:off x="5991225" y="4591050"/>
          <a:ext cx="157278" cy="141175"/>
          <a:chOff x="9937028" y="802652"/>
          <a:chExt cx="83991" cy="77961"/>
        </a:xfrm>
      </xdr:grpSpPr>
      <xdr:sp macro="" textlink="">
        <xdr:nvSpPr>
          <xdr:cNvPr id="246" name="Oval 1">
            <a:extLst>
              <a:ext uri="{FF2B5EF4-FFF2-40B4-BE49-F238E27FC236}">
                <a16:creationId xmlns:a16="http://schemas.microsoft.com/office/drawing/2014/main" id="{45A67F51-48CF-B539-DA60-77F181AC195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7" name="Straight Connector 3">
            <a:extLst>
              <a:ext uri="{FF2B5EF4-FFF2-40B4-BE49-F238E27FC236}">
                <a16:creationId xmlns:a16="http://schemas.microsoft.com/office/drawing/2014/main" id="{87876D8E-47F6-8772-E64E-1C8D59DE162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Connector 7">
            <a:extLst>
              <a:ext uri="{FF2B5EF4-FFF2-40B4-BE49-F238E27FC236}">
                <a16:creationId xmlns:a16="http://schemas.microsoft.com/office/drawing/2014/main" id="{BFD916B5-107C-8558-AB4F-7B56723571B9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342900</xdr:colOff>
      <xdr:row>37</xdr:row>
      <xdr:rowOff>95250</xdr:rowOff>
    </xdr:from>
    <xdr:to>
      <xdr:col>17</xdr:col>
      <xdr:colOff>119178</xdr:colOff>
      <xdr:row>38</xdr:row>
      <xdr:rowOff>74500</xdr:rowOff>
    </xdr:to>
    <xdr:grpSp>
      <xdr:nvGrpSpPr>
        <xdr:cNvPr id="249" name="Group 13">
          <a:extLst>
            <a:ext uri="{FF2B5EF4-FFF2-40B4-BE49-F238E27FC236}">
              <a16:creationId xmlns:a16="http://schemas.microsoft.com/office/drawing/2014/main" id="{E6763104-01C8-4F57-8A12-DD9100CF929E}"/>
            </a:ext>
          </a:extLst>
        </xdr:cNvPr>
        <xdr:cNvGrpSpPr/>
      </xdr:nvGrpSpPr>
      <xdr:grpSpPr>
        <a:xfrm>
          <a:off x="5981700" y="5762625"/>
          <a:ext cx="157278" cy="141175"/>
          <a:chOff x="9937028" y="802652"/>
          <a:chExt cx="83991" cy="77961"/>
        </a:xfrm>
      </xdr:grpSpPr>
      <xdr:sp macro="" textlink="">
        <xdr:nvSpPr>
          <xdr:cNvPr id="250" name="Oval 1">
            <a:extLst>
              <a:ext uri="{FF2B5EF4-FFF2-40B4-BE49-F238E27FC236}">
                <a16:creationId xmlns:a16="http://schemas.microsoft.com/office/drawing/2014/main" id="{2864738F-9228-D581-0FA9-99D4D6B0085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1" name="Straight Connector 3">
            <a:extLst>
              <a:ext uri="{FF2B5EF4-FFF2-40B4-BE49-F238E27FC236}">
                <a16:creationId xmlns:a16="http://schemas.microsoft.com/office/drawing/2014/main" id="{B197CB21-9695-1652-DAE2-3D0A76A17CA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Straight Connector 7">
            <a:extLst>
              <a:ext uri="{FF2B5EF4-FFF2-40B4-BE49-F238E27FC236}">
                <a16:creationId xmlns:a16="http://schemas.microsoft.com/office/drawing/2014/main" id="{85EA09B6-B698-4A1B-2166-2C215EF62D4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342900</xdr:colOff>
      <xdr:row>33</xdr:row>
      <xdr:rowOff>123825</xdr:rowOff>
    </xdr:from>
    <xdr:to>
      <xdr:col>17</xdr:col>
      <xdr:colOff>119178</xdr:colOff>
      <xdr:row>34</xdr:row>
      <xdr:rowOff>112600</xdr:rowOff>
    </xdr:to>
    <xdr:grpSp>
      <xdr:nvGrpSpPr>
        <xdr:cNvPr id="253" name="Group 13">
          <a:extLst>
            <a:ext uri="{FF2B5EF4-FFF2-40B4-BE49-F238E27FC236}">
              <a16:creationId xmlns:a16="http://schemas.microsoft.com/office/drawing/2014/main" id="{87D86D2A-9516-4F5C-9325-DA95E32F88E7}"/>
            </a:ext>
          </a:extLst>
        </xdr:cNvPr>
        <xdr:cNvGrpSpPr/>
      </xdr:nvGrpSpPr>
      <xdr:grpSpPr>
        <a:xfrm>
          <a:off x="5981700" y="5172075"/>
          <a:ext cx="157278" cy="141175"/>
          <a:chOff x="9937028" y="802652"/>
          <a:chExt cx="83991" cy="77961"/>
        </a:xfrm>
      </xdr:grpSpPr>
      <xdr:sp macro="" textlink="">
        <xdr:nvSpPr>
          <xdr:cNvPr id="254" name="Oval 1">
            <a:extLst>
              <a:ext uri="{FF2B5EF4-FFF2-40B4-BE49-F238E27FC236}">
                <a16:creationId xmlns:a16="http://schemas.microsoft.com/office/drawing/2014/main" id="{586C68D0-8650-56BC-57FE-3731C9D8769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5" name="Straight Connector 3">
            <a:extLst>
              <a:ext uri="{FF2B5EF4-FFF2-40B4-BE49-F238E27FC236}">
                <a16:creationId xmlns:a16="http://schemas.microsoft.com/office/drawing/2014/main" id="{402064E4-40B1-6DE6-D6FC-48B8AD24883E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7">
            <a:extLst>
              <a:ext uri="{FF2B5EF4-FFF2-40B4-BE49-F238E27FC236}">
                <a16:creationId xmlns:a16="http://schemas.microsoft.com/office/drawing/2014/main" id="{C8CDA4C0-B4F0-EF48-02DB-F575C1A97D1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114300</xdr:colOff>
      <xdr:row>21</xdr:row>
      <xdr:rowOff>28575</xdr:rowOff>
    </xdr:from>
    <xdr:to>
      <xdr:col>17</xdr:col>
      <xdr:colOff>333375</xdr:colOff>
      <xdr:row>21</xdr:row>
      <xdr:rowOff>39478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3BAE756C-1546-48E9-8508-69D9A74FB940}"/>
            </a:ext>
          </a:extLst>
        </xdr:cNvPr>
        <xdr:cNvCxnSpPr/>
      </xdr:nvCxnSpPr>
      <xdr:spPr>
        <a:xfrm flipV="1">
          <a:off x="6134100" y="3257550"/>
          <a:ext cx="219075" cy="109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40539</xdr:colOff>
      <xdr:row>21</xdr:row>
      <xdr:rowOff>85725</xdr:rowOff>
    </xdr:from>
    <xdr:to>
      <xdr:col>17</xdr:col>
      <xdr:colOff>67412</xdr:colOff>
      <xdr:row>37</xdr:row>
      <xdr:rowOff>95250</xdr:rowOff>
    </xdr:to>
    <xdr:cxnSp macro="">
      <xdr:nvCxnSpPr>
        <xdr:cNvPr id="259" name="Straight Connector 164">
          <a:extLst>
            <a:ext uri="{FF2B5EF4-FFF2-40B4-BE49-F238E27FC236}">
              <a16:creationId xmlns:a16="http://schemas.microsoft.com/office/drawing/2014/main" id="{7E2472ED-3E7A-4E10-820F-26545F960419}"/>
            </a:ext>
          </a:extLst>
        </xdr:cNvPr>
        <xdr:cNvCxnSpPr>
          <a:cxnSpLocks/>
          <a:endCxn id="250" idx="0"/>
        </xdr:cNvCxnSpPr>
      </xdr:nvCxnSpPr>
      <xdr:spPr bwMode="auto">
        <a:xfrm flipH="1">
          <a:off x="6060339" y="3314700"/>
          <a:ext cx="26873" cy="2447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38</xdr:row>
      <xdr:rowOff>49003</xdr:rowOff>
    </xdr:from>
    <xdr:to>
      <xdr:col>17</xdr:col>
      <xdr:colOff>47625</xdr:colOff>
      <xdr:row>39</xdr:row>
      <xdr:rowOff>104775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F7F88465-5FEE-4BFB-BE69-FE65168A4C7B}"/>
            </a:ext>
          </a:extLst>
        </xdr:cNvPr>
        <xdr:cNvCxnSpPr/>
      </xdr:nvCxnSpPr>
      <xdr:spPr>
        <a:xfrm>
          <a:off x="6057900" y="5878303"/>
          <a:ext cx="9525" cy="20817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228597</xdr:colOff>
      <xdr:row>20</xdr:row>
      <xdr:rowOff>57762</xdr:rowOff>
    </xdr:from>
    <xdr:to>
      <xdr:col>14</xdr:col>
      <xdr:colOff>288174</xdr:colOff>
      <xdr:row>20</xdr:row>
      <xdr:rowOff>139826</xdr:rowOff>
    </xdr:to>
    <xdr:grpSp>
      <xdr:nvGrpSpPr>
        <xdr:cNvPr id="265" name="Group 73">
          <a:extLst>
            <a:ext uri="{FF2B5EF4-FFF2-40B4-BE49-F238E27FC236}">
              <a16:creationId xmlns:a16="http://schemas.microsoft.com/office/drawing/2014/main" id="{D836115E-7196-4A2C-BDD4-42AD03CD87DD}"/>
            </a:ext>
          </a:extLst>
        </xdr:cNvPr>
        <xdr:cNvGrpSpPr/>
      </xdr:nvGrpSpPr>
      <xdr:grpSpPr>
        <a:xfrm rot="21429191">
          <a:off x="5105397" y="3134337"/>
          <a:ext cx="59577" cy="82064"/>
          <a:chOff x="12175074" y="2285812"/>
          <a:chExt cx="76230" cy="64551"/>
        </a:xfrm>
      </xdr:grpSpPr>
      <xdr:cxnSp macro="">
        <xdr:nvCxnSpPr>
          <xdr:cNvPr id="266" name="Straight Connector 74">
            <a:extLst>
              <a:ext uri="{FF2B5EF4-FFF2-40B4-BE49-F238E27FC236}">
                <a16:creationId xmlns:a16="http://schemas.microsoft.com/office/drawing/2014/main" id="{8BA0A51E-3FA5-CB02-1FF0-1F0BF07A9D82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Connector 75">
            <a:extLst>
              <a:ext uri="{FF2B5EF4-FFF2-40B4-BE49-F238E27FC236}">
                <a16:creationId xmlns:a16="http://schemas.microsoft.com/office/drawing/2014/main" id="{7773CDCC-0851-6A19-6E69-788F8BF5D5D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238125</xdr:colOff>
      <xdr:row>20</xdr:row>
      <xdr:rowOff>57150</xdr:rowOff>
    </xdr:from>
    <xdr:to>
      <xdr:col>12</xdr:col>
      <xdr:colOff>297702</xdr:colOff>
      <xdr:row>20</xdr:row>
      <xdr:rowOff>139214</xdr:rowOff>
    </xdr:to>
    <xdr:grpSp>
      <xdr:nvGrpSpPr>
        <xdr:cNvPr id="269" name="Group 73">
          <a:extLst>
            <a:ext uri="{FF2B5EF4-FFF2-40B4-BE49-F238E27FC236}">
              <a16:creationId xmlns:a16="http://schemas.microsoft.com/office/drawing/2014/main" id="{B286B013-2D01-4765-922E-D3EECDDEB6A2}"/>
            </a:ext>
          </a:extLst>
        </xdr:cNvPr>
        <xdr:cNvGrpSpPr/>
      </xdr:nvGrpSpPr>
      <xdr:grpSpPr>
        <a:xfrm rot="21429191">
          <a:off x="4352925" y="3133725"/>
          <a:ext cx="59577" cy="82064"/>
          <a:chOff x="12175074" y="2285812"/>
          <a:chExt cx="76230" cy="64551"/>
        </a:xfrm>
      </xdr:grpSpPr>
      <xdr:cxnSp macro="">
        <xdr:nvCxnSpPr>
          <xdr:cNvPr id="270" name="Straight Connector 74">
            <a:extLst>
              <a:ext uri="{FF2B5EF4-FFF2-40B4-BE49-F238E27FC236}">
                <a16:creationId xmlns:a16="http://schemas.microsoft.com/office/drawing/2014/main" id="{86C350AB-9DD7-F1C1-AD3F-C058DA0ADFF5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75">
            <a:extLst>
              <a:ext uri="{FF2B5EF4-FFF2-40B4-BE49-F238E27FC236}">
                <a16:creationId xmlns:a16="http://schemas.microsoft.com/office/drawing/2014/main" id="{D70B2234-74D8-4F6C-4530-B3B3A4F4D04E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76200</xdr:colOff>
      <xdr:row>20</xdr:row>
      <xdr:rowOff>85726</xdr:rowOff>
    </xdr:from>
    <xdr:to>
      <xdr:col>16</xdr:col>
      <xdr:colOff>135777</xdr:colOff>
      <xdr:row>21</xdr:row>
      <xdr:rowOff>15390</xdr:rowOff>
    </xdr:to>
    <xdr:grpSp>
      <xdr:nvGrpSpPr>
        <xdr:cNvPr id="272" name="Group 73">
          <a:extLst>
            <a:ext uri="{FF2B5EF4-FFF2-40B4-BE49-F238E27FC236}">
              <a16:creationId xmlns:a16="http://schemas.microsoft.com/office/drawing/2014/main" id="{4AA48BAE-D3B0-4B67-9F6A-99D2F57E76BB}"/>
            </a:ext>
          </a:extLst>
        </xdr:cNvPr>
        <xdr:cNvGrpSpPr/>
      </xdr:nvGrpSpPr>
      <xdr:grpSpPr>
        <a:xfrm rot="21429191">
          <a:off x="5715000" y="3162301"/>
          <a:ext cx="59577" cy="82064"/>
          <a:chOff x="12175074" y="2285812"/>
          <a:chExt cx="76230" cy="64551"/>
        </a:xfrm>
      </xdr:grpSpPr>
      <xdr:cxnSp macro="">
        <xdr:nvCxnSpPr>
          <xdr:cNvPr id="273" name="Straight Connector 74">
            <a:extLst>
              <a:ext uri="{FF2B5EF4-FFF2-40B4-BE49-F238E27FC236}">
                <a16:creationId xmlns:a16="http://schemas.microsoft.com/office/drawing/2014/main" id="{87A69D93-F73A-965D-E2E6-E552F589C143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75">
            <a:extLst>
              <a:ext uri="{FF2B5EF4-FFF2-40B4-BE49-F238E27FC236}">
                <a16:creationId xmlns:a16="http://schemas.microsoft.com/office/drawing/2014/main" id="{3F33748E-37EF-1050-0ED5-C9B44D5FD987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238125</xdr:colOff>
      <xdr:row>21</xdr:row>
      <xdr:rowOff>19050</xdr:rowOff>
    </xdr:from>
    <xdr:to>
      <xdr:col>12</xdr:col>
      <xdr:colOff>321947</xdr:colOff>
      <xdr:row>21</xdr:row>
      <xdr:rowOff>101921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F42D5B90-0BC2-44BA-BCCC-24532DB3608D}"/>
            </a:ext>
          </a:extLst>
        </xdr:cNvPr>
        <xdr:cNvGrpSpPr/>
      </xdr:nvGrpSpPr>
      <xdr:grpSpPr>
        <a:xfrm rot="21429191">
          <a:off x="4352925" y="3248025"/>
          <a:ext cx="83822" cy="82871"/>
          <a:chOff x="12175074" y="2285812"/>
          <a:chExt cx="107252" cy="65186"/>
        </a:xfrm>
      </xdr:grpSpPr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A707AD18-2912-9F12-130A-0DAEED741537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Straight Connector 276">
            <a:extLst>
              <a:ext uri="{FF2B5EF4-FFF2-40B4-BE49-F238E27FC236}">
                <a16:creationId xmlns:a16="http://schemas.microsoft.com/office/drawing/2014/main" id="{F9722EE6-0B7C-A76B-8488-90B905915589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285A9B56-7B7D-206E-C41D-A94E1DC649FB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152400</xdr:colOff>
      <xdr:row>21</xdr:row>
      <xdr:rowOff>28575</xdr:rowOff>
    </xdr:from>
    <xdr:to>
      <xdr:col>14</xdr:col>
      <xdr:colOff>236222</xdr:colOff>
      <xdr:row>21</xdr:row>
      <xdr:rowOff>111446</xdr:rowOff>
    </xdr:to>
    <xdr:grpSp>
      <xdr:nvGrpSpPr>
        <xdr:cNvPr id="279" name="Group 278">
          <a:extLst>
            <a:ext uri="{FF2B5EF4-FFF2-40B4-BE49-F238E27FC236}">
              <a16:creationId xmlns:a16="http://schemas.microsoft.com/office/drawing/2014/main" id="{DE1B0D44-BB53-4D64-BE99-1A815FE723EC}"/>
            </a:ext>
          </a:extLst>
        </xdr:cNvPr>
        <xdr:cNvGrpSpPr/>
      </xdr:nvGrpSpPr>
      <xdr:grpSpPr>
        <a:xfrm rot="21429191">
          <a:off x="5029200" y="3257550"/>
          <a:ext cx="83822" cy="82871"/>
          <a:chOff x="12175074" y="2285812"/>
          <a:chExt cx="107252" cy="65186"/>
        </a:xfrm>
      </xdr:grpSpPr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5EC28506-A84F-2AA4-2436-334A5EEB0BE5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Straight Connector 280">
            <a:extLst>
              <a:ext uri="{FF2B5EF4-FFF2-40B4-BE49-F238E27FC236}">
                <a16:creationId xmlns:a16="http://schemas.microsoft.com/office/drawing/2014/main" id="{E77C2D16-C9BE-A8D8-9C74-84B49A6779DD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Connector 281">
            <a:extLst>
              <a:ext uri="{FF2B5EF4-FFF2-40B4-BE49-F238E27FC236}">
                <a16:creationId xmlns:a16="http://schemas.microsoft.com/office/drawing/2014/main" id="{A59DA7C9-2AF4-FA27-F33D-117BC4FB2561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95250</xdr:colOff>
      <xdr:row>21</xdr:row>
      <xdr:rowOff>47625</xdr:rowOff>
    </xdr:from>
    <xdr:to>
      <xdr:col>16</xdr:col>
      <xdr:colOff>179072</xdr:colOff>
      <xdr:row>21</xdr:row>
      <xdr:rowOff>130496</xdr:rowOff>
    </xdr:to>
    <xdr:grpSp>
      <xdr:nvGrpSpPr>
        <xdr:cNvPr id="283" name="Group 282">
          <a:extLst>
            <a:ext uri="{FF2B5EF4-FFF2-40B4-BE49-F238E27FC236}">
              <a16:creationId xmlns:a16="http://schemas.microsoft.com/office/drawing/2014/main" id="{4FC5D8AD-F612-4FE3-90F1-EA249D81D6D7}"/>
            </a:ext>
          </a:extLst>
        </xdr:cNvPr>
        <xdr:cNvGrpSpPr/>
      </xdr:nvGrpSpPr>
      <xdr:grpSpPr>
        <a:xfrm rot="21429191">
          <a:off x="5734050" y="3276600"/>
          <a:ext cx="83822" cy="82871"/>
          <a:chOff x="12175074" y="2285812"/>
          <a:chExt cx="107252" cy="65186"/>
        </a:xfrm>
      </xdr:grpSpPr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8D7498F0-8E9C-8D98-82B7-AEE8AFDC582F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Straight Connector 284">
            <a:extLst>
              <a:ext uri="{FF2B5EF4-FFF2-40B4-BE49-F238E27FC236}">
                <a16:creationId xmlns:a16="http://schemas.microsoft.com/office/drawing/2014/main" id="{09CA558D-9BD7-46F6-89CE-670A7042F23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Connector 285">
            <a:extLst>
              <a:ext uri="{FF2B5EF4-FFF2-40B4-BE49-F238E27FC236}">
                <a16:creationId xmlns:a16="http://schemas.microsoft.com/office/drawing/2014/main" id="{0822317B-501A-3D97-D8AB-CBBE66DAA1EB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10000</xdr:colOff>
      <xdr:row>36</xdr:row>
      <xdr:rowOff>28100</xdr:rowOff>
    </xdr:from>
    <xdr:to>
      <xdr:col>17</xdr:col>
      <xdr:colOff>92871</xdr:colOff>
      <xdr:row>36</xdr:row>
      <xdr:rowOff>111922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92F967EC-F609-4384-A344-41E65B0F8566}"/>
            </a:ext>
          </a:extLst>
        </xdr:cNvPr>
        <xdr:cNvGrpSpPr/>
      </xdr:nvGrpSpPr>
      <xdr:grpSpPr>
        <a:xfrm rot="5745257">
          <a:off x="6029325" y="5534025"/>
          <a:ext cx="83822" cy="82871"/>
          <a:chOff x="12175074" y="2285812"/>
          <a:chExt cx="107252" cy="65186"/>
        </a:xfrm>
      </xdr:grpSpPr>
      <xdr:cxnSp macro="">
        <xdr:nvCxnSpPr>
          <xdr:cNvPr id="288" name="Straight Connector 287">
            <a:extLst>
              <a:ext uri="{FF2B5EF4-FFF2-40B4-BE49-F238E27FC236}">
                <a16:creationId xmlns:a16="http://schemas.microsoft.com/office/drawing/2014/main" id="{46B064CF-4667-743E-60F4-FB3B74805AA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DC943723-00B2-3F50-5F7F-B7AE0754284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Straight Connector 289">
            <a:extLst>
              <a:ext uri="{FF2B5EF4-FFF2-40B4-BE49-F238E27FC236}">
                <a16:creationId xmlns:a16="http://schemas.microsoft.com/office/drawing/2014/main" id="{76096CF7-778F-371A-3463-A24BA71609A4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476</xdr:colOff>
      <xdr:row>32</xdr:row>
      <xdr:rowOff>66201</xdr:rowOff>
    </xdr:from>
    <xdr:to>
      <xdr:col>17</xdr:col>
      <xdr:colOff>83347</xdr:colOff>
      <xdr:row>32</xdr:row>
      <xdr:rowOff>150023</xdr:rowOff>
    </xdr:to>
    <xdr:grpSp>
      <xdr:nvGrpSpPr>
        <xdr:cNvPr id="291" name="Group 290">
          <a:extLst>
            <a:ext uri="{FF2B5EF4-FFF2-40B4-BE49-F238E27FC236}">
              <a16:creationId xmlns:a16="http://schemas.microsoft.com/office/drawing/2014/main" id="{E8BA5D85-82ED-4D1B-AF3D-17EB283BF0A0}"/>
            </a:ext>
          </a:extLst>
        </xdr:cNvPr>
        <xdr:cNvGrpSpPr/>
      </xdr:nvGrpSpPr>
      <xdr:grpSpPr>
        <a:xfrm rot="5779048">
          <a:off x="6019801" y="4962526"/>
          <a:ext cx="83822" cy="82871"/>
          <a:chOff x="12175074" y="2285812"/>
          <a:chExt cx="107252" cy="65186"/>
        </a:xfrm>
      </xdr:grpSpPr>
      <xdr:cxnSp macro="">
        <xdr:nvCxnSpPr>
          <xdr:cNvPr id="292" name="Straight Connector 291">
            <a:extLst>
              <a:ext uri="{FF2B5EF4-FFF2-40B4-BE49-F238E27FC236}">
                <a16:creationId xmlns:a16="http://schemas.microsoft.com/office/drawing/2014/main" id="{A1B90750-9810-6D1C-09BE-6487AF18DC8E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Straight Connector 292">
            <a:extLst>
              <a:ext uri="{FF2B5EF4-FFF2-40B4-BE49-F238E27FC236}">
                <a16:creationId xmlns:a16="http://schemas.microsoft.com/office/drawing/2014/main" id="{79996FF2-B7C8-53EE-A5C6-3C7D39AB3AEB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Straight Connector 293">
            <a:extLst>
              <a:ext uri="{FF2B5EF4-FFF2-40B4-BE49-F238E27FC236}">
                <a16:creationId xmlns:a16="http://schemas.microsoft.com/office/drawing/2014/main" id="{C72A1B6F-CE9E-6316-780A-DD08DFFA340E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29050</xdr:colOff>
      <xdr:row>23</xdr:row>
      <xdr:rowOff>66200</xdr:rowOff>
    </xdr:from>
    <xdr:to>
      <xdr:col>17</xdr:col>
      <xdr:colOff>111921</xdr:colOff>
      <xdr:row>23</xdr:row>
      <xdr:rowOff>150022</xdr:rowOff>
    </xdr:to>
    <xdr:grpSp>
      <xdr:nvGrpSpPr>
        <xdr:cNvPr id="295" name="Group 294">
          <a:extLst>
            <a:ext uri="{FF2B5EF4-FFF2-40B4-BE49-F238E27FC236}">
              <a16:creationId xmlns:a16="http://schemas.microsoft.com/office/drawing/2014/main" id="{6E1EC810-A064-498C-A48D-BBF7951DB331}"/>
            </a:ext>
          </a:extLst>
        </xdr:cNvPr>
        <xdr:cNvGrpSpPr/>
      </xdr:nvGrpSpPr>
      <xdr:grpSpPr>
        <a:xfrm rot="4854587">
          <a:off x="6048375" y="3600450"/>
          <a:ext cx="83822" cy="82871"/>
          <a:chOff x="12175074" y="2285812"/>
          <a:chExt cx="107252" cy="65186"/>
        </a:xfrm>
      </xdr:grpSpPr>
      <xdr:cxnSp macro="">
        <xdr:nvCxnSpPr>
          <xdr:cNvPr id="296" name="Straight Connector 295">
            <a:extLst>
              <a:ext uri="{FF2B5EF4-FFF2-40B4-BE49-F238E27FC236}">
                <a16:creationId xmlns:a16="http://schemas.microsoft.com/office/drawing/2014/main" id="{37DCE97F-544A-C9F0-DF59-38A0F3BB120F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Straight Connector 296">
            <a:extLst>
              <a:ext uri="{FF2B5EF4-FFF2-40B4-BE49-F238E27FC236}">
                <a16:creationId xmlns:a16="http://schemas.microsoft.com/office/drawing/2014/main" id="{58FE008C-7FF8-9B63-9A8E-69791024E9AF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Straight Connector 297">
            <a:extLst>
              <a:ext uri="{FF2B5EF4-FFF2-40B4-BE49-F238E27FC236}">
                <a16:creationId xmlns:a16="http://schemas.microsoft.com/office/drawing/2014/main" id="{173A43A0-CE76-E215-B61E-3BEF8C923FBE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10000</xdr:colOff>
      <xdr:row>27</xdr:row>
      <xdr:rowOff>151926</xdr:rowOff>
    </xdr:from>
    <xdr:to>
      <xdr:col>17</xdr:col>
      <xdr:colOff>92871</xdr:colOff>
      <xdr:row>28</xdr:row>
      <xdr:rowOff>83348</xdr:rowOff>
    </xdr:to>
    <xdr:grpSp>
      <xdr:nvGrpSpPr>
        <xdr:cNvPr id="299" name="Group 298">
          <a:extLst>
            <a:ext uri="{FF2B5EF4-FFF2-40B4-BE49-F238E27FC236}">
              <a16:creationId xmlns:a16="http://schemas.microsoft.com/office/drawing/2014/main" id="{6FF1A091-3CD0-4AD2-B42E-9537499715C2}"/>
            </a:ext>
          </a:extLst>
        </xdr:cNvPr>
        <xdr:cNvGrpSpPr/>
      </xdr:nvGrpSpPr>
      <xdr:grpSpPr>
        <a:xfrm rot="4615066">
          <a:off x="6029325" y="4295776"/>
          <a:ext cx="83822" cy="82871"/>
          <a:chOff x="12175074" y="2285812"/>
          <a:chExt cx="107252" cy="65186"/>
        </a:xfrm>
      </xdr:grpSpPr>
      <xdr:cxnSp macro="">
        <xdr:nvCxnSpPr>
          <xdr:cNvPr id="300" name="Straight Connector 299">
            <a:extLst>
              <a:ext uri="{FF2B5EF4-FFF2-40B4-BE49-F238E27FC236}">
                <a16:creationId xmlns:a16="http://schemas.microsoft.com/office/drawing/2014/main" id="{D9720DE9-A25F-9C90-0AC1-197E16170F3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Straight Connector 300">
            <a:extLst>
              <a:ext uri="{FF2B5EF4-FFF2-40B4-BE49-F238E27FC236}">
                <a16:creationId xmlns:a16="http://schemas.microsoft.com/office/drawing/2014/main" id="{C416B208-35EC-EEA0-C4EF-F4FC1E420AB4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Straight Connector 301">
            <a:extLst>
              <a:ext uri="{FF2B5EF4-FFF2-40B4-BE49-F238E27FC236}">
                <a16:creationId xmlns:a16="http://schemas.microsoft.com/office/drawing/2014/main" id="{8A96CF77-5EB2-52C6-8A77-54E0BFD92152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198303</xdr:colOff>
      <xdr:row>39</xdr:row>
      <xdr:rowOff>116631</xdr:rowOff>
    </xdr:from>
    <xdr:to>
      <xdr:col>16</xdr:col>
      <xdr:colOff>280367</xdr:colOff>
      <xdr:row>40</xdr:row>
      <xdr:rowOff>23808</xdr:rowOff>
    </xdr:to>
    <xdr:grpSp>
      <xdr:nvGrpSpPr>
        <xdr:cNvPr id="303" name="Group 302">
          <a:extLst>
            <a:ext uri="{FF2B5EF4-FFF2-40B4-BE49-F238E27FC236}">
              <a16:creationId xmlns:a16="http://schemas.microsoft.com/office/drawing/2014/main" id="{85FCD7A9-146C-4316-9E47-253D439B63D1}"/>
            </a:ext>
          </a:extLst>
        </xdr:cNvPr>
        <xdr:cNvGrpSpPr/>
      </xdr:nvGrpSpPr>
      <xdr:grpSpPr>
        <a:xfrm rot="6851358">
          <a:off x="5848346" y="6087088"/>
          <a:ext cx="59577" cy="82064"/>
          <a:chOff x="12175074" y="2285812"/>
          <a:chExt cx="76230" cy="64551"/>
        </a:xfrm>
      </xdr:grpSpPr>
      <xdr:cxnSp macro="">
        <xdr:nvCxnSpPr>
          <xdr:cNvPr id="304" name="Straight Connector 303">
            <a:extLst>
              <a:ext uri="{FF2B5EF4-FFF2-40B4-BE49-F238E27FC236}">
                <a16:creationId xmlns:a16="http://schemas.microsoft.com/office/drawing/2014/main" id="{D6B77F8C-C2BA-7DC6-21F8-E0FAF54C6A24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Straight Connector 304">
            <a:extLst>
              <a:ext uri="{FF2B5EF4-FFF2-40B4-BE49-F238E27FC236}">
                <a16:creationId xmlns:a16="http://schemas.microsoft.com/office/drawing/2014/main" id="{9F8C9585-63D3-67FB-9A75-74C0105B27E0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219075</xdr:colOff>
      <xdr:row>19</xdr:row>
      <xdr:rowOff>66675</xdr:rowOff>
    </xdr:from>
    <xdr:to>
      <xdr:col>11</xdr:col>
      <xdr:colOff>361144</xdr:colOff>
      <xdr:row>19</xdr:row>
      <xdr:rowOff>151866</xdr:rowOff>
    </xdr:to>
    <xdr:sp macro="" textlink="">
      <xdr:nvSpPr>
        <xdr:cNvPr id="307" name="Isosceles Triangle 120">
          <a:extLst>
            <a:ext uri="{FF2B5EF4-FFF2-40B4-BE49-F238E27FC236}">
              <a16:creationId xmlns:a16="http://schemas.microsoft.com/office/drawing/2014/main" id="{E70DBE27-5C45-43F2-AE72-058A7D95AB0F}"/>
            </a:ext>
          </a:extLst>
        </xdr:cNvPr>
        <xdr:cNvSpPr/>
      </xdr:nvSpPr>
      <xdr:spPr>
        <a:xfrm>
          <a:off x="3952875" y="2990850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11</xdr:row>
      <xdr:rowOff>114300</xdr:rowOff>
    </xdr:from>
    <xdr:to>
      <xdr:col>14</xdr:col>
      <xdr:colOff>137159</xdr:colOff>
      <xdr:row>18</xdr:row>
      <xdr:rowOff>9526</xdr:rowOff>
    </xdr:to>
    <xdr:sp macro="" textlink="">
      <xdr:nvSpPr>
        <xdr:cNvPr id="308" name="TextBox 157">
          <a:extLst>
            <a:ext uri="{FF2B5EF4-FFF2-40B4-BE49-F238E27FC236}">
              <a16:creationId xmlns:a16="http://schemas.microsoft.com/office/drawing/2014/main" id="{EADED929-36DF-4E91-8779-EE1F39F36FAE}"/>
            </a:ext>
          </a:extLst>
        </xdr:cNvPr>
        <xdr:cNvSpPr txBox="1"/>
      </xdr:nvSpPr>
      <xdr:spPr>
        <a:xfrm>
          <a:off x="3886200" y="1809750"/>
          <a:ext cx="1127759" cy="97155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PWI05-51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CC1-A</a:t>
          </a: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CC7</a:t>
          </a:r>
          <a:endParaRPr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50KVA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CM2-11M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</xdr:txBody>
    </xdr:sp>
    <xdr:clientData/>
  </xdr:twoCellAnchor>
  <xdr:twoCellAnchor>
    <xdr:from>
      <xdr:col>14</xdr:col>
      <xdr:colOff>228600</xdr:colOff>
      <xdr:row>17</xdr:row>
      <xdr:rowOff>123825</xdr:rowOff>
    </xdr:from>
    <xdr:to>
      <xdr:col>16</xdr:col>
      <xdr:colOff>287655</xdr:colOff>
      <xdr:row>20</xdr:row>
      <xdr:rowOff>22859</xdr:rowOff>
    </xdr:to>
    <xdr:sp macro="" textlink="">
      <xdr:nvSpPr>
        <xdr:cNvPr id="309" name="TextBox 157">
          <a:extLst>
            <a:ext uri="{FF2B5EF4-FFF2-40B4-BE49-F238E27FC236}">
              <a16:creationId xmlns:a16="http://schemas.microsoft.com/office/drawing/2014/main" id="{D29F879B-EBE0-4883-8EDA-381E5172F058}"/>
            </a:ext>
          </a:extLst>
        </xdr:cNvPr>
        <xdr:cNvSpPr txBox="1"/>
      </xdr:nvSpPr>
      <xdr:spPr>
        <a:xfrm>
          <a:off x="5105400" y="2743200"/>
          <a:ext cx="821055" cy="35623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CJ5-T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9525</xdr:colOff>
      <xdr:row>18</xdr:row>
      <xdr:rowOff>133350</xdr:rowOff>
    </xdr:from>
    <xdr:to>
      <xdr:col>20</xdr:col>
      <xdr:colOff>47625</xdr:colOff>
      <xdr:row>23</xdr:row>
      <xdr:rowOff>76200</xdr:rowOff>
    </xdr:to>
    <xdr:sp macro="" textlink="">
      <xdr:nvSpPr>
        <xdr:cNvPr id="310" name="TextBox 157">
          <a:extLst>
            <a:ext uri="{FF2B5EF4-FFF2-40B4-BE49-F238E27FC236}">
              <a16:creationId xmlns:a16="http://schemas.microsoft.com/office/drawing/2014/main" id="{C6B11761-591A-4748-923E-C0C3FD584272}"/>
            </a:ext>
          </a:extLst>
        </xdr:cNvPr>
        <xdr:cNvSpPr txBox="1"/>
      </xdr:nvSpPr>
      <xdr:spPr>
        <a:xfrm>
          <a:off x="6410325" y="2905125"/>
          <a:ext cx="800100" cy="7048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209550</xdr:colOff>
      <xdr:row>24</xdr:row>
      <xdr:rowOff>133350</xdr:rowOff>
    </xdr:from>
    <xdr:to>
      <xdr:col>19</xdr:col>
      <xdr:colOff>285750</xdr:colOff>
      <xdr:row>27</xdr:row>
      <xdr:rowOff>133350</xdr:rowOff>
    </xdr:to>
    <xdr:sp macro="" textlink="">
      <xdr:nvSpPr>
        <xdr:cNvPr id="311" name="TextBox 157">
          <a:extLst>
            <a:ext uri="{FF2B5EF4-FFF2-40B4-BE49-F238E27FC236}">
              <a16:creationId xmlns:a16="http://schemas.microsoft.com/office/drawing/2014/main" id="{D9AFA7D8-F071-474B-B4CC-556A90F34091}"/>
            </a:ext>
          </a:extLst>
        </xdr:cNvPr>
        <xdr:cNvSpPr txBox="1"/>
      </xdr:nvSpPr>
      <xdr:spPr>
        <a:xfrm>
          <a:off x="6229350" y="3819525"/>
          <a:ext cx="838200" cy="457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CJ5-T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200025</xdr:colOff>
      <xdr:row>28</xdr:row>
      <xdr:rowOff>123825</xdr:rowOff>
    </xdr:from>
    <xdr:to>
      <xdr:col>19</xdr:col>
      <xdr:colOff>276225</xdr:colOff>
      <xdr:row>31</xdr:row>
      <xdr:rowOff>133350</xdr:rowOff>
    </xdr:to>
    <xdr:sp macro="" textlink="">
      <xdr:nvSpPr>
        <xdr:cNvPr id="312" name="TextBox 157">
          <a:extLst>
            <a:ext uri="{FF2B5EF4-FFF2-40B4-BE49-F238E27FC236}">
              <a16:creationId xmlns:a16="http://schemas.microsoft.com/office/drawing/2014/main" id="{870D5E37-6738-4DBE-998B-C20F0132AC33}"/>
            </a:ext>
          </a:extLst>
        </xdr:cNvPr>
        <xdr:cNvSpPr txBox="1"/>
      </xdr:nvSpPr>
      <xdr:spPr>
        <a:xfrm>
          <a:off x="6219825" y="4419600"/>
          <a:ext cx="838200" cy="457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CJ5-T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238125</xdr:colOff>
      <xdr:row>32</xdr:row>
      <xdr:rowOff>95250</xdr:rowOff>
    </xdr:from>
    <xdr:to>
      <xdr:col>16</xdr:col>
      <xdr:colOff>314325</xdr:colOff>
      <xdr:row>35</xdr:row>
      <xdr:rowOff>95250</xdr:rowOff>
    </xdr:to>
    <xdr:sp macro="" textlink="">
      <xdr:nvSpPr>
        <xdr:cNvPr id="313" name="TextBox 157">
          <a:extLst>
            <a:ext uri="{FF2B5EF4-FFF2-40B4-BE49-F238E27FC236}">
              <a16:creationId xmlns:a16="http://schemas.microsoft.com/office/drawing/2014/main" id="{EFFF8826-9AF8-45C3-B4D3-740F418B2D5B}"/>
            </a:ext>
          </a:extLst>
        </xdr:cNvPr>
        <xdr:cNvSpPr txBox="1"/>
      </xdr:nvSpPr>
      <xdr:spPr>
        <a:xfrm>
          <a:off x="5114925" y="4991100"/>
          <a:ext cx="838200" cy="457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CJ5-T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238124</xdr:colOff>
      <xdr:row>36</xdr:row>
      <xdr:rowOff>66674</xdr:rowOff>
    </xdr:from>
    <xdr:to>
      <xdr:col>19</xdr:col>
      <xdr:colOff>304799</xdr:colOff>
      <xdr:row>41</xdr:row>
      <xdr:rowOff>95249</xdr:rowOff>
    </xdr:to>
    <xdr:sp macro="" textlink="">
      <xdr:nvSpPr>
        <xdr:cNvPr id="314" name="TextBox 157">
          <a:extLst>
            <a:ext uri="{FF2B5EF4-FFF2-40B4-BE49-F238E27FC236}">
              <a16:creationId xmlns:a16="http://schemas.microsoft.com/office/drawing/2014/main" id="{0AFFE970-15E8-4D4F-9653-F8CE0BD4D73F}"/>
            </a:ext>
          </a:extLst>
        </xdr:cNvPr>
        <xdr:cNvSpPr txBox="1"/>
      </xdr:nvSpPr>
      <xdr:spPr>
        <a:xfrm>
          <a:off x="6257924" y="5572124"/>
          <a:ext cx="828675" cy="80962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152400</xdr:colOff>
      <xdr:row>21</xdr:row>
      <xdr:rowOff>133350</xdr:rowOff>
    </xdr:from>
    <xdr:to>
      <xdr:col>14</xdr:col>
      <xdr:colOff>211455</xdr:colOff>
      <xdr:row>24</xdr:row>
      <xdr:rowOff>32384</xdr:rowOff>
    </xdr:to>
    <xdr:sp macro="" textlink="">
      <xdr:nvSpPr>
        <xdr:cNvPr id="315" name="TextBox 157">
          <a:extLst>
            <a:ext uri="{FF2B5EF4-FFF2-40B4-BE49-F238E27FC236}">
              <a16:creationId xmlns:a16="http://schemas.microsoft.com/office/drawing/2014/main" id="{104E5E50-EC05-4F96-AB92-AEFDF67EAFA1}"/>
            </a:ext>
          </a:extLst>
        </xdr:cNvPr>
        <xdr:cNvSpPr txBox="1"/>
      </xdr:nvSpPr>
      <xdr:spPr>
        <a:xfrm>
          <a:off x="4267200" y="3362325"/>
          <a:ext cx="821055" cy="35623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C9-200</a:t>
          </a:r>
          <a:endParaRPr lang="id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CJ5-T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76201</xdr:colOff>
      <xdr:row>41</xdr:row>
      <xdr:rowOff>38099</xdr:rowOff>
    </xdr:from>
    <xdr:to>
      <xdr:col>15</xdr:col>
      <xdr:colOff>247650</xdr:colOff>
      <xdr:row>44</xdr:row>
      <xdr:rowOff>28574</xdr:rowOff>
    </xdr:to>
    <xdr:sp macro="" textlink="">
      <xdr:nvSpPr>
        <xdr:cNvPr id="316" name="TextBox 157">
          <a:extLst>
            <a:ext uri="{FF2B5EF4-FFF2-40B4-BE49-F238E27FC236}">
              <a16:creationId xmlns:a16="http://schemas.microsoft.com/office/drawing/2014/main" id="{E06D4369-0CF0-48E1-860A-8538E513D053}"/>
            </a:ext>
          </a:extLst>
        </xdr:cNvPr>
        <xdr:cNvSpPr txBox="1"/>
      </xdr:nvSpPr>
      <xdr:spPr>
        <a:xfrm>
          <a:off x="4191001" y="6324599"/>
          <a:ext cx="1314449" cy="4476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1P 11KVA PRABAYAR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SR 2X16 = 35 M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/Invstasi/Lap%20inv%202007/A-Presentasi2004/2005formnewrev2/2005newformrev2/RKAP2005%20UNIT/TM1/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Invstasi/Lap%20inv%202007/A-Presentasi2004/2005formnewrev2/2005newformrev2/RKAP2005%20UNIT/TM1/RKAP%20Investas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D%20WAGIYO%2041,5%20KVAkirim.xlsx" TargetMode="External"/><Relationship Id="rId1" Type="http://schemas.openxmlformats.org/officeDocument/2006/relationships/externalLinkPath" Target="/Users/junjun.baheransyah/Downloads/52553_KKO_KKF_PD%20WAGIYO%2041,5%20KVAkirim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</sheetNames>
    <sheetDataSet>
      <sheetData sheetId="0" refreshError="1"/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D15">
            <v>3</v>
          </cell>
          <cell r="K15">
            <v>3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6" t="s">
        <v>1133</v>
      </c>
      <c r="C4" s="526"/>
      <c r="D4" s="526"/>
      <c r="E4" s="526"/>
      <c r="F4" s="526"/>
      <c r="G4" s="526"/>
      <c r="H4" s="526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7" t="s">
        <v>0</v>
      </c>
      <c r="C7" s="527" t="s">
        <v>1</v>
      </c>
      <c r="D7" s="528" t="s">
        <v>42</v>
      </c>
      <c r="E7" s="528" t="s">
        <v>43</v>
      </c>
      <c r="F7" s="528" t="s">
        <v>1134</v>
      </c>
      <c r="G7" s="529" t="s">
        <v>41</v>
      </c>
      <c r="H7" s="525" t="s">
        <v>1042</v>
      </c>
      <c r="I7" s="525" t="s">
        <v>1136</v>
      </c>
      <c r="J7" s="525" t="s">
        <v>1026</v>
      </c>
      <c r="K7" s="519" t="s">
        <v>1024</v>
      </c>
      <c r="L7" s="520"/>
    </row>
    <row r="8" spans="1:12" ht="15" customHeight="1">
      <c r="B8" s="527"/>
      <c r="C8" s="527"/>
      <c r="D8" s="528"/>
      <c r="E8" s="528"/>
      <c r="F8" s="528"/>
      <c r="G8" s="529"/>
      <c r="H8" s="525"/>
      <c r="I8" s="525"/>
      <c r="J8" s="525"/>
      <c r="K8" s="521"/>
      <c r="L8" s="522"/>
    </row>
    <row r="9" spans="1:12" ht="15" customHeight="1">
      <c r="B9" s="527"/>
      <c r="C9" s="527"/>
      <c r="D9" s="528"/>
      <c r="E9" s="528"/>
      <c r="F9" s="528"/>
      <c r="G9" s="529"/>
      <c r="H9" s="525"/>
      <c r="I9" s="525"/>
      <c r="J9" s="525"/>
      <c r="K9" s="523"/>
      <c r="L9" s="524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1P;230V;5(60)A;1;2W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327600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1 Fasa CSP 50 kVA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27845400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AAAC 70 mm²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Mtr</v>
      </c>
      <c r="F15" s="138">
        <f t="shared" ca="1" si="2"/>
        <v>9</v>
      </c>
      <c r="G15" s="41">
        <f ca="1">IF(ISERROR(OFFSET('HARGA SATUAN'!$I$6,MATCH(C15,'HARGA SATUAN'!$C$7:$C$1495,0),0)),"",OFFSET('HARGA SATUAN'!$I$6,MATCH(C15,'HARGA SATUAN'!$C$7:$C$1495,0),0))</f>
        <v>14200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NFA2X-T 2 x 70 + N 50 mm²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Mtr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53300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NFA2X-T 2 x 70 + N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350</v>
      </c>
      <c r="G17" s="41">
        <f ca="1">IF(ISERROR(OFFSET('HARGA SATUAN'!$I$6,MATCH(C17,'HARGA SATUAN'!$C$7:$C$1495,0),0)),"",OFFSET('HARGA SATUAN'!$I$6,MATCH(C17,'HARGA SATUAN'!$C$7:$C$1495,0),0))</f>
        <v>53300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 2 x 16 mm²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35</v>
      </c>
      <c r="G18" s="41">
        <f ca="1">IF(ISERROR(OFFSET('HARGA SATUAN'!$I$6,MATCH(C18,'HARGA SATUAN'!$C$7:$C$1495,0),0)),"",OFFSET('HARGA SATUAN'!$I$6,MATCH(C18,'HARGA SATUAN'!$C$7:$C$1495,0),0))</f>
        <v>6600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38" t="str">
        <f t="shared" ca="1" si="2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SUMIFS(RAB!$F$14:$F$127,RAB!$C$14:$C$127,C714)</f>
        <v>1</v>
      </c>
      <c r="E714" s="26">
        <f ca="1">IF(D714=0,0,1)</f>
        <v>1</v>
      </c>
      <c r="F714" s="26">
        <f ca="1">IF(D714=0,0,SUM($E$713:E714))</f>
        <v>1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SUMIFS(RAB!$F$14:$F$127,RAB!$C$14:$C$127,C715)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SUMIFS(RAB!$F$14:$F$127,RAB!$C$14:$C$127,C716)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SUMIFS(RAB!$F$14:$F$127,RAB!$C$14:$C$127,C717)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SUMIFS(RAB!$F$14:$F$127,RAB!$C$14:$C$127,C718)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SUMIFS(RAB!$F$14:$F$127,RAB!$C$14:$C$127,C719)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SUMIFS(RAB!$F$14:$F$127,RAB!$C$14:$C$127,C720)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SUMIFS(RAB!$F$14:$F$127,RAB!$C$14:$C$127,C721)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SUMIFS(RAB!$F$14:$F$127,RAB!$C$14:$C$127,C722)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SUMIFS(RAB!$F$14:$F$127,RAB!$C$14:$C$127,C723)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SUMIFS(RAB!$F$14:$F$127,RAB!$C$14:$C$127,C724)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SUMIFS(RAB!$F$14:$F$127,RAB!$C$14:$C$127,C725)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SUMIFS(RAB!$F$14:$F$127,RAB!$C$14:$C$127,C726)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SUMIFS(RAB!$F$14:$F$127,RAB!$C$14:$C$127,C727)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SUMIFS(RAB!$F$14:$F$127,RAB!$C$14:$C$127,C728)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SUMIFS(RAB!$F$14:$F$127,RAB!$C$14:$C$127,C729)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SUMIFS(RAB!$F$14:$F$127,RAB!$C$14:$C$127,C730)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SUMIFS(RAB!$F$14:$F$127,RAB!$C$14:$C$127,C731)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SUMIFS(RAB!$F$14:$F$127,RAB!$C$14:$C$127,C732)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SUMIFS(RAB!$F$14:$F$127,RAB!$C$14:$C$127,C733)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SUMIFS(RAB!$F$14:$F$127,RAB!$C$14:$C$127,C734)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SUMIFS(RAB!$F$14:$F$127,RAB!$C$14:$C$127,C735)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SUMIFS(RAB!$F$14:$F$127,RAB!$C$14:$C$127,C736)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SUMIFS(RAB!$F$14:$F$127,RAB!$C$14:$C$127,C737)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SUMIFS(RAB!$F$14:$F$127,RAB!$C$14:$C$127,C738)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SUMIFS(RAB!$F$14:$F$127,RAB!$C$14:$C$127,C739)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SUMIFS(RAB!$F$14:$F$127,RAB!$C$14:$C$127,C740)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SUMIFS(RAB!$F$14:$F$127,RAB!$C$14:$C$127,C741)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SUMIFS(RAB!$F$14:$F$127,RAB!$C$14:$C$127,C742)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SUMIFS(RAB!$F$14:$F$127,RAB!$C$14:$C$127,C743)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SUMIFS(RAB!$F$14:$F$127,RAB!$C$14:$C$127,C744)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SUMIFS(RAB!$F$14:$F$127,RAB!$C$14:$C$127,C745)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SUMIFS(RAB!$F$14:$F$127,RAB!$C$14:$C$127,C746)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SUMIFS(RAB!$F$14:$F$127,RAB!$C$14:$C$127,C747)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SUMIFS(RAB!$F$14:$F$127,RAB!$C$14:$C$127,C748)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SUMIFS(RAB!$F$14:$F$127,RAB!$C$14:$C$127,C749)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SUMIFS(RAB!$F$14:$F$127,RAB!$C$14:$C$127,C750)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SUMIFS(RAB!$F$14:$F$127,RAB!$C$14:$C$127,C751)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SUMIFS(RAB!$F$14:$F$127,RAB!$C$14:$C$127,C752)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SUMIFS(RAB!$F$14:$F$127,RAB!$C$14:$C$127,C753)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SUMIFS(RAB!$F$14:$F$127,RAB!$C$14:$C$127,C754)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SUMIFS(RAB!$F$14:$F$127,RAB!$C$14:$C$127,C755)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SUMIFS(RAB!$F$14:$F$127,RAB!$C$14:$C$127,C756)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SUMIFS(RAB!$F$14:$F$127,RAB!$C$14:$C$127,C757)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SUMIFS(RAB!$F$14:$F$127,RAB!$C$14:$C$127,C758)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SUMIFS(RAB!$F$14:$F$127,RAB!$C$14:$C$127,C759)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SUMIFS(RAB!$F$14:$F$127,RAB!$C$14:$C$127,C760)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SUMIFS(RAB!$F$14:$F$127,RAB!$C$14:$C$127,C761)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SUMIFS(RAB!$F$14:$F$127,RAB!$C$14:$C$127,C762)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SUMIFS(RAB!$F$14:$F$127,RAB!$C$14:$C$127,C763)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SUMIFS(RAB!$F$14:$F$127,RAB!$C$14:$C$127,C764)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SUMIFS(RAB!$F$14:$F$127,RAB!$C$14:$C$127,C765)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SUMIFS(RAB!$F$14:$F$127,RAB!$C$14:$C$127,C766)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SUMIFS(RAB!$F$14:$F$127,RAB!$C$14:$C$127,C767)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SUMIFS(RAB!$F$14:$F$127,RAB!$C$14:$C$127,C768)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SUMIFS(RAB!$F$14:$F$127,RAB!$C$14:$C$127,C769)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SUMIFS(RAB!$F$14:$F$127,RAB!$C$14:$C$127,C770)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SUMIFS(RAB!$F$14:$F$127,RAB!$C$14:$C$127,C771)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SUMIFS(RAB!$F$14:$F$127,RAB!$C$14:$C$127,C772)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SUMIFS(RAB!$F$14:$F$127,RAB!$C$14:$C$127,C773)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SUMIFS(RAB!$F$14:$F$127,RAB!$C$14:$C$127,C774)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SUMIFS(RAB!$F$14:$F$127,RAB!$C$14:$C$127,C775)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SUMIFS(RAB!$F$14:$F$127,RAB!$C$14:$C$127,C776)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SUMIFS(RAB!$F$14:$F$127,RAB!$C$14:$C$127,C777)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SUMIFS(RAB!$F$14:$F$127,RAB!$C$14:$C$127,C778)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SUMIFS(RAB!$F$14:$F$127,RAB!$C$14:$C$127,C779)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SUMIFS(RAB!$F$14:$F$127,RAB!$C$14:$C$127,C780)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SUMIFS(RAB!$F$14:$F$127,RAB!$C$14:$C$127,C781)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SUMIFS(RAB!$F$14:$F$127,RAB!$C$14:$C$127,C782)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SUMIFS(RAB!$F$14:$F$127,RAB!$C$14:$C$127,C783)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SUMIFS(RAB!$F$14:$F$127,RAB!$C$14:$C$127,C784)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SUMIFS(RAB!$F$14:$F$127,RAB!$C$14:$C$127,C785)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SUMIFS(RAB!$F$14:$F$127,RAB!$C$14:$C$127,C786)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SUMIFS(RAB!$F$14:$F$127,RAB!$C$14:$C$127,C787)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SUMIFS(RAB!$F$14:$F$127,RAB!$C$14:$C$127,C788)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SUMIFS(RAB!$F$14:$F$127,RAB!$C$14:$C$127,C789)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SUMIFS(RAB!$F$14:$F$127,RAB!$C$14:$C$127,C790)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SUMIFS(RAB!$F$14:$F$127,RAB!$C$14:$C$127,C791)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SUMIFS(RAB!$F$14:$F$127,RAB!$C$14:$C$127,C792)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SUMIFS(RAB!$F$14:$F$127,RAB!$C$14:$C$127,C793)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SUMIFS(RAB!$F$14:$F$127,RAB!$C$14:$C$127,C794)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SUMIFS(RAB!$F$14:$F$127,RAB!$C$14:$C$127,C795)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SUMIFS(RAB!$F$14:$F$127,RAB!$C$14:$C$127,C796)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SUMIFS(RAB!$F$14:$F$127,RAB!$C$14:$C$127,C797)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SUMIFS(RAB!$F$14:$F$127,RAB!$C$14:$C$127,C798)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SUMIFS(RAB!$F$14:$F$127,RAB!$C$14:$C$127,C799)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SUMIFS(RAB!$F$14:$F$127,RAB!$C$14:$C$127,C800)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SUMIFS(RAB!$F$14:$F$127,RAB!$C$14:$C$127,C801)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SUMIFS(RAB!$F$14:$F$127,RAB!$C$14:$C$127,C802)</f>
        <v>1</v>
      </c>
      <c r="E802" s="26">
        <f t="shared" ca="1" si="34"/>
        <v>1</v>
      </c>
      <c r="F802" s="26">
        <f ca="1">IF(D802=0,0,SUM($E$713:E802))</f>
        <v>3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SUMIFS(RAB!$F$14:$F$127,RAB!$C$14:$C$127,C803)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SUMIFS(RAB!$F$14:$F$127,RAB!$C$14:$C$127,C804)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SUMIFS(RAB!$F$14:$F$127,RAB!$C$14:$C$127,C805)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SUMIFS(RAB!$F$14:$F$127,RAB!$C$14:$C$127,C806)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SUMIFS(RAB!$F$14:$F$127,RAB!$C$14:$C$127,C807)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SUMIFS(RAB!$F$14:$F$127,RAB!$C$14:$C$127,C808)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SUMIFS(RAB!$F$14:$F$127,RAB!$C$14:$C$127,C809)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SUMIFS(RAB!$F$14:$F$127,RAB!$C$14:$C$127,C810)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SUMIFS(RAB!$F$14:$F$127,RAB!$C$14:$C$127,C811)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SUMIFS(RAB!$F$14:$F$127,RAB!$C$14:$C$127,C812)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SUMIFS(RAB!$F$14:$F$127,RAB!$C$14:$C$127,C813)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SUMIFS(RAB!$F$14:$F$127,RAB!$C$14:$C$127,C814)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SUMIFS(RAB!$F$14:$F$127,RAB!$C$14:$C$127,C815)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SUMIFS(RAB!$F$14:$F$127,RAB!$C$14:$C$127,C816)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SUMIFS(RAB!$F$14:$F$127,RAB!$C$14:$C$127,C817)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SUMIFS(RAB!$F$14:$F$127,RAB!$C$14:$C$127,C818)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SUMIFS(RAB!$F$14:$F$127,RAB!$C$14:$C$127,C819)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SUMIFS(RAB!$F$14:$F$127,RAB!$C$14:$C$127,C820)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SUMIFS(RAB!$F$14:$F$127,RAB!$C$14:$C$127,C821)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SUMIFS(RAB!$F$14:$F$127,RAB!$C$14:$C$127,C822)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SUMIFS(RAB!$F$14:$F$127,RAB!$C$14:$C$127,C823)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SUMIFS(RAB!$F$14:$F$127,RAB!$C$14:$C$127,C824)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SUMIFS(RAB!$F$14:$F$127,RAB!$C$14:$C$127,C825)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SUMIFS(RAB!$F$14:$F$127,RAB!$C$14:$C$127,C826)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SUMIFS(RAB!$F$14:$F$127,RAB!$C$14:$C$127,C827)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SUMIFS(RAB!$F$14:$F$127,RAB!$C$14:$C$127,C828)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SUMIFS(RAB!$F$14:$F$127,RAB!$C$14:$C$127,C829)</f>
        <v>9</v>
      </c>
      <c r="E829" s="26">
        <f t="shared" ca="1" si="34"/>
        <v>1</v>
      </c>
      <c r="F829" s="26">
        <f ca="1">IF(D829=0,0,SUM($E$713:E829))</f>
        <v>4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SUMIFS(RAB!$F$14:$F$127,RAB!$C$14:$C$127,C830)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SUMIFS(RAB!$F$14:$F$127,RAB!$C$14:$C$127,C831)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SUMIFS(RAB!$F$14:$F$127,RAB!$C$14:$C$127,C832)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SUMIFS(RAB!$F$14:$F$127,RAB!$C$14:$C$127,C833)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SUMIFS(RAB!$F$14:$F$127,RAB!$C$14:$C$127,C834)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SUMIFS(RAB!$F$14:$F$127,RAB!$C$14:$C$127,C835)</f>
        <v>3</v>
      </c>
      <c r="E835" s="26">
        <f t="shared" ca="1" si="34"/>
        <v>1</v>
      </c>
      <c r="F835" s="26">
        <f ca="1">IF(D835=0,0,SUM($E$713:E835))</f>
        <v>5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SUMIFS(RAB!$F$14:$F$127,RAB!$C$14:$C$127,C836)</f>
        <v>350</v>
      </c>
      <c r="E836" s="26">
        <f t="shared" ca="1" si="34"/>
        <v>1</v>
      </c>
      <c r="F836" s="26">
        <f ca="1">IF(D836=0,0,SUM($E$713:E836))</f>
        <v>6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SUMIFS(RAB!$F$14:$F$127,RAB!$C$14:$C$127,C837)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SUMIFS(RAB!$F$14:$F$127,RAB!$C$14:$C$127,C838)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SUMIFS(RAB!$F$14:$F$127,RAB!$C$14:$C$127,C839)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SUMIFS(RAB!$F$14:$F$127,RAB!$C$14:$C$127,C840)</f>
        <v>35</v>
      </c>
      <c r="E840" s="26">
        <f t="shared" ca="1" si="34"/>
        <v>1</v>
      </c>
      <c r="F840" s="26">
        <f ca="1">IF(D840=0,0,SUM($E$713:E840))</f>
        <v>7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SUMIFS(RAB!$F$14:$F$127,RAB!$C$14:$C$127,C841)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SUMIFS(RAB!$F$14:$F$127,RAB!$C$14:$C$127,C842)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SUMIFS(RAB!$F$14:$F$127,RAB!$C$14:$C$127,C843)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SUMIFS(RAB!$F$14:$F$127,RAB!$C$14:$C$127,C844)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SUMIFS(RAB!$F$14:$F$127,RAB!$C$14:$C$127,C845)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SUMIFS(RAB!$F$14:$F$127,RAB!$C$14:$C$127,C846)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SUMIFS(RAB!$F$14:$F$127,RAB!$C$14:$C$127,C847)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SUMIFS(RAB!$F$14:$F$127,RAB!$C$14:$C$127,C848)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SUMIFS(RAB!$F$14:$F$127,RAB!$C$14:$C$127,C849)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SUMIFS(RAB!$F$14:$F$127,RAB!$C$14:$C$127,C850)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SUMIFS(RAB!$F$14:$F$127,RAB!$C$14:$C$127,C851)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SUMIFS(RAB!$F$14:$F$127,RAB!$C$14:$C$127,C852)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SUMIFS(RAB!$F$14:$F$127,RAB!$C$14:$C$127,C853)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SUMIFS(RAB!$F$14:$F$127,RAB!$C$14:$C$127,C854)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SUMIFS(RAB!$F$14:$F$127,RAB!$C$14:$C$127,C855)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SUMIFS(RAB!$F$14:$F$127,RAB!$C$14:$C$127,C856)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SUMIFS(RAB!$F$14:$F$127,RAB!$C$14:$C$127,C857)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SUMIFS(RAB!$F$14:$F$127,RAB!$C$14:$C$127,C858)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SUMIFS(RAB!$F$14:$F$127,RAB!$C$14:$C$127,C859)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SUMIFS(RAB!$F$14:$F$127,RAB!$C$14:$C$127,C860)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SUMIFS(RAB!$F$14:$F$127,RAB!$C$14:$C$127,C861)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SUMIFS(RAB!$F$14:$F$127,RAB!$C$14:$C$127,C862)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SUMIFS(RAB!$F$14:$F$127,RAB!$C$14:$C$127,C863)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SUMIFS(RAB!$F$14:$F$127,RAB!$C$14:$C$127,C864)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SUMIFS(RAB!$F$14:$F$127,RAB!$C$14:$C$127,C865)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SUMIFS(RAB!$F$14:$F$127,RAB!$C$14:$C$127,C866)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SUMIFS(RAB!$F$14:$F$127,RAB!$C$14:$C$127,C867)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SUMIFS(RAB!$F$14:$F$127,RAB!$C$14:$C$127,C868)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SUMIFS(RAB!$F$14:$F$127,RAB!$C$14:$C$127,C869)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SUMIFS(RAB!$F$14:$F$127,RAB!$C$14:$C$127,C870)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SUMIFS(RAB!$F$14:$F$127,RAB!$C$14:$C$127,C871)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SUMIFS(RAB!$F$14:$F$127,RAB!$C$14:$C$127,C872)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SUMIFS(RAB!$F$14:$F$127,RAB!$C$14:$C$127,C873)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SUMIFS(RAB!$F$14:$F$127,RAB!$C$14:$C$127,C874)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SUMIFS(RAB!$F$14:$F$127,RAB!$C$14:$C$127,C875)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SUMIFS(RAB!$F$14:$F$127,RAB!$C$14:$C$127,C876)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SUMIFS(RAB!$F$14:$F$127,RAB!$C$14:$C$127,C877)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SUMIFS(RAB!$F$14:$F$127,RAB!$C$14:$C$127,C878)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SUMIFS(RAB!$F$14:$F$127,RAB!$C$14:$C$127,C879)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SUMIFS(RAB!$F$14:$F$127,RAB!$C$14:$C$127,C880)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SUMIFS(RAB!$F$14:$F$127,RAB!$C$14:$C$127,C881)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SUMIFS(RAB!$F$14:$F$127,RAB!$C$14:$C$127,C882)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SUMIFS(RAB!$F$14:$F$127,RAB!$C$14:$C$127,C883)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SUMIFS(RAB!$F$14:$F$127,RAB!$C$14:$C$127,C884)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SUMIFS(RAB!$F$14:$F$127,RAB!$C$14:$C$127,C885)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SUMIFS(RAB!$F$14:$F$127,RAB!$C$14:$C$127,C886)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SUMIFS(RAB!$F$14:$F$127,RAB!$C$14:$C$127,C887)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SUMIFS(RAB!$F$14:$F$127,RAB!$C$14:$C$127,C888)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SUMIFS(RAB!$F$14:$F$127,RAB!$C$14:$C$127,C889)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SUMIFS(RAB!$F$14:$F$127,RAB!$C$14:$C$127,C890)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SUMIFS(RAB!$F$14:$F$127,RAB!$C$14:$C$127,C891)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SUMIFS(RAB!$F$14:$F$127,RAB!$C$14:$C$127,C892)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SUMIFS(RAB!$F$14:$F$127,RAB!$C$14:$C$127,C893)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SUMIFS(RAB!$F$14:$F$127,RAB!$C$14:$C$127,C894)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SUMIFS(RAB!$F$14:$F$127,RAB!$C$14:$C$127,C895)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SUMIFS(RAB!$F$14:$F$127,RAB!$C$14:$C$127,C896)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SUMIFS(RAB!$F$14:$F$127,RAB!$C$14:$C$127,C897)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SUMIFS(RAB!$F$14:$F$127,RAB!$C$14:$C$127,C898)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SUMIFS(RAB!$F$14:$F$127,RAB!$C$14:$C$127,C899)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SUMIFS(RAB!$F$14:$F$127,RAB!$C$14:$C$127,C900)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SUMIFS(RAB!$F$14:$F$127,RAB!$C$14:$C$127,C901)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SUMIFS(RAB!$F$14:$F$127,RAB!$C$14:$C$127,C902)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SUMIFS(RAB!$F$14:$F$127,RAB!$C$14:$C$127,C903)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SUMIFS(RAB!$F$14:$F$127,RAB!$C$14:$C$127,C904)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SUMIFS(RAB!$F$14:$F$127,RAB!$C$14:$C$127,C905)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SUMIFS(RAB!$F$14:$F$127,RAB!$C$14:$C$127,C906)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SUMIFS(RAB!$F$14:$F$127,RAB!$C$14:$C$127,C907)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SUMIFS(RAB!$F$14:$F$127,RAB!$C$14:$C$127,C908)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SUMIFS(RAB!$F$14:$F$127,RAB!$C$14:$C$127,C909)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SUMIFS(RAB!$F$14:$F$127,RAB!$C$14:$C$127,C910)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SUMIFS(RAB!$F$14:$F$127,RAB!$C$14:$C$127,C911)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SUMIFS(RAB!$F$14:$F$127,RAB!$C$14:$C$127,C912)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SUMIFS(RAB!$F$14:$F$127,RAB!$C$14:$C$127,C913)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SUMIFS(RAB!$F$14:$F$127,RAB!$C$14:$C$127,C914)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SUMIFS(RAB!$F$14:$F$127,RAB!$C$14:$C$127,C915)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SUMIFS(RAB!$F$14:$F$127,RAB!$C$14:$C$127,C916)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SUMIFS(RAB!$F$14:$F$127,RAB!$C$14:$C$127,C917)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SUMIFS(RAB!$F$14:$F$127,RAB!$C$14:$C$127,C918)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SUMIFS(RAB!$F$14:$F$127,RAB!$C$14:$C$127,C919)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SUMIFS(RAB!$F$14:$F$127,RAB!$C$14:$C$127,C920)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SUMIFS(RAB!$F$14:$F$127,RAB!$C$14:$C$127,C921)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SUMIFS(RAB!$F$14:$F$127,RAB!$C$14:$C$127,C922)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SUMIFS(RAB!$F$14:$F$127,RAB!$C$14:$C$127,C923)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SUMIFS(RAB!$F$14:$F$127,RAB!$C$14:$C$127,C924)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SUMIFS(RAB!$F$14:$F$127,RAB!$C$14:$C$127,C925)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SUMIFS(RAB!$F$14:$F$127,RAB!$C$14:$C$127,C926)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SUMIFS(RAB!$F$14:$F$127,RAB!$C$14:$C$127,C927)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SUMIFS(RAB!$F$14:$F$127,RAB!$C$14:$C$127,C928)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SUMIFS(RAB!$F$14:$F$127,RAB!$C$14:$C$127,C929)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SUMIFS(RAB!$F$14:$F$127,RAB!$C$14:$C$127,C930)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SUMIFS(RAB!$F$14:$F$127,RAB!$C$14:$C$127,C931)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SUMIFS(RAB!$F$14:$F$127,RAB!$C$14:$C$127,C932)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SUMIFS(RAB!$F$14:$F$127,RAB!$C$14:$C$127,C933)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SUMIFS(RAB!$F$14:$F$127,RAB!$C$14:$C$127,C934)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SUMIFS(RAB!$F$14:$F$127,RAB!$C$14:$C$127,C935)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SUMIFS(RAB!$F$14:$F$127,RAB!$C$14:$C$127,C936)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SUMIFS(RAB!$F$14:$F$127,RAB!$C$14:$C$127,C937)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SUMIFS(RAB!$F$14:$F$127,RAB!$C$14:$C$127,C938)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SUMIFS(RAB!$F$14:$F$127,RAB!$C$14:$C$127,C939)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SUMIFS(RAB!$F$14:$F$127,RAB!$C$14:$C$127,C940)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SUMIFS(RAB!$F$14:$F$127,RAB!$C$14:$C$127,C941)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SUMIFS(RAB!$F$14:$F$127,RAB!$C$14:$C$127,C942)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SUMIFS(RAB!$F$14:$F$127,RAB!$C$14:$C$127,C943)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SUMIFS(RAB!$F$14:$F$127,RAB!$C$14:$C$127,C944)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SUMIFS(RAB!$F$14:$F$127,RAB!$C$14:$C$127,C945)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SUMIFS(RAB!$F$14:$F$127,RAB!$C$14:$C$127,C946)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SUMIFS(RAB!$F$14:$F$127,RAB!$C$14:$C$127,C947)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SUMIFS(RAB!$F$14:$F$127,RAB!$C$14:$C$127,C948)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SUMIFS(RAB!$F$14:$F$127,RAB!$C$14:$C$127,C949)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SUMIFS(RAB!$F$14:$F$127,RAB!$C$14:$C$127,C950)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SUMIFS(RAB!$F$14:$F$127,RAB!$C$14:$C$127,C951)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SUMIFS(RAB!$F$14:$F$127,RAB!$C$14:$C$127,C952)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SUMIFS(RAB!$F$14:$F$127,RAB!$C$14:$C$127,C953)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SUMIFS(RAB!$F$14:$F$127,RAB!$C$14:$C$127,C954)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SUMIFS(RAB!$F$14:$F$127,RAB!$C$14:$C$127,C955)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SUMIFS(RAB!$F$14:$F$127,RAB!$C$14:$C$127,C956)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SUMIFS(RAB!$F$14:$F$127,RAB!$C$14:$C$127,C957)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SUMIFS(RAB!$F$14:$F$127,RAB!$C$14:$C$127,C958)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SUMIFS(RAB!$F$14:$F$127,RAB!$C$14:$C$127,C959)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SUMIFS(RAB!$F$14:$F$127,RAB!$C$14:$C$127,C960)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SUMIFS(RAB!$F$14:$F$127,RAB!$C$14:$C$127,C961)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SUMIFS(RAB!$F$14:$F$127,RAB!$C$14:$C$127,C962)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SUMIFS(RAB!$F$14:$F$127,RAB!$C$14:$C$127,C963)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SUMIFS(RAB!$F$14:$F$127,RAB!$C$14:$C$127,C964)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SUMIFS(RAB!$F$14:$F$127,RAB!$C$14:$C$127,C965)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SUMIFS(RAB!$F$14:$F$127,RAB!$C$14:$C$127,C966)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SUMIFS(RAB!$F$14:$F$127,RAB!$C$14:$C$127,C967)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SUMIFS(RAB!$F$14:$F$127,RAB!$C$14:$C$127,C968)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SUMIFS(RAB!$F$14:$F$127,RAB!$C$14:$C$127,C969)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SUMIFS(RAB!$F$14:$F$127,RAB!$C$14:$C$127,C970)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SUMIFS(RAB!$F$14:$F$127,RAB!$C$14:$C$127,C971)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SUMIFS(RAB!$F$14:$F$127,RAB!$C$14:$C$127,C972)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SUMIFS(RAB!$F$14:$F$127,RAB!$C$14:$C$127,C973)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SUMIFS(RAB!$F$14:$F$127,RAB!$C$14:$C$127,C974)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SUMIFS(RAB!$F$14:$F$127,RAB!$C$14:$C$127,C975)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SUMIFS(RAB!$F$14:$F$127,RAB!$C$14:$C$127,C976)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SUMIFS(RAB!$F$14:$F$127,RAB!$C$14:$C$127,C977)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SUMIFS(RAB!$F$14:$F$127,RAB!$C$14:$C$127,C978)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SUMIFS(RAB!$F$14:$F$127,RAB!$C$14:$C$127,C979)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SUMIFS(RAB!$F$14:$F$127,RAB!$C$14:$C$127,C980)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SUMIFS(RAB!$F$14:$F$127,RAB!$C$14:$C$127,C981)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SUMIFS(RAB!$F$14:$F$127,RAB!$C$14:$C$127,C982)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SUMIFS(RAB!$F$14:$F$127,RAB!$C$14:$C$127,C983)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SUMIFS(RAB!$F$14:$F$127,RAB!$C$14:$C$127,C984)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SUMIFS(RAB!$F$14:$F$127,RAB!$C$14:$C$127,C985)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SUMIFS(RAB!$F$14:$F$127,RAB!$C$14:$C$127,C986)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SUMIFS(RAB!$F$14:$F$127,RAB!$C$14:$C$127,C987)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SUMIFS(RAB!$F$14:$F$127,RAB!$C$14:$C$127,C988)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SUMIFS(RAB!$F$14:$F$127,RAB!$C$14:$C$127,C989)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SUMIFS(RAB!$F$14:$F$127,RAB!$C$14:$C$127,C990)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SUMIFS(RAB!$F$14:$F$127,RAB!$C$14:$C$127,C991)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SUMIFS(RAB!$F$14:$F$127,RAB!$C$14:$C$127,C992)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SUMIFS(RAB!$F$14:$F$127,RAB!$C$14:$C$127,C993)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SUMIFS(RAB!$F$14:$F$127,RAB!$C$14:$C$127,C994)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SUMIFS(RAB!$F$14:$F$127,RAB!$C$14:$C$127,C995)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SUMIFS(RAB!$F$14:$F$127,RAB!$C$14:$C$127,C996)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SUMIFS(RAB!$F$14:$F$127,RAB!$C$14:$C$127,C997)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SUMIFS(RAB!$F$14:$F$127,RAB!$C$14:$C$127,C998)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SUMIFS(RAB!$F$14:$F$127,RAB!$C$14:$C$127,C999)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SUMIFS(RAB!$F$14:$F$127,RAB!$C$14:$C$127,C1000)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SUMIFS(RAB!$F$14:$F$127,RAB!$C$14:$C$127,C1001)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SUMIFS(RAB!$F$14:$F$127,RAB!$C$14:$C$127,C1002)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SUMIFS(RAB!$F$14:$F$127,RAB!$C$14:$C$127,C1003)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SUMIFS(RAB!$F$14:$F$127,RAB!$C$14:$C$127,C1004)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SUMIFS(RAB!$F$14:$F$127,RAB!$C$14:$C$127,C1005)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SUMIFS(RAB!$F$14:$F$127,RAB!$C$14:$C$127,C1006)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SUMIFS(RAB!$F$14:$F$127,RAB!$C$14:$C$127,C1007)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SUMIFS(RAB!$F$14:$F$127,RAB!$C$14:$C$127,C1008)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SUMIFS(RAB!$F$14:$F$127,RAB!$C$14:$C$127,C1009)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SUMIFS(RAB!$F$14:$F$127,RAB!$C$14:$C$127,C1010)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SUMIFS(RAB!$F$14:$F$127,RAB!$C$14:$C$127,C1011)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SUMIFS(RAB!$F$14:$F$127,RAB!$C$14:$C$127,C1012)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SUMIFS(RAB!$F$14:$F$127,RAB!$C$14:$C$127,C1013)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SUMIFS(RAB!$F$14:$F$127,RAB!$C$14:$C$127,C1014)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SUMIFS(RAB!$F$14:$F$127,RAB!$C$14:$C$127,C1015)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SUMIFS(RAB!$F$14:$F$127,RAB!$C$14:$C$127,C1016)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SUMIFS(RAB!$F$14:$F$127,RAB!$C$14:$C$127,C1017)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SUMIFS(RAB!$F$14:$F$127,RAB!$C$14:$C$127,C1018)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SUMIFS(RAB!$F$14:$F$127,RAB!$C$14:$C$127,C1019)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SUMIFS(RAB!$F$14:$F$127,RAB!$C$14:$C$127,C1020)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SUMIFS(RAB!$F$14:$F$127,RAB!$C$14:$C$127,C1021)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SUMIFS(RAB!$F$14:$F$127,RAB!$C$14:$C$127,C1022)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SUMIFS(RAB!$F$14:$F$127,RAB!$C$14:$C$127,C1023)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SUMIFS(RAB!$F$14:$F$127,RAB!$C$14:$C$127,C1024)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SUMIFS(RAB!$F$14:$F$127,RAB!$C$14:$C$127,C1025)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SUMIFS(RAB!$F$14:$F$127,RAB!$C$14:$C$127,C1026)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SUMIFS(RAB!$F$14:$F$127,RAB!$C$14:$C$127,C1027)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SUMIFS(RAB!$F$14:$F$127,RAB!$C$14:$C$127,C1028)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SUMIFS(RAB!$F$14:$F$127,RAB!$C$14:$C$127,C1029)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SUMIFS(RAB!$F$14:$F$127,RAB!$C$14:$C$127,C1030)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SUMIFS(RAB!$F$14:$F$127,RAB!$C$14:$C$127,C1031)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SUMIFS(RAB!$F$14:$F$127,RAB!$C$14:$C$127,C1032)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SUMIFS(RAB!$F$14:$F$127,RAB!$C$14:$C$127,C1033)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SUMIFS(RAB!$F$14:$F$127,RAB!$C$14:$C$127,C1034)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SUMIFS(RAB!$F$14:$F$127,RAB!$C$14:$C$127,C1035)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SUMIFS(RAB!$F$14:$F$127,RAB!$C$14:$C$127,C1036)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SUMIFS(RAB!$F$14:$F$127,RAB!$C$14:$C$127,C1037)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SUMIFS(RAB!$F$14:$F$127,RAB!$C$14:$C$127,C1038)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SUMIFS(RAB!$F$14:$F$127,RAB!$C$14:$C$127,C1039)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SUMIFS(RAB!$F$14:$F$127,RAB!$C$14:$C$127,C1040)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SUMIFS(RAB!$F$14:$F$127,RAB!$C$14:$C$127,C1041)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SUMIFS(RAB!$F$14:$F$127,RAB!$C$14:$C$127,C1042)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SUMIFS(RAB!$F$14:$F$127,RAB!$C$14:$C$127,C1043)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SUMIFS(RAB!$F$14:$F$127,RAB!$C$14:$C$127,C1044)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SUMIFS(RAB!$F$14:$F$127,RAB!$C$14:$C$127,C1045)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SUMIFS(RAB!$F$14:$F$127,RAB!$C$14:$C$127,C1046)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SUMIFS(RAB!$F$14:$F$127,RAB!$C$14:$C$127,C1047)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SUMIFS(RAB!$F$14:$F$127,RAB!$C$14:$C$127,C1048)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SUMIFS(RAB!$F$14:$F$127,RAB!$C$14:$C$127,C1049)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SUMIFS(RAB!$F$14:$F$127,RAB!$C$14:$C$127,C1050)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SUMIFS(RAB!$F$14:$F$127,RAB!$C$14:$C$127,C1051)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SUMIFS(RAB!$F$14:$F$127,RAB!$C$14:$C$127,C1052)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SUMIFS(RAB!$F$14:$F$127,RAB!$C$14:$C$127,C1053)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SUMIFS(RAB!$F$14:$F$127,RAB!$C$14:$C$127,C1054)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SUMIFS(RAB!$F$14:$F$127,RAB!$C$14:$C$127,C1055)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SUMIFS(RAB!$F$14:$F$127,RAB!$C$14:$C$127,C1056)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SUMIFS(RAB!$F$14:$F$127,RAB!$C$14:$C$127,C1057)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SUMIFS(RAB!$F$14:$F$127,RAB!$C$14:$C$127,C1058)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SUMIFS(RAB!$F$14:$F$127,RAB!$C$14:$C$127,C1059)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SUMIFS(RAB!$F$14:$F$127,RAB!$C$14:$C$127,C1060)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SUMIFS(RAB!$F$14:$F$127,RAB!$C$14:$C$127,C1061)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SUMIFS(RAB!$F$14:$F$127,RAB!$C$14:$C$127,C1062)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SUMIFS(RAB!$F$14:$F$127,RAB!$C$14:$C$127,C1063)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SUMIFS(RAB!$F$14:$F$127,RAB!$C$14:$C$127,C1064)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SUMIFS(RAB!$F$14:$F$127,RAB!$C$14:$C$127,C1065)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SUMIFS(RAB!$F$14:$F$127,RAB!$C$14:$C$127,C1066)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SUMIFS(RAB!$F$14:$F$127,RAB!$C$14:$C$127,C1067)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SUMIFS(RAB!$F$14:$F$127,RAB!$C$14:$C$127,C1068)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SUMIFS(RAB!$F$14:$F$127,RAB!$C$14:$C$127,C1069)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SUMIFS(RAB!$F$14:$F$127,RAB!$C$14:$C$127,C1070)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SUMIFS(RAB!$F$14:$F$127,RAB!$C$14:$C$127,C1071)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SUMIFS(RAB!$F$14:$F$127,RAB!$C$14:$C$127,C1072)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SUMIFS(RAB!$F$14:$F$127,RAB!$C$14:$C$127,C1073)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SUMIFS(RAB!$F$14:$F$127,RAB!$C$14:$C$127,C1074)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SUMIFS(RAB!$F$14:$F$127,RAB!$C$14:$C$127,C1075)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SUMIFS(RAB!$F$14:$F$127,RAB!$C$14:$C$127,C1076)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SUMIFS(RAB!$F$14:$F$127,RAB!$C$14:$C$127,C1077)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SUMIFS(RAB!$F$14:$F$127,RAB!$C$14:$C$127,C1078)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SUMIFS(RAB!$F$14:$F$127,RAB!$C$14:$C$127,C1079)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SUMIFS(RAB!$F$14:$F$127,RAB!$C$14:$C$127,C1080)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SUMIFS(RAB!$F$14:$F$127,RAB!$C$14:$C$127,C1081)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SUMIFS(RAB!$F$14:$F$127,RAB!$C$14:$C$127,C1082)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SUMIFS(RAB!$F$14:$F$127,RAB!$C$14:$C$127,C1083)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SUMIFS(RAB!$F$14:$F$127,RAB!$C$14:$C$127,C1084)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SUMIFS(RAB!$F$14:$F$127,RAB!$C$14:$C$127,C1085)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SUMIFS(RAB!$F$14:$F$127,RAB!$C$14:$C$127,C1086)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SUMIFS(RAB!$F$14:$F$127,RAB!$C$14:$C$127,C1087)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SUMIFS(RAB!$F$14:$F$127,RAB!$C$14:$C$127,C1088)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SUMIFS(RAB!$F$14:$F$127,RAB!$C$14:$C$127,C1089)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SUMIFS(RAB!$F$14:$F$127,RAB!$C$14:$C$127,C1090)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SUMIFS(RAB!$F$14:$F$127,RAB!$C$14:$C$127,C1091)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SUMIFS(RAB!$F$14:$F$127,RAB!$C$14:$C$127,C1092)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SUMIFS(RAB!$F$14:$F$127,RAB!$C$14:$C$127,C1093)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SUMIFS(RAB!$F$14:$F$127,RAB!$C$14:$C$127,C1094)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SUMIFS(RAB!$F$14:$F$127,RAB!$C$14:$C$127,C1095)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SUMIFS(RAB!$F$14:$F$127,RAB!$C$14:$C$127,C1096)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SUMIFS(RAB!$F$14:$F$127,RAB!$C$14:$C$127,C1097)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SUMIFS(RAB!$F$14:$F$127,RAB!$C$14:$C$127,C1098)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SUMIFS(RAB!$F$14:$F$127,RAB!$C$14:$C$127,C1099)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SUMIFS(RAB!$F$14:$F$127,RAB!$C$14:$C$127,C1100)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SUMIFS(RAB!$F$14:$F$127,RAB!$C$14:$C$127,C1101)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SUMIFS(RAB!$F$14:$F$127,RAB!$C$14:$C$127,C1102)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SUMIFS(RAB!$F$14:$F$127,RAB!$C$14:$C$127,C1103)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SUMIFS(RAB!$F$14:$F$127,RAB!$C$14:$C$127,C1104)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SUMIFS(RAB!$F$14:$F$127,RAB!$C$14:$C$127,C1105)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SUMIFS(RAB!$F$14:$F$127,RAB!$C$14:$C$127,C1106)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SUMIFS(RAB!$F$14:$F$127,RAB!$C$14:$C$127,C1107)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SUMIFS(RAB!$F$14:$F$127,RAB!$C$14:$C$127,C1108)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SUMIFS(RAB!$F$14:$F$127,RAB!$C$14:$C$127,C1109)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SUMIFS(RAB!$F$14:$F$127,RAB!$C$14:$C$127,C1110)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SUMIFS(RAB!$F$14:$F$127,RAB!$C$14:$C$127,C1111)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SUMIFS(RAB!$F$14:$F$127,RAB!$C$14:$C$127,C1112)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SUMIFS(RAB!$F$14:$F$127,RAB!$C$14:$C$127,C1113)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SUMIFS(RAB!$F$14:$F$127,RAB!$C$14:$C$127,C1114)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SUMIFS(RAB!$F$14:$F$127,RAB!$C$14:$C$127,C1115)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SUMIFS(RAB!$F$14:$F$127,RAB!$C$14:$C$127,C1116)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SUMIFS(RAB!$F$14:$F$127,RAB!$C$14:$C$127,C1117)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SUMIFS(RAB!$F$14:$F$127,RAB!$C$14:$C$127,C1118)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SUMIFS(RAB!$F$14:$F$127,RAB!$C$14:$C$127,C1119)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SUMIFS(RAB!$F$14:$F$127,RAB!$C$14:$C$127,C1120)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SUMIFS(RAB!$F$14:$F$127,RAB!$C$14:$C$127,C1121)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SUMIFS(RAB!$F$14:$F$127,RAB!$C$14:$C$127,C1122)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SUMIFS(RAB!$F$14:$F$127,RAB!$C$14:$C$127,C1123)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SUMIFS(RAB!$F$14:$F$127,RAB!$C$14:$C$127,C1124)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SUMIFS(RAB!$F$14:$F$127,RAB!$C$14:$C$127,C1125)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SUMIFS(RAB!$F$14:$F$127,RAB!$C$14:$C$127,C1126)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SUMIFS(RAB!$F$14:$F$127,RAB!$C$14:$C$127,C1127)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SUMIFS(RAB!$F$14:$F$127,RAB!$C$14:$C$127,C1128)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SUMIFS(RAB!$F$14:$F$127,RAB!$C$14:$C$127,C1129)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SUMIFS(RAB!$F$14:$F$127,RAB!$C$14:$C$127,C1130)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SUMIFS(RAB!$F$14:$F$127,RAB!$C$14:$C$127,C1131)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SUMIFS(RAB!$F$14:$F$127,RAB!$C$14:$C$127,C1132)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SUMIFS(RAB!$F$14:$F$127,RAB!$C$14:$C$127,C1133)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SUMIFS(RAB!$F$14:$F$127,RAB!$C$14:$C$127,C1134)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SUMIFS(RAB!$F$14:$F$127,RAB!$C$14:$C$127,C1135)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SUMIFS(RAB!$F$14:$F$127,RAB!$C$14:$C$127,C1136)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SUMIFS(RAB!$F$14:$F$127,RAB!$C$14:$C$127,C1137)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SUMIFS(RAB!$F$14:$F$127,RAB!$C$14:$C$127,C1138)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SUMIFS(RAB!$F$14:$F$127,RAB!$C$14:$C$127,C1139)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SUMIFS(RAB!$F$14:$F$127,RAB!$C$14:$C$127,C1140)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SUMIFS(RAB!$F$14:$F$127,RAB!$C$14:$C$127,C1141)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SUMIFS(RAB!$F$14:$F$127,RAB!$C$14:$C$127,C1142)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SUMIFS(RAB!$F$14:$F$127,RAB!$C$14:$C$127,C1143)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SUMIFS(RAB!$F$14:$F$127,RAB!$C$14:$C$127,C1144)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SUMIFS(RAB!$F$14:$F$127,RAB!$C$14:$C$127,C1145)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SUMIFS(RAB!$F$14:$F$127,RAB!$C$14:$C$127,C1146)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SUMIFS(RAB!$F$14:$F$127,RAB!$C$14:$C$127,C1147)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SUMIFS(RAB!$F$14:$F$127,RAB!$C$14:$C$127,C1148)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SUMIFS(RAB!$F$14:$F$127,RAB!$C$14:$C$127,C1149)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SUMIFS(RAB!$F$14:$F$127,RAB!$C$14:$C$127,C1150)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SUMIFS(RAB!$F$14:$F$127,RAB!$C$14:$C$127,C1151)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SUMIFS(RAB!$F$14:$F$127,RAB!$C$14:$C$127,C1152)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SUMIFS(RAB!$F$14:$F$127,RAB!$C$14:$C$127,C1153)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SUMIFS(RAB!$F$14:$F$127,RAB!$C$14:$C$127,C1154)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SUMIFS(RAB!$F$14:$F$127,RAB!$C$14:$C$127,C1155)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SUMIFS(RAB!$F$14:$F$127,RAB!$C$14:$C$127,C1156)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SUMIFS(RAB!$F$14:$F$127,RAB!$C$14:$C$127,C1157)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SUMIFS(RAB!$F$14:$F$127,RAB!$C$14:$C$127,C1158)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SUMIFS(RAB!$F$14:$F$127,RAB!$C$14:$C$127,C1159)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SUMIFS(RAB!$F$14:$F$127,RAB!$C$14:$C$127,C1160)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SUMIFS(RAB!$F$14:$F$127,RAB!$C$14:$C$127,C1161)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SUMIFS(RAB!$F$14:$F$127,RAB!$C$14:$C$127,C1162)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SUMIFS(RAB!$F$14:$F$127,RAB!$C$14:$C$127,C1163)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SUMIFS(RAB!$F$14:$F$127,RAB!$C$14:$C$127,C1164)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SUMIFS(RAB!$F$14:$F$127,RAB!$C$14:$C$127,C1165)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SUMIFS(RAB!$F$14:$F$127,RAB!$C$14:$C$127,C1166)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SUMIFS(RAB!$F$14:$F$127,RAB!$C$14:$C$127,C1167)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SUMIFS(RAB!$F$14:$F$127,RAB!$C$14:$C$127,C1168)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SUMIFS(RAB!$F$14:$F$127,RAB!$C$14:$C$127,C1169)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SUMIFS(RAB!$F$14:$F$127,RAB!$C$14:$C$127,C1170)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SUMIFS(RAB!$F$14:$F$127,RAB!$C$14:$C$127,C1171)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SUMIFS(RAB!$F$14:$F$127,RAB!$C$14:$C$127,C1172)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SUMIFS(RAB!$F$14:$F$127,RAB!$C$14:$C$127,C1173)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SUMIFS(RAB!$F$14:$F$127,RAB!$C$14:$C$127,C1174)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SUMIFS(RAB!$F$14:$F$127,RAB!$C$14:$C$127,C1175)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SUMIFS(RAB!$F$14:$F$127,RAB!$C$14:$C$127,C1176)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SUMIFS(RAB!$F$14:$F$127,RAB!$C$14:$C$127,C1177)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SUMIFS(RAB!$F$14:$F$127,RAB!$C$14:$C$127,C1178)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SUMIFS(RAB!$F$14:$F$127,RAB!$C$14:$C$127,C1179)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SUMIFS(RAB!$F$14:$F$127,RAB!$C$14:$C$127,C1180)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SUMIFS(RAB!$F$14:$F$127,RAB!$C$14:$C$127,C1181)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SUMIFS(RAB!$F$14:$F$127,RAB!$C$14:$C$127,C1182)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SUMIFS(RAB!$F$14:$F$127,RAB!$C$14:$C$127,C1183)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SUMIFS(RAB!$F$14:$F$127,RAB!$C$14:$C$127,C1184)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SUMIFS(RAB!$F$14:$F$127,RAB!$C$14:$C$127,C1185)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SUMIFS(RAB!$F$14:$F$127,RAB!$C$14:$C$127,C1186)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SUMIFS(RAB!$F$14:$F$127,RAB!$C$14:$C$127,C1187)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SUMIFS(RAB!$F$14:$F$127,RAB!$C$14:$C$127,C1188)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SUMIFS(RAB!$F$14:$F$127,RAB!$C$14:$C$127,C1189)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SUMIFS(RAB!$F$14:$F$127,RAB!$C$14:$C$127,C1190)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SUMIFS(RAB!$F$14:$F$127,RAB!$C$14:$C$127,C1191)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SUMIFS(RAB!$F$14:$F$127,RAB!$C$14:$C$127,C1192)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SUMIFS(RAB!$F$14:$F$127,RAB!$C$14:$C$127,C1193)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SUMIFS(RAB!$F$14:$F$127,RAB!$C$14:$C$127,C1194)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SUMIFS(RAB!$F$14:$F$127,RAB!$C$14:$C$127,C1195)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SUMIFS(RAB!$F$14:$F$127,RAB!$C$14:$C$127,C1196)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SUMIFS(RAB!$F$14:$F$127,RAB!$C$14:$C$127,C1197)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SUMIFS(RAB!$F$14:$F$127,RAB!$C$14:$C$127,C1198)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SUMIFS(RAB!$F$14:$F$127,RAB!$C$14:$C$127,C1199)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SUMIFS(RAB!$F$14:$F$127,RAB!$C$14:$C$127,C1200)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SUMIFS(RAB!$F$14:$F$127,RAB!$C$14:$C$127,C1201)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SUMIFS(RAB!$F$14:$F$127,RAB!$C$14:$C$127,C1202)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SUMIFS(RAB!$F$14:$F$127,RAB!$C$14:$C$127,C1203)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SUMIFS(RAB!$F$14:$F$127,RAB!$C$14:$C$127,C1204)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SUMIFS(RAB!$F$14:$F$127,RAB!$C$14:$C$127,C1205)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SUMIFS(RAB!$F$14:$F$127,RAB!$C$14:$C$127,C1206)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SUMIFS(RAB!$F$14:$F$127,RAB!$C$14:$C$127,C1207)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SUMIFS(RAB!$F$14:$F$127,RAB!$C$14:$C$127,C1208)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SUMIFS(RAB!$F$14:$F$127,RAB!$C$14:$C$127,C1209)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SUMIFS(RAB!$F$14:$F$127,RAB!$C$14:$C$127,C1210)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SUMIFS(RAB!$F$14:$F$127,RAB!$C$14:$C$127,C1211)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SUMIFS(RAB!$F$14:$F$127,RAB!$C$14:$C$127,C1212)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SUMIFS(RAB!$F$14:$F$127,RAB!$C$14:$C$127,C1213)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SUMIFS(RAB!$F$14:$F$127,RAB!$C$14:$C$127,C1214)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SUMIFS(RAB!$F$14:$F$127,RAB!$C$14:$C$127,C1215)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SUMIFS(RAB!$F$14:$F$127,RAB!$C$14:$C$127,C1216)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SUMIFS(RAB!$F$14:$F$127,RAB!$C$14:$C$127,C1217)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SUMIFS(RAB!$F$14:$F$127,RAB!$C$14:$C$127,C1218)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SUMIFS(RAB!$F$14:$F$127,RAB!$C$14:$C$127,C1219)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SUMIFS(RAB!$F$14:$F$127,RAB!$C$14:$C$127,C1220)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SUMIFS(RAB!$F$14:$F$127,RAB!$C$14:$C$127,C1221)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SUMIFS(RAB!$F$14:$F$127,RAB!$C$14:$C$127,C1222)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SUMIFS(RAB!$F$14:$F$127,RAB!$C$14:$C$127,C1223)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SUMIFS(RAB!$F$14:$F$127,RAB!$C$14:$C$127,C1224)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SUMIFS(RAB!$F$14:$F$127,RAB!$C$14:$C$127,C1225)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SUMIFS(RAB!$F$14:$F$127,RAB!$C$14:$C$127,C1226)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SUMIFS(RAB!$F$14:$F$127,RAB!$C$14:$C$127,C1227)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SUMIFS(RAB!$F$14:$F$127,RAB!$C$14:$C$127,C1228)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SUMIFS(RAB!$F$14:$F$127,RAB!$C$14:$C$127,C1229)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SUMIFS(RAB!$F$14:$F$127,RAB!$C$14:$C$127,C1230)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SUMIFS(RAB!$F$14:$F$127,RAB!$C$14:$C$127,C1231)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SUMIFS(RAB!$F$14:$F$127,RAB!$C$14:$C$127,C1232)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SUMIFS(RAB!$F$14:$F$127,RAB!$C$14:$C$127,C1233)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SUMIFS(RAB!$F$14:$F$127,RAB!$C$14:$C$127,C1234)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SUMIFS(RAB!$F$14:$F$127,RAB!$C$14:$C$127,C1235)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SUMIFS(RAB!$F$14:$F$127,RAB!$C$14:$C$127,C1236)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SUMIFS(RAB!$F$14:$F$127,RAB!$C$14:$C$127,C1237)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SUMIFS(RAB!$F$14:$F$127,RAB!$C$14:$C$127,C1238)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SUMIFS(RAB!$F$14:$F$127,RAB!$C$14:$C$127,C1239)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SUMIFS(RAB!$F$14:$F$127,RAB!$C$14:$C$127,C1240)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SUMIFS(RAB!$F$14:$F$127,RAB!$C$14:$C$127,C1241)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SUMIFS(RAB!$F$14:$F$127,RAB!$C$14:$C$127,C1242)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SUMIFS(RAB!$F$14:$F$127,RAB!$C$14:$C$127,C1243)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SUMIFS(RAB!$F$14:$F$127,RAB!$C$14:$C$127,C1244)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SUMIFS(RAB!$F$14:$F$127,RAB!$C$14:$C$127,C1245)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SUMIFS(RAB!$F$14:$F$127,RAB!$C$14:$C$127,C1246)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SUMIFS(RAB!$F$14:$F$127,RAB!$C$14:$C$127,C1247)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SUMIFS(RAB!$F$14:$F$127,RAB!$C$14:$C$127,C1248)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SUMIFS(RAB!$F$14:$F$127,RAB!$C$14:$C$127,C1249)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SUMIFS(RAB!$F$14:$F$127,RAB!$C$14:$C$127,C1250)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SUMIFS(RAB!$F$14:$F$127,RAB!$C$14:$C$127,C1251)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SUMIFS(RAB!$F$14:$F$127,RAB!$C$14:$C$127,C1252)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SUMIFS(RAB!$F$14:$F$127,RAB!$C$14:$C$127,C1253)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SUMIFS(RAB!$F$14:$F$127,RAB!$C$14:$C$127,C1254)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SUMIFS(RAB!$F$14:$F$127,RAB!$C$14:$C$127,C1255)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SUMIFS(RAB!$F$14:$F$127,RAB!$C$14:$C$127,C1256)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SUMIFS(RAB!$F$14:$F$127,RAB!$C$14:$C$127,C1257)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SUMIFS(RAB!$F$14:$F$127,RAB!$C$14:$C$127,C1258)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SUMIFS(RAB!$F$14:$F$127,RAB!$C$14:$C$127,C1259)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SUMIFS(RAB!$F$14:$F$127,RAB!$C$14:$C$127,C1260)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SUMIFS(RAB!$F$14:$F$127,RAB!$C$14:$C$127,C1261)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SUMIFS(RAB!$F$14:$F$127,RAB!$C$14:$C$127,C1262)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SUMIFS(RAB!$F$14:$F$127,RAB!$C$14:$C$127,C1263)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SUMIFS(RAB!$F$14:$F$127,RAB!$C$14:$C$127,C1264)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SUMIFS(RAB!$F$14:$F$127,RAB!$C$14:$C$127,C1265)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SUMIFS(RAB!$F$14:$F$127,RAB!$C$14:$C$127,C1266)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SUMIFS(RAB!$F$14:$F$127,RAB!$C$14:$C$127,C1267)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SUMIFS(RAB!$F$14:$F$127,RAB!$C$14:$C$127,C1268)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SUMIFS(RAB!$F$14:$F$127,RAB!$C$14:$C$127,C1269)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SUMIFS(RAB!$F$14:$F$127,RAB!$C$14:$C$127,C1270)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SUMIFS(RAB!$F$14:$F$127,RAB!$C$14:$C$127,C1271)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SUMIFS(RAB!$F$14:$F$127,RAB!$C$14:$C$127,C1272)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SUMIFS(RAB!$F$14:$F$127,RAB!$C$14:$C$127,C1273)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SUMIFS(RAB!$F$14:$F$127,RAB!$C$14:$C$127,C1274)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SUMIFS(RAB!$F$14:$F$127,RAB!$C$14:$C$127,C1275)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SUMIFS(RAB!$F$14:$F$127,RAB!$C$14:$C$127,C1276)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SUMIFS(RAB!$F$14:$F$127,RAB!$C$14:$C$127,C1277)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SUMIFS(RAB!$F$14:$F$127,RAB!$C$14:$C$127,C1278)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SUMIFS(RAB!$F$14:$F$127,RAB!$C$14:$C$127,C1279)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SUMIFS(RAB!$F$14:$F$127,RAB!$C$14:$C$127,C1280)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SUMIFS(RAB!$F$14:$F$127,RAB!$C$14:$C$127,C1281)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SUMIFS(RAB!$F$14:$F$127,RAB!$C$14:$C$127,C1282)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SUMIFS(RAB!$F$14:$F$127,RAB!$C$14:$C$127,C1283)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SUMIFS(RAB!$F$14:$F$127,RAB!$C$14:$C$127,C1284)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SUMIFS(RAB!$F$14:$F$127,RAB!$C$14:$C$127,C1285)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SUMIFS(RAB!$F$14:$F$127,RAB!$C$14:$C$127,C1286)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SUMIFS(RAB!$F$14:$F$127,RAB!$C$14:$C$127,C1287)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SUMIFS(RAB!$F$14:$F$127,RAB!$C$14:$C$127,C1288)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SUMIFS(RAB!$F$14:$F$127,RAB!$C$14:$C$127,C1289)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SUMIFS(RAB!$F$14:$F$127,RAB!$C$14:$C$127,C1290)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SUMIFS(RAB!$F$14:$F$127,RAB!$C$14:$C$127,C1291)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SUMIFS(RAB!$F$14:$F$127,RAB!$C$14:$C$127,C1292)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SUMIFS(RAB!$F$14:$F$127,RAB!$C$14:$C$127,C1293)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SUMIFS(RAB!$F$14:$F$127,RAB!$C$14:$C$127,C1294)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SUMIFS(RAB!$F$14:$F$127,RAB!$C$14:$C$127,C1295)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SUMIFS(RAB!$F$14:$F$127,RAB!$C$14:$C$127,C1296)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SUMIFS(RAB!$F$14:$F$127,RAB!$C$14:$C$127,C1297)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SUMIFS(RAB!$F$14:$F$127,RAB!$C$14:$C$127,C1298)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SUMIFS(RAB!$F$14:$F$127,RAB!$C$14:$C$127,C1299)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SUMIFS(RAB!$F$14:$F$127,RAB!$C$14:$C$127,C1300)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SUMIFS(RAB!$F$14:$F$127,RAB!$C$14:$C$127,C1301)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SUMIFS(RAB!$F$14:$F$127,RAB!$C$14:$C$127,C1302)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SUMIFS(RAB!$F$14:$F$127,RAB!$C$14:$C$127,C1303)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SUMIFS(RAB!$F$14:$F$127,RAB!$C$14:$C$127,C1304)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SUMIFS(RAB!$F$14:$F$127,RAB!$C$14:$C$127,C1305)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SUMIFS(RAB!$F$14:$F$127,RAB!$C$14:$C$127,C1306)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SUMIFS(RAB!$F$14:$F$127,RAB!$C$14:$C$127,C1307)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SUMIFS(RAB!$F$14:$F$127,RAB!$C$14:$C$127,C1308)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SUMIFS(RAB!$F$14:$F$127,RAB!$C$14:$C$127,C1309)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SUMIFS(RAB!$F$14:$F$127,RAB!$C$14:$C$127,C1310)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SUMIFS(RAB!$F$14:$F$127,RAB!$C$14:$C$127,C1311)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SUMIFS(RAB!$F$14:$F$127,RAB!$C$14:$C$127,C1312)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SUMIFS(RAB!$F$14:$F$127,RAB!$C$14:$C$127,C1313)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SUMIFS(RAB!$F$14:$F$127,RAB!$C$14:$C$127,C1314)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SUMIFS(RAB!$F$14:$F$127,RAB!$C$14:$C$127,C1315)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SUMIFS(RAB!$F$14:$F$127,RAB!$C$14:$C$127,C1316)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SUMIFS(RAB!$F$14:$F$127,RAB!$C$14:$C$127,C1317)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SUMIFS(RAB!$F$14:$F$127,RAB!$C$14:$C$127,C1318)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SUMIFS(RAB!$F$14:$F$127,RAB!$C$14:$C$127,C1319)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SUMIFS(RAB!$F$14:$F$127,RAB!$C$14:$C$127,C1320)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62" priority="5" operator="equal">
      <formula>0</formula>
    </cfRule>
  </conditionalFormatting>
  <conditionalFormatting sqref="A10:L65536">
    <cfRule type="cellIs" dxfId="61" priority="1" operator="equal">
      <formula>0</formula>
    </cfRule>
  </conditionalFormatting>
  <conditionalFormatting sqref="C12:C711">
    <cfRule type="cellIs" dxfId="60" priority="66" stopIfTrue="1" operator="equal">
      <formula>0</formula>
    </cfRule>
  </conditionalFormatting>
  <conditionalFormatting sqref="E712:E65536">
    <cfRule type="cellIs" dxfId="59" priority="16" stopIfTrue="1" operator="equal">
      <formula>0</formula>
    </cfRule>
  </conditionalFormatting>
  <conditionalFormatting sqref="G1:G11 E6:E11 E1:E3 H7 H10:H11 F10:F711 G712:G65536">
    <cfRule type="cellIs" dxfId="58" priority="69" stopIfTrue="1" operator="equal">
      <formula>0</formula>
    </cfRule>
  </conditionalFormatting>
  <conditionalFormatting sqref="G12:H711">
    <cfRule type="cellIs" dxfId="57" priority="12" stopIfTrue="1" operator="equal">
      <formula>0</formula>
    </cfRule>
  </conditionalFormatting>
  <conditionalFormatting sqref="I7:K7">
    <cfRule type="cellIs" dxfId="56" priority="4" stopIfTrue="1" operator="equal">
      <formula>0</formula>
    </cfRule>
  </conditionalFormatting>
  <conditionalFormatting sqref="I10:L711">
    <cfRule type="cellIs" dxfId="55" priority="2" stopIfTrue="1" operator="equal">
      <formula>0</formula>
    </cfRule>
  </conditionalFormatting>
  <conditionalFormatting sqref="L1:L6">
    <cfRule type="cellIs" dxfId="54" priority="10" operator="equal">
      <formula>0</formula>
    </cfRule>
  </conditionalFormatting>
  <conditionalFormatting sqref="M1:IV1048576 A8:G9">
    <cfRule type="cellIs" dxfId="5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A2-C064-48A0-9036-7DBDC0000577}">
  <sheetPr>
    <tabColor rgb="FF92D050"/>
  </sheetPr>
  <dimension ref="C1:AD55"/>
  <sheetViews>
    <sheetView showGridLines="0" tabSelected="1" topLeftCell="A25" zoomScaleNormal="100" zoomScaleSheetLayoutView="100" workbookViewId="0">
      <selection activeCell="S46" sqref="S46"/>
    </sheetView>
  </sheetViews>
  <sheetFormatPr defaultColWidth="9.140625" defaultRowHeight="12"/>
  <cols>
    <col min="1" max="2" width="1.42578125" style="469" customWidth="1"/>
    <col min="3" max="3" width="7.42578125" style="469" customWidth="1"/>
    <col min="4" max="23" width="5.7109375" style="469" customWidth="1"/>
    <col min="24" max="24" width="6.28515625" style="469" customWidth="1"/>
    <col min="25" max="26" width="5.7109375" style="469" customWidth="1"/>
    <col min="27" max="27" width="6.5703125" style="469" customWidth="1"/>
    <col min="28" max="118" width="5.7109375" style="469" customWidth="1"/>
    <col min="119" max="16384" width="9.140625" style="469"/>
  </cols>
  <sheetData>
    <row r="1" spans="3:30" ht="12.75" thickBot="1"/>
    <row r="2" spans="3:30" ht="12.75" customHeight="1">
      <c r="C2" s="470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702" t="s">
        <v>1438</v>
      </c>
      <c r="X2" s="703"/>
      <c r="Y2" s="703"/>
      <c r="Z2" s="703"/>
      <c r="AA2" s="703"/>
      <c r="AB2" s="703"/>
      <c r="AC2" s="703"/>
      <c r="AD2" s="704"/>
    </row>
    <row r="3" spans="3:30">
      <c r="C3" s="472"/>
      <c r="W3" s="705"/>
      <c r="X3" s="706"/>
      <c r="Y3" s="706"/>
      <c r="Z3" s="706"/>
      <c r="AA3" s="706"/>
      <c r="AB3" s="706"/>
      <c r="AC3" s="706"/>
      <c r="AD3" s="707"/>
    </row>
    <row r="4" spans="3:30">
      <c r="C4" s="472"/>
      <c r="G4" s="473" t="s">
        <v>1638</v>
      </c>
      <c r="W4" s="474" t="s">
        <v>987</v>
      </c>
      <c r="AD4" s="475"/>
    </row>
    <row r="5" spans="3:30">
      <c r="C5" s="472"/>
      <c r="W5" s="476" t="s">
        <v>991</v>
      </c>
      <c r="X5" s="649" t="s">
        <v>990</v>
      </c>
      <c r="Y5" s="649"/>
      <c r="Z5" s="649"/>
      <c r="AA5" s="649" t="s">
        <v>988</v>
      </c>
      <c r="AB5" s="649"/>
      <c r="AC5" s="649" t="s">
        <v>989</v>
      </c>
      <c r="AD5" s="650"/>
    </row>
    <row r="6" spans="3:30">
      <c r="C6" s="472"/>
      <c r="W6" s="476">
        <v>1</v>
      </c>
      <c r="X6" s="649" t="s">
        <v>993</v>
      </c>
      <c r="Y6" s="649"/>
      <c r="Z6" s="649"/>
      <c r="AA6" s="649"/>
      <c r="AB6" s="649"/>
      <c r="AC6" s="649"/>
      <c r="AD6" s="650"/>
    </row>
    <row r="7" spans="3:30">
      <c r="C7" s="472"/>
      <c r="W7" s="476">
        <v>2</v>
      </c>
      <c r="X7" s="649" t="s">
        <v>994</v>
      </c>
      <c r="Y7" s="649"/>
      <c r="Z7" s="649"/>
      <c r="AA7" s="649"/>
      <c r="AB7" s="649"/>
      <c r="AC7" s="649"/>
      <c r="AD7" s="650"/>
    </row>
    <row r="8" spans="3:30">
      <c r="C8" s="472"/>
      <c r="W8" s="476">
        <v>3</v>
      </c>
      <c r="X8" s="649" t="s">
        <v>995</v>
      </c>
      <c r="Y8" s="649"/>
      <c r="Z8" s="649"/>
      <c r="AA8" s="649"/>
      <c r="AB8" s="649"/>
      <c r="AC8" s="649"/>
      <c r="AD8" s="650"/>
    </row>
    <row r="9" spans="3:30">
      <c r="C9" s="472"/>
      <c r="W9" s="476">
        <v>4</v>
      </c>
      <c r="X9" s="649" t="s">
        <v>996</v>
      </c>
      <c r="Y9" s="649"/>
      <c r="Z9" s="649"/>
      <c r="AA9" s="649"/>
      <c r="AB9" s="649"/>
      <c r="AC9" s="649"/>
      <c r="AD9" s="650"/>
    </row>
    <row r="10" spans="3:30">
      <c r="C10" s="472"/>
      <c r="W10" s="476">
        <v>5</v>
      </c>
      <c r="X10" s="649" t="s">
        <v>997</v>
      </c>
      <c r="Y10" s="649"/>
      <c r="Z10" s="649"/>
      <c r="AA10" s="649"/>
      <c r="AB10" s="649"/>
      <c r="AC10" s="649"/>
      <c r="AD10" s="650"/>
    </row>
    <row r="11" spans="3:30">
      <c r="C11" s="472"/>
      <c r="W11" s="476">
        <v>6</v>
      </c>
      <c r="X11" s="649" t="s">
        <v>998</v>
      </c>
      <c r="Y11" s="649"/>
      <c r="Z11" s="649"/>
      <c r="AA11" s="649"/>
      <c r="AB11" s="649"/>
      <c r="AC11" s="649"/>
      <c r="AD11" s="650"/>
    </row>
    <row r="12" spans="3:30">
      <c r="C12" s="472"/>
      <c r="W12" s="476">
        <v>7</v>
      </c>
      <c r="X12" s="649" t="s">
        <v>999</v>
      </c>
      <c r="Y12" s="649"/>
      <c r="Z12" s="649"/>
      <c r="AA12" s="649"/>
      <c r="AB12" s="649"/>
      <c r="AC12" s="649"/>
      <c r="AD12" s="650"/>
    </row>
    <row r="13" spans="3:30" ht="12.75" customHeight="1">
      <c r="C13" s="472"/>
      <c r="W13" s="476">
        <v>8</v>
      </c>
      <c r="X13" s="649" t="s">
        <v>1000</v>
      </c>
      <c r="Y13" s="649"/>
      <c r="Z13" s="649"/>
      <c r="AA13" s="649"/>
      <c r="AB13" s="649"/>
      <c r="AC13" s="649"/>
      <c r="AD13" s="650"/>
    </row>
    <row r="14" spans="3:30">
      <c r="C14" s="472"/>
      <c r="W14" s="476">
        <v>9</v>
      </c>
      <c r="X14" s="649" t="s">
        <v>1001</v>
      </c>
      <c r="Y14" s="649"/>
      <c r="Z14" s="649"/>
      <c r="AA14" s="649"/>
      <c r="AB14" s="649"/>
      <c r="AC14" s="649"/>
      <c r="AD14" s="650"/>
    </row>
    <row r="15" spans="3:30">
      <c r="C15" s="472"/>
      <c r="W15" s="476">
        <v>10</v>
      </c>
      <c r="X15" s="649" t="s">
        <v>1010</v>
      </c>
      <c r="Y15" s="649"/>
      <c r="Z15" s="649"/>
      <c r="AA15" s="649"/>
      <c r="AB15" s="649"/>
      <c r="AC15" s="649"/>
      <c r="AD15" s="650"/>
    </row>
    <row r="16" spans="3:30">
      <c r="C16" s="472"/>
      <c r="W16" s="476">
        <v>11</v>
      </c>
      <c r="X16" s="649" t="s">
        <v>1454</v>
      </c>
      <c r="Y16" s="649"/>
      <c r="Z16" s="649"/>
      <c r="AA16" s="649"/>
      <c r="AB16" s="649"/>
      <c r="AC16" s="649"/>
      <c r="AD16" s="650"/>
    </row>
    <row r="17" spans="3:30">
      <c r="C17" s="472"/>
      <c r="S17" s="478"/>
      <c r="W17" s="476">
        <v>12</v>
      </c>
      <c r="X17" s="649" t="s">
        <v>1011</v>
      </c>
      <c r="Y17" s="649"/>
      <c r="Z17" s="649"/>
      <c r="AA17" s="649"/>
      <c r="AB17" s="649"/>
      <c r="AC17" s="649"/>
      <c r="AD17" s="650"/>
    </row>
    <row r="18" spans="3:30">
      <c r="C18" s="479"/>
      <c r="D18" s="480"/>
      <c r="E18" s="480"/>
      <c r="W18" s="476">
        <v>13</v>
      </c>
      <c r="X18" s="649"/>
      <c r="Y18" s="649"/>
      <c r="Z18" s="649"/>
      <c r="AA18" s="649"/>
      <c r="AB18" s="649"/>
      <c r="AC18" s="649"/>
      <c r="AD18" s="650"/>
    </row>
    <row r="19" spans="3:30">
      <c r="C19" s="472"/>
      <c r="W19" s="481"/>
      <c r="X19" s="691"/>
      <c r="Y19" s="691"/>
      <c r="Z19" s="691"/>
      <c r="AA19" s="691"/>
      <c r="AB19" s="691"/>
      <c r="AC19" s="691"/>
      <c r="AD19" s="692"/>
    </row>
    <row r="20" spans="3:30">
      <c r="C20" s="472"/>
      <c r="Q20" s="482"/>
      <c r="W20" s="693" t="s">
        <v>992</v>
      </c>
      <c r="X20" s="694"/>
      <c r="Y20" s="694"/>
      <c r="Z20" s="694"/>
      <c r="AA20" s="694"/>
      <c r="AB20" s="694"/>
      <c r="AC20" s="694"/>
      <c r="AD20" s="695"/>
    </row>
    <row r="21" spans="3:30">
      <c r="C21" s="472"/>
      <c r="W21" s="696" t="s">
        <v>985</v>
      </c>
      <c r="X21" s="697"/>
      <c r="Y21" s="697"/>
      <c r="Z21" s="698"/>
      <c r="AA21" s="699" t="s">
        <v>986</v>
      </c>
      <c r="AB21" s="700"/>
      <c r="AC21" s="700"/>
      <c r="AD21" s="701"/>
    </row>
    <row r="22" spans="3:30">
      <c r="C22" s="472"/>
      <c r="S22" s="483"/>
      <c r="W22" s="685" t="s">
        <v>1629</v>
      </c>
      <c r="X22" s="686"/>
      <c r="Y22" s="484" t="s">
        <v>1620</v>
      </c>
      <c r="Z22" s="485">
        <v>1</v>
      </c>
      <c r="AA22" s="687"/>
      <c r="AB22" s="688"/>
      <c r="AC22" s="486"/>
      <c r="AD22" s="487"/>
    </row>
    <row r="23" spans="3:30">
      <c r="C23" s="472"/>
      <c r="W23" s="685" t="s">
        <v>1631</v>
      </c>
      <c r="X23" s="686"/>
      <c r="Y23" s="484" t="s">
        <v>1620</v>
      </c>
      <c r="Z23" s="485">
        <v>4</v>
      </c>
      <c r="AA23" s="677"/>
      <c r="AB23" s="678"/>
      <c r="AC23" s="486"/>
      <c r="AD23" s="487"/>
    </row>
    <row r="24" spans="3:30">
      <c r="C24" s="472"/>
      <c r="W24" s="685" t="s">
        <v>1632</v>
      </c>
      <c r="X24" s="686"/>
      <c r="Y24" s="484" t="s">
        <v>1620</v>
      </c>
      <c r="Z24" s="485">
        <v>2</v>
      </c>
      <c r="AA24" s="689"/>
      <c r="AB24" s="690"/>
      <c r="AC24" s="486"/>
      <c r="AD24" s="487"/>
    </row>
    <row r="25" spans="3:30">
      <c r="C25" s="472"/>
      <c r="W25" s="685" t="s">
        <v>1613</v>
      </c>
      <c r="X25" s="686"/>
      <c r="Y25" s="484" t="s">
        <v>1620</v>
      </c>
      <c r="Z25" s="485">
        <v>2</v>
      </c>
      <c r="AA25" s="677"/>
      <c r="AB25" s="678"/>
      <c r="AC25" s="486"/>
      <c r="AD25" s="487"/>
    </row>
    <row r="26" spans="3:30">
      <c r="C26" s="472"/>
      <c r="W26" s="683" t="s">
        <v>1630</v>
      </c>
      <c r="X26" s="684"/>
      <c r="Y26" s="484" t="s">
        <v>1620</v>
      </c>
      <c r="Z26" s="485">
        <v>1</v>
      </c>
      <c r="AA26" s="677"/>
      <c r="AB26" s="678"/>
      <c r="AC26" s="486"/>
      <c r="AD26" s="487"/>
    </row>
    <row r="27" spans="3:30">
      <c r="C27" s="472"/>
      <c r="W27" s="683" t="s">
        <v>1633</v>
      </c>
      <c r="X27" s="684"/>
      <c r="Y27" s="484" t="s">
        <v>1620</v>
      </c>
      <c r="Z27" s="485">
        <v>4</v>
      </c>
      <c r="AA27" s="677"/>
      <c r="AB27" s="678"/>
      <c r="AC27" s="486"/>
      <c r="AD27" s="487"/>
    </row>
    <row r="28" spans="3:30">
      <c r="C28" s="472"/>
      <c r="W28" s="675" t="s">
        <v>1634</v>
      </c>
      <c r="X28" s="676"/>
      <c r="Y28" s="484" t="s">
        <v>1620</v>
      </c>
      <c r="Z28" s="485">
        <v>5</v>
      </c>
      <c r="AA28" s="677"/>
      <c r="AB28" s="678"/>
      <c r="AC28" s="486"/>
      <c r="AD28" s="487"/>
    </row>
    <row r="29" spans="3:30">
      <c r="C29" s="472"/>
      <c r="W29" s="683" t="s">
        <v>1635</v>
      </c>
      <c r="X29" s="684"/>
      <c r="Y29" s="484" t="s">
        <v>1620</v>
      </c>
      <c r="Z29" s="485">
        <v>2</v>
      </c>
      <c r="AA29" s="677"/>
      <c r="AB29" s="678"/>
      <c r="AC29" s="486"/>
      <c r="AD29" s="487"/>
    </row>
    <row r="30" spans="3:30" ht="11.25" customHeight="1">
      <c r="C30" s="472"/>
      <c r="W30" s="675" t="s">
        <v>1636</v>
      </c>
      <c r="X30" s="676"/>
      <c r="Y30" s="484" t="s">
        <v>1620</v>
      </c>
      <c r="Z30" s="485">
        <v>2</v>
      </c>
      <c r="AA30" s="677"/>
      <c r="AB30" s="678"/>
      <c r="AC30" s="486"/>
      <c r="AD30" s="487"/>
    </row>
    <row r="31" spans="3:30">
      <c r="C31" s="472"/>
      <c r="U31" s="492"/>
      <c r="W31" s="490" t="s">
        <v>1637</v>
      </c>
      <c r="X31" s="491"/>
      <c r="Y31" s="484" t="s">
        <v>1620</v>
      </c>
      <c r="Z31" s="485">
        <v>4</v>
      </c>
      <c r="AA31" s="677"/>
      <c r="AB31" s="678"/>
      <c r="AC31" s="486"/>
      <c r="AD31" s="487"/>
    </row>
    <row r="32" spans="3:30">
      <c r="C32" s="472"/>
      <c r="U32" s="492"/>
      <c r="W32" s="488"/>
      <c r="X32" s="489"/>
      <c r="Y32" s="484"/>
      <c r="Z32" s="485"/>
      <c r="AA32" s="677"/>
      <c r="AB32" s="678"/>
      <c r="AC32" s="486"/>
      <c r="AD32" s="487"/>
    </row>
    <row r="33" spans="3:30">
      <c r="C33" s="472"/>
      <c r="W33" s="675" t="s">
        <v>1644</v>
      </c>
      <c r="X33" s="676"/>
      <c r="Y33" s="484" t="s">
        <v>1645</v>
      </c>
      <c r="Z33" s="485">
        <v>350</v>
      </c>
      <c r="AA33" s="677"/>
      <c r="AB33" s="678"/>
      <c r="AC33" s="486"/>
      <c r="AD33" s="487"/>
    </row>
    <row r="34" spans="3:30">
      <c r="C34" s="472"/>
      <c r="Q34" s="469" t="s">
        <v>1607</v>
      </c>
      <c r="W34" s="675"/>
      <c r="X34" s="676"/>
      <c r="Y34" s="484"/>
      <c r="Z34" s="485"/>
      <c r="AA34" s="677"/>
      <c r="AB34" s="678"/>
      <c r="AC34" s="486"/>
      <c r="AD34" s="487"/>
    </row>
    <row r="35" spans="3:30">
      <c r="C35" s="472"/>
      <c r="W35" s="675"/>
      <c r="X35" s="676"/>
      <c r="Y35" s="484"/>
      <c r="Z35" s="485"/>
      <c r="AA35" s="677"/>
      <c r="AB35" s="678"/>
      <c r="AC35" s="486"/>
      <c r="AD35" s="487"/>
    </row>
    <row r="36" spans="3:30">
      <c r="C36" s="472"/>
      <c r="W36" s="675"/>
      <c r="X36" s="676"/>
      <c r="Y36" s="484"/>
      <c r="Z36" s="485"/>
      <c r="AA36" s="677"/>
      <c r="AB36" s="678"/>
      <c r="AC36" s="486"/>
      <c r="AD36" s="487"/>
    </row>
    <row r="37" spans="3:30" ht="12.75" customHeight="1">
      <c r="C37" s="472"/>
      <c r="W37" s="490"/>
      <c r="X37" s="493"/>
      <c r="Y37" s="484"/>
      <c r="Z37" s="485"/>
      <c r="AA37" s="679"/>
      <c r="AB37" s="680"/>
      <c r="AC37" s="486"/>
      <c r="AD37" s="494"/>
    </row>
    <row r="38" spans="3:30" ht="12.75" customHeight="1">
      <c r="C38" s="472"/>
      <c r="W38" s="495"/>
      <c r="X38" s="496"/>
      <c r="Y38" s="484"/>
      <c r="Z38" s="497"/>
      <c r="AA38" s="681"/>
      <c r="AB38" s="682"/>
      <c r="AC38" s="486"/>
      <c r="AD38" s="494"/>
    </row>
    <row r="39" spans="3:30" ht="12" customHeight="1">
      <c r="C39" s="472"/>
      <c r="W39" s="495"/>
      <c r="X39" s="496"/>
      <c r="Y39" s="484"/>
      <c r="Z39" s="497"/>
      <c r="AA39" s="663"/>
      <c r="AB39" s="664"/>
      <c r="AC39" s="486"/>
      <c r="AD39" s="494"/>
    </row>
    <row r="40" spans="3:30" ht="12" customHeight="1">
      <c r="C40" s="472"/>
      <c r="W40" s="498"/>
      <c r="X40" s="499"/>
      <c r="Y40" s="500"/>
      <c r="Z40" s="497"/>
      <c r="AA40" s="501"/>
      <c r="AB40" s="502"/>
      <c r="AC40" s="503"/>
      <c r="AD40" s="504"/>
    </row>
    <row r="41" spans="3:30" ht="12" customHeight="1">
      <c r="C41" s="472"/>
      <c r="W41" s="665"/>
      <c r="X41" s="666"/>
      <c r="Y41" s="505"/>
      <c r="Z41" s="506"/>
      <c r="AA41" s="667"/>
      <c r="AB41" s="668"/>
      <c r="AC41" s="503"/>
      <c r="AD41" s="504"/>
    </row>
    <row r="42" spans="3:30" ht="12" customHeight="1">
      <c r="C42" s="472"/>
      <c r="W42" s="669" t="s">
        <v>1627</v>
      </c>
      <c r="X42" s="670"/>
      <c r="Y42" s="670"/>
      <c r="Z42" s="670"/>
      <c r="AA42" s="670"/>
      <c r="AB42" s="670"/>
      <c r="AC42" s="670"/>
      <c r="AD42" s="671"/>
    </row>
    <row r="43" spans="3:30" ht="12" customHeight="1">
      <c r="C43" s="472"/>
      <c r="V43" s="507"/>
      <c r="W43" s="672"/>
      <c r="X43" s="673"/>
      <c r="Y43" s="673"/>
      <c r="Z43" s="673"/>
      <c r="AA43" s="673"/>
      <c r="AB43" s="673"/>
      <c r="AC43" s="673"/>
      <c r="AD43" s="674"/>
    </row>
    <row r="44" spans="3:30">
      <c r="C44" s="508"/>
      <c r="D44" s="509"/>
      <c r="E44" s="509"/>
      <c r="F44" s="509"/>
      <c r="G44" s="509"/>
      <c r="H44" s="509"/>
      <c r="I44" s="509"/>
      <c r="N44" s="509"/>
      <c r="O44" s="509"/>
      <c r="P44" s="509"/>
      <c r="Q44" s="509"/>
      <c r="R44" s="509"/>
      <c r="S44" s="509"/>
      <c r="T44" s="509"/>
      <c r="U44" s="509"/>
      <c r="V44" s="507"/>
      <c r="W44" s="661" t="s">
        <v>11</v>
      </c>
      <c r="X44" s="648"/>
      <c r="Y44" s="649"/>
      <c r="Z44" s="649"/>
      <c r="AA44" s="649"/>
      <c r="AB44" s="649"/>
      <c r="AC44" s="649"/>
      <c r="AD44" s="650"/>
    </row>
    <row r="45" spans="3:30">
      <c r="C45" s="508"/>
      <c r="D45" s="509"/>
      <c r="E45" s="509"/>
      <c r="F45" s="509"/>
      <c r="G45" s="509"/>
      <c r="H45" s="509"/>
      <c r="I45" s="509"/>
      <c r="N45" s="509"/>
      <c r="O45" s="509"/>
      <c r="P45" s="509"/>
      <c r="Q45" s="509"/>
      <c r="R45" s="509"/>
      <c r="S45" s="509"/>
      <c r="T45" s="509"/>
      <c r="U45" s="509"/>
      <c r="V45" s="507"/>
      <c r="W45" s="661" t="s">
        <v>984</v>
      </c>
      <c r="X45" s="648"/>
      <c r="Y45" s="649">
        <v>1</v>
      </c>
      <c r="Z45" s="649"/>
      <c r="AA45" s="649"/>
      <c r="AB45" s="649" t="s">
        <v>12</v>
      </c>
      <c r="AC45" s="649"/>
      <c r="AD45" s="477" t="s">
        <v>13</v>
      </c>
    </row>
    <row r="46" spans="3:30">
      <c r="C46" s="508"/>
      <c r="D46" s="509"/>
      <c r="E46" s="509"/>
      <c r="F46" s="509"/>
      <c r="G46" s="509"/>
      <c r="H46" s="509"/>
      <c r="I46" s="509"/>
      <c r="J46" s="509"/>
      <c r="K46" s="509"/>
      <c r="L46" s="509"/>
      <c r="M46" s="509"/>
      <c r="N46" s="509"/>
      <c r="O46" s="509"/>
      <c r="P46" s="509"/>
      <c r="Q46" s="509"/>
      <c r="R46" s="509"/>
      <c r="S46" s="509"/>
      <c r="T46" s="509"/>
      <c r="U46" s="509"/>
      <c r="V46" s="507"/>
      <c r="W46" s="661" t="s">
        <v>15</v>
      </c>
      <c r="X46" s="648"/>
      <c r="Y46" s="662"/>
      <c r="Z46" s="662"/>
      <c r="AA46" s="662"/>
      <c r="AB46" s="649" t="s">
        <v>16</v>
      </c>
      <c r="AC46" s="649"/>
      <c r="AD46" s="510"/>
    </row>
    <row r="47" spans="3:30">
      <c r="C47" s="508"/>
      <c r="D47" s="509"/>
      <c r="E47" s="509"/>
      <c r="F47" s="509"/>
      <c r="G47" s="509"/>
      <c r="H47" s="509"/>
      <c r="I47" s="509"/>
      <c r="J47" s="509"/>
      <c r="K47" s="509"/>
      <c r="L47" s="509"/>
      <c r="M47" s="509"/>
      <c r="N47" s="509"/>
      <c r="O47" s="509"/>
      <c r="P47" s="509"/>
      <c r="Q47" s="509"/>
      <c r="R47" s="509"/>
      <c r="S47" s="509"/>
      <c r="T47" s="509"/>
      <c r="U47" s="509"/>
      <c r="V47" s="507"/>
      <c r="W47" s="655" t="s">
        <v>17</v>
      </c>
      <c r="X47" s="655"/>
      <c r="Y47" s="655"/>
      <c r="Z47" s="655"/>
      <c r="AA47" s="655"/>
      <c r="AB47" s="655"/>
      <c r="AC47" s="655"/>
      <c r="AD47" s="656"/>
    </row>
    <row r="48" spans="3:30" ht="12.75" customHeight="1">
      <c r="C48" s="508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R48" s="509"/>
      <c r="S48" s="509"/>
      <c r="T48" s="509"/>
      <c r="U48" s="509"/>
      <c r="V48" s="507"/>
      <c r="W48" s="657" t="s">
        <v>1628</v>
      </c>
      <c r="X48" s="657"/>
      <c r="Y48" s="657"/>
      <c r="Z48" s="657"/>
      <c r="AA48" s="657"/>
      <c r="AB48" s="657"/>
      <c r="AC48" s="657"/>
      <c r="AD48" s="658"/>
    </row>
    <row r="49" spans="3:30">
      <c r="C49" s="508"/>
      <c r="D49" s="511"/>
      <c r="E49" s="509"/>
      <c r="F49" s="509"/>
      <c r="G49" s="509"/>
      <c r="I49" s="509"/>
      <c r="J49" s="509"/>
      <c r="K49" s="509"/>
      <c r="L49" s="509"/>
      <c r="M49" s="509"/>
      <c r="R49" s="509"/>
      <c r="S49" s="509"/>
      <c r="T49" s="509"/>
      <c r="U49" s="509"/>
      <c r="V49" s="512"/>
      <c r="W49" s="657"/>
      <c r="X49" s="657"/>
      <c r="Y49" s="657"/>
      <c r="Z49" s="657"/>
      <c r="AA49" s="657"/>
      <c r="AB49" s="657"/>
      <c r="AC49" s="657"/>
      <c r="AD49" s="658"/>
    </row>
    <row r="50" spans="3:30">
      <c r="C50" s="508"/>
      <c r="D50" s="513"/>
      <c r="E50" s="513"/>
      <c r="F50" s="513"/>
      <c r="G50" s="513"/>
      <c r="I50" s="509"/>
      <c r="J50" s="509"/>
      <c r="K50" s="509"/>
      <c r="L50" s="509"/>
      <c r="M50" s="509"/>
      <c r="N50" s="509"/>
      <c r="O50" s="509"/>
      <c r="P50" s="509"/>
      <c r="Q50" s="509"/>
      <c r="R50" s="509"/>
      <c r="S50" s="509"/>
      <c r="T50" s="509"/>
      <c r="U50" s="509"/>
      <c r="V50" s="512"/>
      <c r="W50" s="657"/>
      <c r="X50" s="657"/>
      <c r="Y50" s="657"/>
      <c r="Z50" s="657"/>
      <c r="AA50" s="657"/>
      <c r="AB50" s="657"/>
      <c r="AC50" s="657"/>
      <c r="AD50" s="658"/>
    </row>
    <row r="51" spans="3:30" ht="19.5" customHeight="1">
      <c r="C51" s="508"/>
      <c r="D51" s="513"/>
      <c r="E51" s="513"/>
      <c r="F51" s="513"/>
      <c r="G51" s="513"/>
      <c r="I51" s="509"/>
      <c r="J51" s="509"/>
      <c r="K51" s="509"/>
      <c r="L51" s="509"/>
      <c r="M51" s="509"/>
      <c r="N51" s="509"/>
      <c r="O51" s="509"/>
      <c r="P51" s="509"/>
      <c r="Q51" s="509"/>
      <c r="R51" s="509"/>
      <c r="S51" s="509"/>
      <c r="T51" s="509"/>
      <c r="U51" s="509"/>
      <c r="V51" s="512"/>
      <c r="W51" s="659"/>
      <c r="X51" s="659"/>
      <c r="Y51" s="659"/>
      <c r="Z51" s="659"/>
      <c r="AA51" s="659"/>
      <c r="AB51" s="659"/>
      <c r="AC51" s="659"/>
      <c r="AD51" s="660"/>
    </row>
    <row r="52" spans="3:30">
      <c r="C52" s="508"/>
      <c r="D52" s="514"/>
      <c r="E52" s="514"/>
      <c r="F52" s="514"/>
      <c r="G52" s="514"/>
      <c r="I52" s="509"/>
      <c r="J52" s="509"/>
      <c r="K52" s="509"/>
      <c r="L52" s="423"/>
      <c r="M52" s="509"/>
      <c r="N52" s="509"/>
      <c r="O52" s="509"/>
      <c r="P52" s="509"/>
      <c r="Q52" s="509"/>
      <c r="R52" s="509"/>
      <c r="S52" s="509"/>
      <c r="T52" s="509"/>
      <c r="U52" s="509"/>
      <c r="V52" s="507"/>
      <c r="W52" s="647" t="s">
        <v>18</v>
      </c>
      <c r="X52" s="648"/>
      <c r="Y52" s="649" t="s">
        <v>1626</v>
      </c>
      <c r="Z52" s="649"/>
      <c r="AA52" s="649"/>
      <c r="AB52" s="649"/>
      <c r="AC52" s="649"/>
      <c r="AD52" s="650"/>
    </row>
    <row r="53" spans="3:30">
      <c r="C53" s="508"/>
      <c r="D53" s="513"/>
      <c r="E53" s="513"/>
      <c r="F53" s="513"/>
      <c r="G53" s="513"/>
      <c r="I53" s="509"/>
      <c r="J53" s="509"/>
      <c r="K53" s="509"/>
      <c r="L53" s="509"/>
      <c r="M53" s="509"/>
      <c r="N53" s="509"/>
      <c r="O53" s="509"/>
      <c r="P53" s="509"/>
      <c r="Q53" s="509"/>
      <c r="R53" s="509"/>
      <c r="S53" s="509"/>
      <c r="T53" s="509"/>
      <c r="V53" s="507"/>
      <c r="W53" s="647" t="s">
        <v>19</v>
      </c>
      <c r="X53" s="648"/>
      <c r="Y53" s="649" t="s">
        <v>1625</v>
      </c>
      <c r="Z53" s="649"/>
      <c r="AA53" s="649"/>
      <c r="AB53" s="649"/>
      <c r="AC53" s="649"/>
      <c r="AD53" s="650"/>
    </row>
    <row r="54" spans="3:30">
      <c r="C54" s="508"/>
      <c r="D54" s="424"/>
      <c r="E54" s="424"/>
      <c r="F54" s="424"/>
      <c r="G54" s="424"/>
      <c r="I54" s="509"/>
      <c r="J54" s="509"/>
      <c r="K54" s="509"/>
      <c r="L54" s="509"/>
      <c r="M54" s="509"/>
      <c r="N54" s="509"/>
      <c r="O54" s="509"/>
      <c r="P54" s="509"/>
      <c r="Q54" s="509"/>
      <c r="R54" s="509"/>
      <c r="S54" s="509"/>
      <c r="T54" s="509"/>
      <c r="V54" s="507"/>
      <c r="W54" s="647" t="s">
        <v>20</v>
      </c>
      <c r="X54" s="648"/>
      <c r="Y54" s="649" t="s">
        <v>1625</v>
      </c>
      <c r="Z54" s="649"/>
      <c r="AA54" s="649"/>
      <c r="AB54" s="649"/>
      <c r="AC54" s="649"/>
      <c r="AD54" s="650"/>
    </row>
    <row r="55" spans="3:30" ht="12.75" thickBot="1">
      <c r="C55" s="515"/>
      <c r="D55" s="516"/>
      <c r="E55" s="516"/>
      <c r="F55" s="516"/>
      <c r="G55" s="516"/>
      <c r="H55" s="516"/>
      <c r="I55" s="516"/>
      <c r="J55" s="516"/>
      <c r="K55" s="516"/>
      <c r="L55" s="516"/>
      <c r="M55" s="516"/>
      <c r="N55" s="516"/>
      <c r="O55" s="516"/>
      <c r="P55" s="516"/>
      <c r="Q55" s="516"/>
      <c r="R55" s="516"/>
      <c r="S55" s="516"/>
      <c r="T55" s="516"/>
      <c r="U55" s="517"/>
      <c r="V55" s="518"/>
      <c r="W55" s="651" t="s">
        <v>21</v>
      </c>
      <c r="X55" s="652"/>
      <c r="Y55" s="653" t="s">
        <v>1624</v>
      </c>
      <c r="Z55" s="653"/>
      <c r="AA55" s="653"/>
      <c r="AB55" s="653"/>
      <c r="AC55" s="653"/>
      <c r="AD55" s="654"/>
    </row>
  </sheetData>
  <mergeCells count="105"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6A82-131C-4510-88B2-6218709457BD}">
  <sheetPr>
    <tabColor rgb="FFFF66FF"/>
  </sheetPr>
  <dimension ref="B1:AE122"/>
  <sheetViews>
    <sheetView view="pageBreakPreview" zoomScale="47" zoomScaleNormal="40" zoomScaleSheetLayoutView="103" workbookViewId="0">
      <selection activeCell="AB31" sqref="AB31"/>
    </sheetView>
  </sheetViews>
  <sheetFormatPr defaultColWidth="9.140625"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2:31" ht="13.5" thickBot="1"/>
    <row r="2" spans="2:31" ht="13.5" thickBo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8"/>
      <c r="AE2" s="429"/>
    </row>
    <row r="3" spans="2:31" ht="12.75" customHeight="1" thickTop="1">
      <c r="B3" s="430"/>
      <c r="C3" s="708" t="s">
        <v>1622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10"/>
      <c r="AC3" s="431"/>
      <c r="AD3" s="429"/>
      <c r="AE3" s="429"/>
    </row>
    <row r="4" spans="2:31" ht="13.5" customHeight="1" thickBot="1">
      <c r="B4" s="430"/>
      <c r="C4" s="711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  <c r="S4" s="712"/>
      <c r="T4" s="712"/>
      <c r="U4" s="712"/>
      <c r="V4" s="712"/>
      <c r="W4" s="712"/>
      <c r="X4" s="712"/>
      <c r="Y4" s="712"/>
      <c r="Z4" s="712"/>
      <c r="AA4" s="712"/>
      <c r="AB4" s="713"/>
      <c r="AC4" s="431"/>
      <c r="AD4" s="429"/>
      <c r="AE4" s="429"/>
    </row>
    <row r="5" spans="2:31" ht="12.75" customHeight="1" thickTop="1">
      <c r="B5" s="430"/>
      <c r="C5" s="432"/>
      <c r="AD5" s="429"/>
      <c r="AE5" s="429"/>
    </row>
    <row r="6" spans="2:31" ht="12.75" customHeight="1">
      <c r="B6" s="430"/>
      <c r="Y6" s="433"/>
      <c r="Z6" s="433"/>
      <c r="AA6" s="433"/>
      <c r="AB6" s="434"/>
      <c r="AC6" s="434"/>
      <c r="AD6" s="429"/>
      <c r="AE6" s="429"/>
    </row>
    <row r="7" spans="2:31" ht="12.75" customHeight="1">
      <c r="B7" s="430"/>
      <c r="Y7" s="433"/>
      <c r="Z7" s="433"/>
      <c r="AA7" s="433"/>
      <c r="AB7" s="434"/>
      <c r="AC7" s="434"/>
      <c r="AD7" s="429"/>
      <c r="AE7" s="429"/>
    </row>
    <row r="8" spans="2:31" ht="12.75" customHeight="1">
      <c r="B8" s="430"/>
      <c r="AD8" s="429"/>
      <c r="AE8" s="429"/>
    </row>
    <row r="9" spans="2:31" ht="12.75" customHeight="1">
      <c r="B9" s="430"/>
      <c r="AD9" s="429"/>
      <c r="AE9" s="429"/>
    </row>
    <row r="10" spans="2:31">
      <c r="B10" s="430"/>
      <c r="AD10" s="429"/>
      <c r="AE10" s="429"/>
    </row>
    <row r="11" spans="2:31">
      <c r="B11" s="430"/>
      <c r="AD11" s="429"/>
      <c r="AE11" s="429"/>
    </row>
    <row r="12" spans="2:31">
      <c r="B12" s="430"/>
      <c r="AD12" s="429"/>
      <c r="AE12" s="429"/>
    </row>
    <row r="13" spans="2:31">
      <c r="B13" s="430"/>
      <c r="AD13" s="429"/>
      <c r="AE13" s="429"/>
    </row>
    <row r="14" spans="2:31">
      <c r="B14" s="430"/>
      <c r="D14" s="435"/>
      <c r="AD14" s="429"/>
      <c r="AE14" s="429"/>
    </row>
    <row r="15" spans="2:31">
      <c r="B15" s="430"/>
      <c r="AD15" s="429"/>
      <c r="AE15" s="429"/>
    </row>
    <row r="16" spans="2:31">
      <c r="B16" s="430"/>
      <c r="AD16" s="429"/>
      <c r="AE16" s="429"/>
    </row>
    <row r="17" spans="2:31">
      <c r="B17" s="430"/>
      <c r="AD17" s="429"/>
      <c r="AE17" s="429"/>
    </row>
    <row r="18" spans="2:31">
      <c r="B18" s="430"/>
      <c r="AD18" s="429"/>
      <c r="AE18" s="429"/>
    </row>
    <row r="19" spans="2:31">
      <c r="B19" s="430"/>
      <c r="AD19" s="429"/>
      <c r="AE19" s="429"/>
    </row>
    <row r="20" spans="2:31">
      <c r="B20" s="430"/>
      <c r="AD20" s="429"/>
      <c r="AE20" s="429"/>
    </row>
    <row r="21" spans="2:31">
      <c r="B21" s="430"/>
      <c r="AD21" s="429"/>
      <c r="AE21" s="429"/>
    </row>
    <row r="22" spans="2:31">
      <c r="B22" s="430"/>
      <c r="AD22" s="429"/>
      <c r="AE22" s="429"/>
    </row>
    <row r="23" spans="2:31">
      <c r="B23" s="430"/>
      <c r="AD23" s="429"/>
      <c r="AE23" s="429"/>
    </row>
    <row r="24" spans="2:31">
      <c r="B24" s="430"/>
      <c r="AD24" s="429"/>
      <c r="AE24" s="429"/>
    </row>
    <row r="25" spans="2:31">
      <c r="B25" s="430"/>
      <c r="AD25" s="429"/>
      <c r="AE25" s="429"/>
    </row>
    <row r="26" spans="2:31">
      <c r="B26" s="430"/>
      <c r="AD26" s="429"/>
      <c r="AE26" s="429"/>
    </row>
    <row r="27" spans="2:31">
      <c r="B27" s="430"/>
      <c r="AD27" s="429"/>
      <c r="AE27" s="429"/>
    </row>
    <row r="28" spans="2:31">
      <c r="B28" s="430"/>
      <c r="AD28" s="429"/>
      <c r="AE28" s="429"/>
    </row>
    <row r="29" spans="2:31">
      <c r="B29" s="430"/>
      <c r="AD29" s="429"/>
      <c r="AE29" s="429"/>
    </row>
    <row r="30" spans="2:31">
      <c r="B30" s="430"/>
      <c r="AD30" s="429"/>
      <c r="AE30" s="429"/>
    </row>
    <row r="31" spans="2:31">
      <c r="B31" s="430"/>
      <c r="AD31" s="429"/>
      <c r="AE31" s="429"/>
    </row>
    <row r="32" spans="2:31">
      <c r="B32" s="430"/>
      <c r="AD32" s="429"/>
      <c r="AE32" s="429"/>
    </row>
    <row r="33" spans="2:31">
      <c r="B33" s="430"/>
      <c r="AD33" s="429"/>
      <c r="AE33" s="429"/>
    </row>
    <row r="34" spans="2:31">
      <c r="B34" s="430"/>
      <c r="AD34" s="429"/>
      <c r="AE34" s="429"/>
    </row>
    <row r="35" spans="2:31">
      <c r="B35" s="430"/>
      <c r="AD35" s="429"/>
      <c r="AE35" s="429"/>
    </row>
    <row r="36" spans="2:31">
      <c r="B36" s="430"/>
      <c r="AD36" s="429"/>
      <c r="AE36" s="429"/>
    </row>
    <row r="37" spans="2:31">
      <c r="B37" s="430"/>
      <c r="AD37" s="429"/>
      <c r="AE37" s="429"/>
    </row>
    <row r="38" spans="2:31">
      <c r="B38" s="430"/>
      <c r="AD38" s="429"/>
      <c r="AE38" s="429"/>
    </row>
    <row r="39" spans="2:31">
      <c r="B39" s="430"/>
      <c r="AD39" s="429"/>
      <c r="AE39" s="429"/>
    </row>
    <row r="40" spans="2:31">
      <c r="B40" s="430"/>
      <c r="AD40" s="429"/>
      <c r="AE40" s="429"/>
    </row>
    <row r="41" spans="2:31">
      <c r="B41" s="430"/>
      <c r="AD41" s="429"/>
      <c r="AE41" s="429"/>
    </row>
    <row r="42" spans="2:31">
      <c r="B42" s="430"/>
      <c r="AD42" s="429"/>
      <c r="AE42" s="429"/>
    </row>
    <row r="43" spans="2:31">
      <c r="B43" s="430"/>
      <c r="AD43" s="429"/>
      <c r="AE43" s="429"/>
    </row>
    <row r="44" spans="2:31">
      <c r="B44" s="430"/>
      <c r="AD44" s="429"/>
      <c r="AE44" s="429"/>
    </row>
    <row r="45" spans="2:31">
      <c r="B45" s="430"/>
      <c r="AD45" s="429"/>
      <c r="AE45" s="429"/>
    </row>
    <row r="46" spans="2:31">
      <c r="B46" s="430"/>
      <c r="AD46" s="429"/>
      <c r="AE46" s="429"/>
    </row>
    <row r="47" spans="2:31">
      <c r="B47" s="430"/>
      <c r="AD47" s="429"/>
      <c r="AE47" s="429"/>
    </row>
    <row r="48" spans="2:31">
      <c r="B48" s="430"/>
      <c r="AD48" s="429"/>
      <c r="AE48" s="429"/>
    </row>
    <row r="49" spans="2:31">
      <c r="B49" s="430"/>
      <c r="AD49" s="429"/>
      <c r="AE49" s="429"/>
    </row>
    <row r="50" spans="2:31">
      <c r="B50" s="430"/>
      <c r="AD50" s="429"/>
      <c r="AE50" s="429"/>
    </row>
    <row r="51" spans="2:31">
      <c r="B51" s="430"/>
      <c r="AD51" s="429"/>
      <c r="AE51" s="429"/>
    </row>
    <row r="52" spans="2:31">
      <c r="B52" s="430"/>
      <c r="AD52" s="429"/>
      <c r="AE52" s="429"/>
    </row>
    <row r="53" spans="2:31">
      <c r="B53" s="430"/>
      <c r="AD53" s="429"/>
      <c r="AE53" s="429"/>
    </row>
    <row r="54" spans="2:31">
      <c r="B54" s="430"/>
      <c r="AD54" s="429"/>
      <c r="AE54" s="429"/>
    </row>
    <row r="55" spans="2:31">
      <c r="B55" s="430"/>
      <c r="AD55" s="429"/>
      <c r="AE55" s="429"/>
    </row>
    <row r="56" spans="2:31">
      <c r="B56" s="430"/>
      <c r="R56" s="436"/>
      <c r="S56" s="436"/>
      <c r="T56" s="436"/>
      <c r="U56" s="437"/>
      <c r="V56" s="437"/>
      <c r="W56" s="437"/>
      <c r="X56" s="437"/>
      <c r="Y56" s="437"/>
      <c r="Z56" s="437"/>
      <c r="AA56" s="437"/>
      <c r="AB56" s="437"/>
      <c r="AC56" s="437"/>
      <c r="AD56" s="438"/>
      <c r="AE56" s="429"/>
    </row>
    <row r="57" spans="2:31">
      <c r="B57" s="430"/>
      <c r="R57" s="439"/>
      <c r="S57" s="436"/>
      <c r="T57" s="436"/>
      <c r="U57" s="437"/>
      <c r="V57" s="440"/>
      <c r="W57" s="437"/>
      <c r="X57" s="437"/>
      <c r="Y57" s="437"/>
      <c r="Z57" s="437"/>
      <c r="AA57" s="440"/>
      <c r="AB57" s="440"/>
      <c r="AC57" s="440"/>
      <c r="AD57" s="441"/>
      <c r="AE57" s="429"/>
    </row>
    <row r="58" spans="2:31">
      <c r="B58" s="430"/>
      <c r="U58" s="437"/>
      <c r="V58" s="440"/>
      <c r="W58" s="437"/>
      <c r="X58" s="437"/>
      <c r="Y58" s="437"/>
      <c r="Z58" s="437"/>
      <c r="AA58" s="440"/>
      <c r="AB58" s="437"/>
      <c r="AC58" s="437"/>
      <c r="AD58" s="438"/>
      <c r="AE58" s="429"/>
    </row>
    <row r="59" spans="2:31">
      <c r="B59" s="430"/>
      <c r="U59" s="437"/>
      <c r="V59" s="440"/>
      <c r="W59" s="437"/>
      <c r="X59" s="437"/>
      <c r="Y59" s="437"/>
      <c r="Z59" s="437"/>
      <c r="AA59" s="437"/>
      <c r="AB59" s="437"/>
      <c r="AC59" s="437"/>
      <c r="AD59" s="438"/>
      <c r="AE59" s="429"/>
    </row>
    <row r="60" spans="2:31">
      <c r="B60" s="430"/>
      <c r="U60" s="437"/>
      <c r="V60" s="440"/>
      <c r="W60" s="437"/>
      <c r="X60" s="437"/>
      <c r="Y60" s="437"/>
      <c r="Z60" s="437"/>
      <c r="AA60" s="437"/>
      <c r="AB60" s="437"/>
      <c r="AC60" s="437"/>
      <c r="AD60" s="438"/>
      <c r="AE60" s="429"/>
    </row>
    <row r="61" spans="2:31">
      <c r="B61" s="430"/>
      <c r="U61" s="437"/>
      <c r="V61" s="440"/>
      <c r="W61" s="437"/>
      <c r="X61" s="437"/>
      <c r="Y61" s="437"/>
      <c r="Z61" s="437"/>
      <c r="AA61" s="437"/>
      <c r="AB61" s="437"/>
      <c r="AC61" s="437"/>
      <c r="AD61" s="438"/>
      <c r="AE61" s="429"/>
    </row>
    <row r="62" spans="2:31">
      <c r="B62" s="430"/>
      <c r="U62" s="437"/>
      <c r="V62" s="440"/>
      <c r="W62" s="437"/>
      <c r="X62" s="437"/>
      <c r="Y62" s="437"/>
      <c r="Z62" s="437"/>
      <c r="AA62" s="440"/>
      <c r="AB62" s="437"/>
      <c r="AC62" s="437"/>
      <c r="AD62" s="438"/>
      <c r="AE62" s="429"/>
    </row>
    <row r="63" spans="2:31">
      <c r="B63" s="430"/>
      <c r="U63" s="437"/>
      <c r="V63" s="440"/>
      <c r="W63" s="437"/>
      <c r="X63" s="437"/>
      <c r="Y63" s="437"/>
      <c r="Z63" s="437"/>
      <c r="AA63" s="437"/>
      <c r="AB63" s="437"/>
      <c r="AC63" s="437"/>
      <c r="AD63" s="438"/>
      <c r="AE63" s="429"/>
    </row>
    <row r="64" spans="2:31">
      <c r="B64" s="430"/>
      <c r="U64" s="437"/>
      <c r="V64" s="440"/>
      <c r="W64" s="437"/>
      <c r="X64" s="437"/>
      <c r="Y64" s="437"/>
      <c r="Z64" s="437"/>
      <c r="AA64" s="437"/>
      <c r="AB64" s="437"/>
      <c r="AC64" s="437"/>
      <c r="AD64" s="438"/>
      <c r="AE64" s="429"/>
    </row>
    <row r="65" spans="2:31">
      <c r="B65" s="430"/>
      <c r="U65" s="437"/>
      <c r="V65" s="440"/>
      <c r="W65" s="437"/>
      <c r="X65" s="437"/>
      <c r="Y65" s="437"/>
      <c r="Z65" s="437"/>
      <c r="AA65" s="437"/>
      <c r="AB65" s="437"/>
      <c r="AC65" s="437"/>
      <c r="AD65" s="438"/>
      <c r="AE65" s="429"/>
    </row>
    <row r="66" spans="2:31">
      <c r="B66" s="430"/>
      <c r="U66" s="437"/>
      <c r="V66" s="440"/>
      <c r="W66" s="437"/>
      <c r="X66" s="437"/>
      <c r="Y66" s="437"/>
      <c r="Z66" s="437"/>
      <c r="AA66" s="437"/>
      <c r="AB66" s="437"/>
      <c r="AC66" s="437"/>
      <c r="AD66" s="438"/>
      <c r="AE66" s="429"/>
    </row>
    <row r="67" spans="2:31" ht="13.5" thickBot="1">
      <c r="B67" s="442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4"/>
      <c r="V67" s="445"/>
      <c r="W67" s="444"/>
      <c r="X67" s="444"/>
      <c r="Y67" s="444"/>
      <c r="Z67" s="444"/>
      <c r="AA67" s="444"/>
      <c r="AB67" s="444"/>
      <c r="AC67" s="444"/>
      <c r="AD67" s="446"/>
      <c r="AE67" s="429"/>
    </row>
    <row r="68" spans="2:31" ht="6" customHeight="1" thickBot="1"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7"/>
    </row>
    <row r="75" spans="2:31">
      <c r="M75" s="448"/>
    </row>
    <row r="76" spans="2:31" ht="15" customHeight="1">
      <c r="E76" s="449"/>
      <c r="M76" s="448"/>
    </row>
    <row r="77" spans="2:31" ht="15" customHeight="1">
      <c r="E77" s="449"/>
      <c r="M77" s="448"/>
    </row>
    <row r="78" spans="2:31" ht="15" customHeight="1">
      <c r="E78" s="449"/>
      <c r="M78" s="448"/>
    </row>
    <row r="79" spans="2:31" ht="15" customHeight="1">
      <c r="E79" s="449"/>
      <c r="M79" s="448"/>
    </row>
    <row r="80" spans="2:31" ht="15" customHeight="1">
      <c r="E80" s="449"/>
      <c r="M80" s="448"/>
    </row>
    <row r="81" spans="5:13" ht="15" customHeight="1">
      <c r="E81" s="449"/>
      <c r="M81" s="448"/>
    </row>
    <row r="82" spans="5:13" ht="15" customHeight="1">
      <c r="E82" s="449"/>
      <c r="M82" s="448"/>
    </row>
    <row r="83" spans="5:13" ht="15" customHeight="1">
      <c r="E83" s="449"/>
      <c r="M83" s="448"/>
    </row>
    <row r="84" spans="5:13" ht="15" customHeight="1">
      <c r="E84" s="449"/>
      <c r="M84" s="448"/>
    </row>
    <row r="85" spans="5:13" ht="15" customHeight="1">
      <c r="E85" s="449"/>
      <c r="M85" s="448"/>
    </row>
    <row r="86" spans="5:13" ht="15" customHeight="1">
      <c r="E86" s="449"/>
      <c r="M86" s="448"/>
    </row>
    <row r="87" spans="5:13" ht="15" customHeight="1">
      <c r="E87" s="449"/>
      <c r="M87" s="448"/>
    </row>
    <row r="88" spans="5:13" ht="15" customHeight="1">
      <c r="E88" s="449"/>
      <c r="M88" s="448"/>
    </row>
    <row r="89" spans="5:13" ht="15" customHeight="1">
      <c r="E89" s="449"/>
      <c r="M89" s="448"/>
    </row>
    <row r="90" spans="5:13" ht="15" customHeight="1">
      <c r="E90" s="449"/>
      <c r="M90" s="448"/>
    </row>
    <row r="91" spans="5:13" ht="15" customHeight="1">
      <c r="E91" s="449"/>
      <c r="M91" s="448"/>
    </row>
    <row r="92" spans="5:13" ht="15" customHeight="1">
      <c r="E92" s="449"/>
      <c r="M92" s="448"/>
    </row>
    <row r="93" spans="5:13" ht="15" customHeight="1">
      <c r="E93" s="449"/>
      <c r="M93" s="448"/>
    </row>
    <row r="94" spans="5:13" ht="15" customHeight="1">
      <c r="E94" s="449"/>
      <c r="M94" s="448"/>
    </row>
    <row r="95" spans="5:13" ht="15" customHeight="1">
      <c r="E95" s="449"/>
      <c r="M95" s="448"/>
    </row>
    <row r="96" spans="5:13" ht="15" customHeight="1">
      <c r="E96" s="449"/>
      <c r="M96" s="448"/>
    </row>
    <row r="97" spans="5:13" ht="15" customHeight="1">
      <c r="E97" s="449"/>
      <c r="M97" s="448"/>
    </row>
    <row r="98" spans="5:13" ht="15" customHeight="1">
      <c r="E98" s="449"/>
    </row>
    <row r="99" spans="5:13" ht="15" customHeight="1">
      <c r="E99" s="449"/>
    </row>
    <row r="100" spans="5:13" ht="15" customHeight="1">
      <c r="E100" s="449"/>
    </row>
    <row r="101" spans="5:13" ht="15" customHeight="1">
      <c r="E101" s="449"/>
    </row>
    <row r="102" spans="5:13" ht="15" customHeight="1">
      <c r="E102" s="449"/>
    </row>
    <row r="103" spans="5:13" ht="15" customHeight="1">
      <c r="E103" s="449"/>
    </row>
    <row r="104" spans="5:13" ht="15" customHeight="1">
      <c r="E104" s="449"/>
    </row>
    <row r="105" spans="5:13" ht="15" customHeight="1">
      <c r="E105" s="449"/>
    </row>
    <row r="106" spans="5:13" ht="15" customHeight="1">
      <c r="E106" s="449"/>
    </row>
    <row r="107" spans="5:13" ht="15" customHeight="1">
      <c r="E107" s="449"/>
    </row>
    <row r="108" spans="5:13" ht="15" customHeight="1">
      <c r="E108" s="449"/>
    </row>
    <row r="109" spans="5:13" ht="15" customHeight="1">
      <c r="E109" s="449"/>
    </row>
    <row r="110" spans="5:13" ht="15" customHeight="1">
      <c r="E110" s="449"/>
    </row>
    <row r="111" spans="5:13" ht="15" customHeight="1">
      <c r="E111" s="449"/>
    </row>
    <row r="112" spans="5:13" ht="15" customHeight="1">
      <c r="E112" s="449"/>
    </row>
    <row r="113" spans="5:5" ht="15" customHeight="1">
      <c r="E113" s="449"/>
    </row>
    <row r="114" spans="5:5" ht="15" customHeight="1">
      <c r="E114" s="449"/>
    </row>
    <row r="115" spans="5:5" ht="15" customHeight="1">
      <c r="E115" s="449"/>
    </row>
    <row r="116" spans="5:5" ht="15" customHeight="1">
      <c r="E116" s="449"/>
    </row>
    <row r="117" spans="5:5" ht="15" customHeight="1">
      <c r="E117" s="449"/>
    </row>
    <row r="118" spans="5:5" ht="15" customHeight="1">
      <c r="E118" s="449"/>
    </row>
    <row r="119" spans="5:5" ht="15" customHeight="1">
      <c r="E119" s="449"/>
    </row>
    <row r="120" spans="5:5" ht="15" customHeight="1">
      <c r="E120" s="449"/>
    </row>
    <row r="121" spans="5:5" ht="15" customHeight="1">
      <c r="E121" s="449"/>
    </row>
    <row r="122" spans="5:5">
      <c r="E122" s="449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53F4-1B85-43C4-9EFE-A454A10C8DBF}">
  <sheetPr>
    <tabColor rgb="FF92D050"/>
  </sheetPr>
  <dimension ref="B1:AF122"/>
  <sheetViews>
    <sheetView zoomScale="43" zoomScaleNormal="130" zoomScaleSheetLayoutView="40" workbookViewId="0">
      <selection activeCell="AC27" sqref="AC27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4" t="s">
        <v>1623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5"/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5"/>
      <c r="AC4" s="716"/>
      <c r="AD4" s="206"/>
      <c r="AE4" s="205"/>
      <c r="AF4" s="205"/>
    </row>
    <row r="5" spans="2:32" ht="13.5" customHeight="1" thickBot="1">
      <c r="B5" s="204"/>
      <c r="C5" s="204"/>
      <c r="D5" s="717"/>
      <c r="E5" s="718"/>
      <c r="F5" s="718"/>
      <c r="G5" s="718"/>
      <c r="H5" s="718"/>
      <c r="I5" s="718"/>
      <c r="J5" s="718"/>
      <c r="K5" s="718"/>
      <c r="L5" s="718"/>
      <c r="M5" s="718"/>
      <c r="N5" s="718"/>
      <c r="O5" s="718"/>
      <c r="P5" s="718"/>
      <c r="Q5" s="718"/>
      <c r="R5" s="718"/>
      <c r="S5" s="718"/>
      <c r="T5" s="718"/>
      <c r="U5" s="718"/>
      <c r="V5" s="718"/>
      <c r="W5" s="718"/>
      <c r="X5" s="718"/>
      <c r="Y5" s="718"/>
      <c r="Z5" s="718"/>
      <c r="AA5" s="718"/>
      <c r="AB5" s="718"/>
      <c r="AC5" s="719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60"/>
    </row>
    <row r="76" spans="2:32" ht="15" customHeight="1">
      <c r="F76" s="461"/>
      <c r="N76" s="460"/>
    </row>
    <row r="77" spans="2:32" ht="15" customHeight="1">
      <c r="F77" s="461"/>
      <c r="N77" s="460"/>
    </row>
    <row r="78" spans="2:32" ht="15" customHeight="1">
      <c r="F78" s="461"/>
      <c r="N78" s="460"/>
    </row>
    <row r="79" spans="2:32" ht="15" customHeight="1">
      <c r="F79" s="461"/>
      <c r="N79" s="460"/>
    </row>
    <row r="80" spans="2:32" ht="15" customHeight="1">
      <c r="F80" s="461"/>
      <c r="N80" s="460"/>
    </row>
    <row r="81" spans="6:14" ht="15" customHeight="1">
      <c r="F81" s="461"/>
      <c r="N81" s="460"/>
    </row>
    <row r="82" spans="6:14" ht="15" customHeight="1">
      <c r="F82" s="461"/>
      <c r="N82" s="460"/>
    </row>
    <row r="83" spans="6:14" ht="15" customHeight="1">
      <c r="F83" s="461"/>
      <c r="N83" s="460"/>
    </row>
    <row r="84" spans="6:14" ht="15" customHeight="1">
      <c r="F84" s="461"/>
      <c r="N84" s="460"/>
    </row>
    <row r="85" spans="6:14" ht="15" customHeight="1">
      <c r="F85" s="461"/>
      <c r="N85" s="460"/>
    </row>
    <row r="86" spans="6:14" ht="15" customHeight="1">
      <c r="F86" s="461"/>
      <c r="N86" s="460"/>
    </row>
    <row r="87" spans="6:14" ht="15" customHeight="1">
      <c r="F87" s="461"/>
      <c r="N87" s="460"/>
    </row>
    <row r="88" spans="6:14" ht="15" customHeight="1">
      <c r="F88" s="461"/>
      <c r="N88" s="460"/>
    </row>
    <row r="89" spans="6:14" ht="15" customHeight="1">
      <c r="F89" s="461"/>
      <c r="N89" s="460"/>
    </row>
    <row r="90" spans="6:14" ht="15" customHeight="1">
      <c r="F90" s="461"/>
      <c r="N90" s="460"/>
    </row>
    <row r="91" spans="6:14" ht="15" customHeight="1">
      <c r="F91" s="461"/>
      <c r="N91" s="460"/>
    </row>
    <row r="92" spans="6:14" ht="15" customHeight="1">
      <c r="F92" s="461"/>
      <c r="N92" s="460"/>
    </row>
    <row r="93" spans="6:14" ht="15" customHeight="1">
      <c r="F93" s="461"/>
      <c r="N93" s="460"/>
    </row>
    <row r="94" spans="6:14" ht="15" customHeight="1">
      <c r="F94" s="461"/>
      <c r="N94" s="460"/>
    </row>
    <row r="95" spans="6:14" ht="15" customHeight="1">
      <c r="F95" s="461"/>
      <c r="N95" s="460"/>
    </row>
    <row r="96" spans="6:14" ht="15" customHeight="1">
      <c r="F96" s="461"/>
      <c r="N96" s="460"/>
    </row>
    <row r="97" spans="6:14" ht="15" customHeight="1">
      <c r="F97" s="461"/>
      <c r="N97" s="460"/>
    </row>
    <row r="98" spans="6:14" ht="15" customHeight="1">
      <c r="F98" s="461"/>
    </row>
    <row r="99" spans="6:14" ht="15" customHeight="1">
      <c r="F99" s="461"/>
    </row>
    <row r="100" spans="6:14" ht="15" customHeight="1">
      <c r="F100" s="461"/>
    </row>
    <row r="101" spans="6:14" ht="15" customHeight="1">
      <c r="F101" s="461"/>
    </row>
    <row r="102" spans="6:14" ht="15" customHeight="1">
      <c r="F102" s="461"/>
    </row>
    <row r="103" spans="6:14" ht="15" customHeight="1">
      <c r="F103" s="461"/>
    </row>
    <row r="104" spans="6:14" ht="15" customHeight="1">
      <c r="F104" s="461"/>
    </row>
    <row r="105" spans="6:14" ht="15" customHeight="1">
      <c r="F105" s="461"/>
    </row>
    <row r="106" spans="6:14" ht="15" customHeight="1">
      <c r="F106" s="461"/>
    </row>
    <row r="107" spans="6:14" ht="15" customHeight="1">
      <c r="F107" s="461"/>
    </row>
    <row r="108" spans="6:14" ht="15" customHeight="1">
      <c r="F108" s="461"/>
    </row>
    <row r="109" spans="6:14" ht="15" customHeight="1">
      <c r="F109" s="461"/>
    </row>
    <row r="110" spans="6:14" ht="15" customHeight="1">
      <c r="F110" s="461"/>
    </row>
    <row r="111" spans="6:14" ht="15" customHeight="1">
      <c r="F111" s="461"/>
    </row>
    <row r="112" spans="6:14" ht="15" customHeight="1">
      <c r="F112" s="461"/>
    </row>
    <row r="113" spans="6:6" ht="15" customHeight="1">
      <c r="F113" s="461"/>
    </row>
    <row r="114" spans="6:6" ht="15" customHeight="1">
      <c r="F114" s="461"/>
    </row>
    <row r="115" spans="6:6" ht="15" customHeight="1">
      <c r="F115" s="461"/>
    </row>
    <row r="116" spans="6:6" ht="15" customHeight="1">
      <c r="F116" s="461"/>
    </row>
    <row r="117" spans="6:6" ht="15" customHeight="1">
      <c r="F117" s="461"/>
    </row>
    <row r="118" spans="6:6" ht="15" customHeight="1">
      <c r="F118" s="461"/>
    </row>
    <row r="119" spans="6:6" ht="15" customHeight="1">
      <c r="F119" s="461"/>
    </row>
    <row r="120" spans="6:6" ht="15" customHeight="1">
      <c r="F120" s="461"/>
    </row>
    <row r="121" spans="6:6" ht="15" customHeight="1">
      <c r="F121" s="461"/>
    </row>
    <row r="122" spans="6:6">
      <c r="F122" s="461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8">
        <v>1</v>
      </c>
    </row>
    <row r="2" spans="1:11" ht="48" customHeight="1">
      <c r="A2" s="388">
        <v>3</v>
      </c>
    </row>
    <row r="4" spans="1:11" ht="48" customHeight="1">
      <c r="C4" s="388">
        <v>1</v>
      </c>
    </row>
    <row r="5" spans="1:11" ht="48" customHeight="1">
      <c r="C5" s="388">
        <v>3</v>
      </c>
    </row>
    <row r="7" spans="1:11" ht="48" customHeight="1">
      <c r="E7" s="388">
        <v>1</v>
      </c>
    </row>
    <row r="8" spans="1:11" ht="48" customHeight="1">
      <c r="E8" s="388">
        <v>3</v>
      </c>
    </row>
    <row r="10" spans="1:11" ht="48" customHeight="1">
      <c r="G10" s="388">
        <v>3</v>
      </c>
    </row>
    <row r="11" spans="1:11" ht="48" customHeight="1">
      <c r="G11" s="388">
        <v>1</v>
      </c>
    </row>
    <row r="13" spans="1:11" ht="48" customHeight="1">
      <c r="I13" s="388">
        <v>3</v>
      </c>
    </row>
    <row r="14" spans="1:11" ht="48" customHeight="1">
      <c r="I14" s="388">
        <v>1</v>
      </c>
    </row>
    <row r="16" spans="1:11" ht="48" customHeight="1">
      <c r="K16" s="388">
        <v>3</v>
      </c>
    </row>
    <row r="17" spans="11:21" ht="48" customHeight="1">
      <c r="K17" s="388">
        <v>1</v>
      </c>
    </row>
    <row r="19" spans="11:21" ht="48" customHeight="1">
      <c r="M19" s="388">
        <v>3</v>
      </c>
    </row>
    <row r="20" spans="11:21" ht="48" customHeight="1">
      <c r="M20" s="388">
        <v>1</v>
      </c>
    </row>
    <row r="22" spans="11:21" ht="48" customHeight="1">
      <c r="O22" s="388">
        <v>3</v>
      </c>
    </row>
    <row r="23" spans="11:21" ht="48" customHeight="1">
      <c r="O23" s="388">
        <v>1</v>
      </c>
    </row>
    <row r="25" spans="11:21" ht="57" customHeight="1">
      <c r="Q25" s="388">
        <v>3</v>
      </c>
    </row>
    <row r="26" spans="11:21" ht="57" customHeight="1">
      <c r="Q26" s="388">
        <v>1</v>
      </c>
    </row>
    <row r="28" spans="11:21" ht="57" customHeight="1">
      <c r="S28" s="388">
        <v>3</v>
      </c>
    </row>
    <row r="29" spans="11:21" ht="57" customHeight="1">
      <c r="S29" s="388">
        <v>1</v>
      </c>
    </row>
    <row r="31" spans="11:21" ht="57" customHeight="1">
      <c r="U31" s="388">
        <v>3</v>
      </c>
    </row>
    <row r="32" spans="11:21" ht="57" customHeight="1">
      <c r="U32" s="38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6" t="s">
        <v>1127</v>
      </c>
      <c r="C4" s="546"/>
      <c r="D4" s="546"/>
      <c r="E4" s="546"/>
      <c r="F4" s="546"/>
      <c r="G4" s="546"/>
      <c r="H4" s="546"/>
      <c r="I4" s="546"/>
      <c r="J4" s="546"/>
      <c r="K4" s="54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9" t="str">
        <f>RAB!G6</f>
        <v>ADY SETIAWAN</v>
      </c>
      <c r="H6" s="539"/>
      <c r="I6" s="539"/>
      <c r="J6" s="539"/>
      <c r="K6" s="539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PUTAT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7" t="s">
        <v>0</v>
      </c>
      <c r="C11" s="549" t="s">
        <v>1</v>
      </c>
      <c r="D11" s="552" t="s">
        <v>42</v>
      </c>
      <c r="E11" s="552" t="s">
        <v>43</v>
      </c>
      <c r="F11" s="552" t="s">
        <v>2</v>
      </c>
      <c r="G11" s="553" t="s">
        <v>41</v>
      </c>
      <c r="H11" s="552" t="s">
        <v>3</v>
      </c>
      <c r="I11" s="552"/>
      <c r="J11" s="552"/>
      <c r="K11" s="556"/>
      <c r="M11" s="33"/>
      <c r="N11" s="33"/>
      <c r="O11" s="33"/>
      <c r="P11" s="33"/>
      <c r="R11" s="34"/>
      <c r="S11" s="74"/>
      <c r="T11" s="74"/>
    </row>
    <row r="12" spans="1:21" ht="15" customHeight="1">
      <c r="B12" s="548"/>
      <c r="C12" s="550"/>
      <c r="D12" s="542"/>
      <c r="E12" s="542"/>
      <c r="F12" s="542"/>
      <c r="G12" s="554"/>
      <c r="H12" s="544" t="s">
        <v>46</v>
      </c>
      <c r="I12" s="544" t="s">
        <v>5</v>
      </c>
      <c r="J12" s="542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8"/>
      <c r="C13" s="551"/>
      <c r="D13" s="542"/>
      <c r="E13" s="542"/>
      <c r="F13" s="542"/>
      <c r="G13" s="555"/>
      <c r="H13" s="545"/>
      <c r="I13" s="545"/>
      <c r="J13" s="542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SATUAN'!$C$7:$C$1495,0),0)),"",OFFSET('HARGA SATUAN'!$D$6,MATCH(C16,'HARGA SATUAN'!$C$7:$C$1495,0),0))</f>
        <v>HDW</v>
      </c>
      <c r="E16" s="101" t="str">
        <f ca="1">IF(B16="+","Unit",IF(ISERROR(OFFSET('HARGA SATUAN'!$E$6,MATCH(C16,'HARGA SATUAN'!$C$7:$C$1495,0),0)),"",OFFSET('HARGA SATUAN'!$E$6,MATCH(C16,'HARGA SATUAN'!$C$7:$C$1495,0),0)))</f>
        <v>Btg</v>
      </c>
      <c r="F16" s="101">
        <f t="shared" ref="F16:F36" ca="1" si="5">IF(ISERROR(OFFSET($D$56,MATCH(A16,$F$57:$F$76,0),0)),"",OFFSET($D$56,MATCH(A16,$F$57:$F$76,0),0))</f>
        <v>4</v>
      </c>
      <c r="G16" s="41">
        <f ca="1">IF(ISERROR(OFFSET('HARGA SATUAN'!$I$6,MATCH(C16,'HARGA SATUAN'!$C$7:$C$1495,0),0)),"",OFFSET('HARGA SATUAN'!$I$6,MATCH(C16,'HARGA SATUAN'!$C$7:$C$1495,0),0))</f>
        <v>3382600</v>
      </c>
      <c r="H16" s="42">
        <f t="shared" ca="1" si="1"/>
        <v>0</v>
      </c>
      <c r="I16" s="42">
        <f t="shared" ca="1" si="2"/>
        <v>13530400</v>
      </c>
      <c r="J16" s="42">
        <f t="shared" ca="1" si="3"/>
        <v>0</v>
      </c>
      <c r="K16" s="43">
        <f t="shared" ca="1" si="0"/>
        <v>13530400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0" t="s">
        <v>1008</v>
      </c>
      <c r="D38" s="540"/>
      <c r="E38" s="540"/>
      <c r="F38" s="540"/>
      <c r="G38" s="77" t="s">
        <v>9</v>
      </c>
      <c r="H38" s="55">
        <f ca="1">SUM(H14:H37)</f>
        <v>0</v>
      </c>
      <c r="I38" s="55">
        <f ca="1">SUM(I14:I37)</f>
        <v>13530400</v>
      </c>
      <c r="J38" s="55">
        <f ca="1">SUM(J14:J37)</f>
        <v>0</v>
      </c>
      <c r="K38" s="55">
        <f ca="1">SUM(K14:K37)</f>
        <v>13530400</v>
      </c>
      <c r="L38" s="44"/>
      <c r="R38" s="99"/>
      <c r="S38" s="99"/>
      <c r="T38" s="99"/>
    </row>
    <row r="39" spans="1:20" s="36" customFormat="1">
      <c r="A39" s="30"/>
      <c r="B39" s="56"/>
      <c r="C39" s="541" t="s">
        <v>462</v>
      </c>
      <c r="D39" s="541"/>
      <c r="E39" s="541"/>
      <c r="F39" s="541"/>
      <c r="G39" s="59" t="s">
        <v>9</v>
      </c>
      <c r="H39" s="60">
        <f ca="1">H38*0.1</f>
        <v>0</v>
      </c>
      <c r="I39" s="60">
        <f ca="1">I38*0.1</f>
        <v>1353040</v>
      </c>
      <c r="J39" s="60">
        <f ca="1">J38*0.1</f>
        <v>0</v>
      </c>
      <c r="K39" s="60">
        <f ca="1">K38*0.1</f>
        <v>1353040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30" t="s">
        <v>463</v>
      </c>
      <c r="D40" s="530"/>
      <c r="E40" s="530"/>
      <c r="F40" s="530"/>
      <c r="G40" s="61" t="s">
        <v>9</v>
      </c>
      <c r="H40" s="78">
        <f ca="1">SUM(H38:H39)</f>
        <v>0</v>
      </c>
      <c r="I40" s="78">
        <f ca="1">SUM(I38:I39)</f>
        <v>14883440</v>
      </c>
      <c r="J40" s="61">
        <f ca="1">SUM(J38:J39)</f>
        <v>0</v>
      </c>
      <c r="K40" s="61">
        <f ca="1">SUM(K38:K39)</f>
        <v>14883440</v>
      </c>
      <c r="L40" s="44"/>
      <c r="R40" s="99"/>
      <c r="S40" s="99"/>
      <c r="T40" s="99"/>
    </row>
    <row r="41" spans="1:20" s="36" customFormat="1">
      <c r="A41" s="30"/>
      <c r="B41" s="533" t="e">
        <f ca="1">"Terbilang : ( "&amp;L42&amp;" Rupiah )"</f>
        <v>#NAME?</v>
      </c>
      <c r="C41" s="534"/>
      <c r="D41" s="534"/>
      <c r="E41" s="534"/>
      <c r="F41" s="534"/>
      <c r="G41" s="534"/>
      <c r="H41" s="534"/>
      <c r="I41" s="534"/>
      <c r="J41" s="534"/>
      <c r="K41" s="535"/>
      <c r="L41" s="44"/>
      <c r="R41" s="58"/>
      <c r="S41" s="58"/>
      <c r="T41" s="58"/>
    </row>
    <row r="42" spans="1:20" s="36" customFormat="1">
      <c r="A42" s="30"/>
      <c r="B42" s="536"/>
      <c r="C42" s="537"/>
      <c r="D42" s="537"/>
      <c r="E42" s="537"/>
      <c r="F42" s="537"/>
      <c r="G42" s="537"/>
      <c r="H42" s="537"/>
      <c r="I42" s="537"/>
      <c r="J42" s="537"/>
      <c r="K42" s="538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1"/>
      <c r="I45" s="531"/>
      <c r="J45" s="532"/>
      <c r="K45" s="532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1"/>
      <c r="I46" s="531"/>
      <c r="J46" s="532"/>
      <c r="K46" s="532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1"/>
      <c r="I47" s="531"/>
      <c r="J47" s="532"/>
      <c r="K47" s="532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1"/>
      <c r="I52" s="531"/>
      <c r="J52" s="532"/>
      <c r="K52" s="532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SUMIFS(RAB!$F$14:$F$127,RAB!$C$14:$C$127,'REKAP TIANG'!C57)</f>
        <v>4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SUMIFS(RAB!$F$14:$F$127,RAB!$C$14:$C$127,'REKAP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SUMIFS(RAB!$F$14:$F$127,RAB!$C$14:$C$127,'REKAP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SUMIFS(RAB!$F$14:$F$127,RAB!$C$14:$C$127,'REKAP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SUMIFS(RAB!$F$14:$F$127,RAB!$C$14:$C$127,'REKAP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SUMIFS(RAB!$F$14:$F$127,RAB!$C$14:$C$127,'REKAP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SUMIFS(RAB!$F$14:$F$127,RAB!$C$14:$C$127,'REKAP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SUMIFS(RAB!$F$14:$F$127,RAB!$C$14:$C$127,'REKAP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SUMIFS(RAB!$F$14:$F$127,RAB!$C$14:$C$127,'REKAP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SUMIFS(RAB!$F$14:$F$127,RAB!$C$14:$C$127,'REKAP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SUMIFS(RAB!$F$14:$F$127,RAB!$C$14:$C$127,'REKAP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SUMIFS(RAB!$F$14:$F$127,RAB!$C$14:$C$127,'REKAP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SUMIFS(RAB!$F$14:$F$127,RAB!$C$14:$C$127,'REKAP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SUMIFS(RAB!$F$14:$F$127,RAB!$C$14:$C$127,'REKAP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SUMIFS(RAB!$F$14:$F$127,RAB!$C$14:$C$127,'REKAP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SUMIFS(RAB!$F$14:$F$127,RAB!$C$14:$C$127,'REKAP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SUMIFS(RAB!$F$14:$F$127,RAB!$C$14:$C$127,'REKAP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SUMIFS(RAB!$F$14:$F$127,RAB!$C$14:$C$127,'REKAP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SUMIFS(RAB!$F$14:$F$127,RAB!$C$14:$C$127,'REKAP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SUMIFS(RAB!$F$14:$F$127,RAB!$C$14:$C$127,'REKAP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5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5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6" t="s">
        <v>1034</v>
      </c>
      <c r="C4" s="546"/>
      <c r="D4" s="546"/>
      <c r="E4" s="546"/>
      <c r="F4" s="546"/>
      <c r="G4" s="546"/>
      <c r="H4" s="546"/>
      <c r="I4" s="546"/>
      <c r="J4" s="546"/>
      <c r="K4" s="54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9" t="str">
        <f>RAB!G6</f>
        <v>ADY SETIAWAN</v>
      </c>
      <c r="H6" s="539"/>
      <c r="I6" s="539"/>
      <c r="J6" s="539"/>
      <c r="K6" s="539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PUTAT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7" t="s">
        <v>0</v>
      </c>
      <c r="C11" s="549" t="s">
        <v>1</v>
      </c>
      <c r="D11" s="552" t="s">
        <v>42</v>
      </c>
      <c r="E11" s="552" t="s">
        <v>43</v>
      </c>
      <c r="F11" s="552" t="s">
        <v>2</v>
      </c>
      <c r="G11" s="553" t="s">
        <v>41</v>
      </c>
      <c r="H11" s="552" t="s">
        <v>3</v>
      </c>
      <c r="I11" s="552"/>
      <c r="J11" s="552"/>
      <c r="K11" s="556"/>
      <c r="M11" s="33"/>
      <c r="N11" s="33"/>
      <c r="O11" s="33"/>
      <c r="P11" s="33"/>
      <c r="R11" s="34"/>
      <c r="S11" s="74"/>
      <c r="T11" s="74"/>
    </row>
    <row r="12" spans="1:21" ht="15" customHeight="1">
      <c r="B12" s="548"/>
      <c r="C12" s="550"/>
      <c r="D12" s="542"/>
      <c r="E12" s="542"/>
      <c r="F12" s="542"/>
      <c r="G12" s="554"/>
      <c r="H12" s="544" t="s">
        <v>46</v>
      </c>
      <c r="I12" s="544" t="s">
        <v>5</v>
      </c>
      <c r="J12" s="542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8"/>
      <c r="C13" s="551"/>
      <c r="D13" s="542"/>
      <c r="E13" s="542"/>
      <c r="F13" s="542"/>
      <c r="G13" s="555"/>
      <c r="H13" s="545"/>
      <c r="I13" s="545"/>
      <c r="J13" s="542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1P;230V;5(60)A;1;2W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327600</v>
      </c>
      <c r="H16" s="42">
        <f t="shared" ca="1" si="1"/>
        <v>327600</v>
      </c>
      <c r="I16" s="42">
        <f t="shared" ca="1" si="2"/>
        <v>0</v>
      </c>
      <c r="J16" s="42">
        <f t="shared" ca="1" si="3"/>
        <v>0</v>
      </c>
      <c r="K16" s="43">
        <f t="shared" ca="1" si="0"/>
        <v>327600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1 Fasa CSP 50 kVA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27845400</v>
      </c>
      <c r="H18" s="42">
        <f t="shared" ca="1" si="1"/>
        <v>27845400</v>
      </c>
      <c r="I18" s="42">
        <f t="shared" ca="1" si="2"/>
        <v>0</v>
      </c>
      <c r="J18" s="42">
        <f t="shared" ca="1" si="3"/>
        <v>0</v>
      </c>
      <c r="K18" s="43">
        <f t="shared" ca="1" si="0"/>
        <v>27845400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AAAC 70 mm²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01">
        <f t="shared" ca="1" si="6"/>
        <v>9</v>
      </c>
      <c r="G19" s="41">
        <f ca="1">IF(ISERROR(OFFSET('HARGA SATUAN'!$I$6,MATCH(C19,'HARGA SATUAN'!$C$7:$C$1495,0),0)),"",OFFSET('HARGA SATUAN'!$I$6,MATCH(C19,'HARGA SATUAN'!$C$7:$C$1495,0),0))</f>
        <v>14200</v>
      </c>
      <c r="H19" s="42">
        <f t="shared" ca="1" si="1"/>
        <v>127800</v>
      </c>
      <c r="I19" s="42">
        <f t="shared" ca="1" si="2"/>
        <v>0</v>
      </c>
      <c r="J19" s="42">
        <f t="shared" ca="1" si="3"/>
        <v>0</v>
      </c>
      <c r="K19" s="43">
        <f t="shared" ca="1" si="0"/>
        <v>127800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NFA2X-T 2 x 70 + N 50 mm²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Mtr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53300</v>
      </c>
      <c r="H20" s="42">
        <f t="shared" ca="1" si="1"/>
        <v>159900</v>
      </c>
      <c r="I20" s="42">
        <f t="shared" ca="1" si="2"/>
        <v>0</v>
      </c>
      <c r="J20" s="42">
        <f t="shared" ca="1" si="3"/>
        <v>0</v>
      </c>
      <c r="K20" s="43">
        <f t="shared" ca="1" si="0"/>
        <v>159900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NFA2X-T 2 x 70 + N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350</v>
      </c>
      <c r="G21" s="41">
        <f ca="1">IF(ISERROR(OFFSET('HARGA SATUAN'!$I$6,MATCH(C21,'HARGA SATUAN'!$C$7:$C$1495,0),0)),"",OFFSET('HARGA SATUAN'!$I$6,MATCH(C21,'HARGA SATUAN'!$C$7:$C$1495,0),0))</f>
        <v>53300</v>
      </c>
      <c r="H21" s="42">
        <f t="shared" ca="1" si="1"/>
        <v>18655000</v>
      </c>
      <c r="I21" s="42">
        <f t="shared" ca="1" si="2"/>
        <v>0</v>
      </c>
      <c r="J21" s="42">
        <f t="shared" ca="1" si="3"/>
        <v>0</v>
      </c>
      <c r="K21" s="43">
        <f t="shared" ca="1" si="0"/>
        <v>18655000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 2 x 16 mm²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35</v>
      </c>
      <c r="G22" s="41">
        <f ca="1">IF(ISERROR(OFFSET('HARGA SATUAN'!$I$6,MATCH(C22,'HARGA SATUAN'!$C$7:$C$1495,0),0)),"",OFFSET('HARGA SATUAN'!$I$6,MATCH(C22,'HARGA SATUAN'!$C$7:$C$1495,0),0))</f>
        <v>6600</v>
      </c>
      <c r="H22" s="42">
        <f t="shared" ca="1" si="1"/>
        <v>231000</v>
      </c>
      <c r="I22" s="42">
        <f t="shared" ca="1" si="2"/>
        <v>0</v>
      </c>
      <c r="J22" s="42">
        <f t="shared" ca="1" si="3"/>
        <v>0</v>
      </c>
      <c r="K22" s="43">
        <f t="shared" ca="1" si="0"/>
        <v>231000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0" t="s">
        <v>1008</v>
      </c>
      <c r="D168" s="540"/>
      <c r="E168" s="540"/>
      <c r="F168" s="540"/>
      <c r="G168" s="77" t="s">
        <v>9</v>
      </c>
      <c r="H168" s="55">
        <f ca="1">SUM(H14:H167)</f>
        <v>47385700</v>
      </c>
      <c r="I168" s="55">
        <f ca="1">SUM(I14:I167)</f>
        <v>0</v>
      </c>
      <c r="J168" s="55">
        <f ca="1">SUM(J14:J167)</f>
        <v>0</v>
      </c>
      <c r="K168" s="55">
        <f ca="1">SUM(K14:K167)</f>
        <v>47385700</v>
      </c>
      <c r="L168" s="44"/>
      <c r="R168" s="99"/>
      <c r="S168" s="99"/>
      <c r="T168" s="99"/>
    </row>
    <row r="169" spans="1:20" s="36" customFormat="1">
      <c r="A169" s="30"/>
      <c r="B169" s="56"/>
      <c r="C169" s="541" t="s">
        <v>462</v>
      </c>
      <c r="D169" s="541"/>
      <c r="E169" s="541"/>
      <c r="F169" s="541"/>
      <c r="G169" s="59" t="s">
        <v>9</v>
      </c>
      <c r="H169" s="60">
        <f ca="1">H168*0.1</f>
        <v>4738570</v>
      </c>
      <c r="I169" s="60">
        <f ca="1">I168*0.1</f>
        <v>0</v>
      </c>
      <c r="J169" s="60">
        <f ca="1">J168*0.1</f>
        <v>0</v>
      </c>
      <c r="K169" s="60">
        <f ca="1">K168*0.1</f>
        <v>4738570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30" t="s">
        <v>463</v>
      </c>
      <c r="D170" s="530"/>
      <c r="E170" s="530"/>
      <c r="F170" s="530"/>
      <c r="G170" s="61" t="s">
        <v>9</v>
      </c>
      <c r="H170" s="78">
        <f ca="1">SUM(H168:H169)</f>
        <v>52124270</v>
      </c>
      <c r="I170" s="78">
        <f ca="1">SUM(I168:I169)</f>
        <v>0</v>
      </c>
      <c r="J170" s="61">
        <f ca="1">SUM(J168:J169)</f>
        <v>0</v>
      </c>
      <c r="K170" s="61">
        <f ca="1">SUM(K168:K169)</f>
        <v>52124270</v>
      </c>
      <c r="L170" s="44"/>
      <c r="R170" s="99"/>
      <c r="S170" s="99"/>
      <c r="T170" s="99"/>
    </row>
    <row r="171" spans="1:20" s="36" customFormat="1">
      <c r="A171" s="30"/>
      <c r="B171" s="533" t="e">
        <f ca="1">"Terbilang : ( "&amp;L172&amp;" Rupiah )"</f>
        <v>#NAME?</v>
      </c>
      <c r="C171" s="534"/>
      <c r="D171" s="534"/>
      <c r="E171" s="534"/>
      <c r="F171" s="534"/>
      <c r="G171" s="534"/>
      <c r="H171" s="534"/>
      <c r="I171" s="534"/>
      <c r="J171" s="534"/>
      <c r="K171" s="535"/>
      <c r="L171" s="44"/>
      <c r="R171" s="58"/>
      <c r="S171" s="58"/>
      <c r="T171" s="58"/>
    </row>
    <row r="172" spans="1:20" s="36" customFormat="1">
      <c r="A172" s="30"/>
      <c r="B172" s="536"/>
      <c r="C172" s="537"/>
      <c r="D172" s="537"/>
      <c r="E172" s="537"/>
      <c r="F172" s="537"/>
      <c r="G172" s="537"/>
      <c r="H172" s="537"/>
      <c r="I172" s="537"/>
      <c r="J172" s="537"/>
      <c r="K172" s="538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1"/>
      <c r="I175" s="531"/>
      <c r="J175" s="532"/>
      <c r="K175" s="532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1"/>
      <c r="I176" s="531"/>
      <c r="J176" s="532"/>
      <c r="K176" s="532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1"/>
      <c r="I177" s="531"/>
      <c r="J177" s="532"/>
      <c r="K177" s="532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1"/>
      <c r="I182" s="531"/>
      <c r="J182" s="532"/>
      <c r="K182" s="532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SUMIFS(RAB!$F$14:$F$127,RAB!$C$14:$C$127,C224)</f>
        <v>1</v>
      </c>
      <c r="E224" s="24">
        <f ca="1">IF(D224=0,0,1)</f>
        <v>1</v>
      </c>
      <c r="F224" s="24">
        <f ca="1">IF(D224=0,0,SUM($E$223:E224))</f>
        <v>1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SUMIFS(RAB!$F$14:$F$127,RAB!$C$14:$C$127,C225)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SUMIFS(RAB!$F$14:$F$127,RAB!$C$14:$C$127,C226)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SUMIFS(RAB!$F$14:$F$127,RAB!$C$14:$C$127,C227)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SUMIFS(RAB!$F$14:$F$127,RAB!$C$14:$C$127,C228)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SUMIFS(RAB!$F$14:$F$127,RAB!$C$14:$C$127,C229)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SUMIFS(RAB!$F$14:$F$127,RAB!$C$14:$C$127,C230)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SUMIFS(RAB!$F$14:$F$127,RAB!$C$14:$C$127,C231)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SUMIFS(RAB!$F$14:$F$127,RAB!$C$14:$C$127,C232)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SUMIFS(RAB!$F$14:$F$127,RAB!$C$14:$C$127,C233)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SUMIFS(RAB!$F$14:$F$127,RAB!$C$14:$C$127,C234)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SUMIFS(RAB!$F$14:$F$127,RAB!$C$14:$C$127,C235)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SUMIFS(RAB!$F$14:$F$127,RAB!$C$14:$C$127,C236)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SUMIFS(RAB!$F$14:$F$127,RAB!$C$14:$C$127,C237)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SUMIFS(RAB!$F$14:$F$127,RAB!$C$14:$C$127,C238)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SUMIFS(RAB!$F$14:$F$127,RAB!$C$14:$C$127,C239)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SUMIFS(RAB!$F$14:$F$127,RAB!$C$14:$C$127,C240)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SUMIFS(RAB!$F$14:$F$127,RAB!$C$14:$C$127,C241)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SUMIFS(RAB!$F$14:$F$127,RAB!$C$14:$C$127,C242)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SUMIFS(RAB!$F$14:$F$127,RAB!$C$14:$C$127,C243)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SUMIFS(RAB!$F$14:$F$127,RAB!$C$14:$C$127,C244)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SUMIFS(RAB!$F$14:$F$127,RAB!$C$14:$C$127,C245)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SUMIFS(RAB!$F$14:$F$127,RAB!$C$14:$C$127,C246)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SUMIFS(RAB!$F$14:$F$127,RAB!$C$14:$C$127,C247)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SUMIFS(RAB!$F$14:$F$127,RAB!$C$14:$C$127,C248)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SUMIFS(RAB!$F$14:$F$127,RAB!$C$14:$C$127,C249)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SUMIFS(RAB!$F$14:$F$127,RAB!$C$14:$C$127,C250)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SUMIFS(RAB!$F$14:$F$127,RAB!$C$14:$C$127,C251)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SUMIFS(RAB!$F$14:$F$127,RAB!$C$14:$C$127,C252)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SUMIFS(RAB!$F$14:$F$127,RAB!$C$14:$C$127,C253)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SUMIFS(RAB!$F$14:$F$127,RAB!$C$14:$C$127,C254)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SUMIFS(RAB!$F$14:$F$127,RAB!$C$14:$C$127,C255)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SUMIFS(RAB!$F$14:$F$127,RAB!$C$14:$C$127,C256)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SUMIFS(RAB!$F$14:$F$127,RAB!$C$14:$C$127,C257)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SUMIFS(RAB!$F$14:$F$127,RAB!$C$14:$C$127,C258)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SUMIFS(RAB!$F$14:$F$127,RAB!$C$14:$C$127,C259)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SUMIFS(RAB!$F$14:$F$127,RAB!$C$14:$C$127,C260)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SUMIFS(RAB!$F$14:$F$127,RAB!$C$14:$C$127,C261)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SUMIFS(RAB!$F$14:$F$127,RAB!$C$14:$C$127,C262)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SUMIFS(RAB!$F$14:$F$127,RAB!$C$14:$C$127,C263)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SUMIFS(RAB!$F$14:$F$127,RAB!$C$14:$C$127,C264)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SUMIFS(RAB!$F$14:$F$127,RAB!$C$14:$C$127,C265)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SUMIFS(RAB!$F$14:$F$127,RAB!$C$14:$C$127,C266)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SUMIFS(RAB!$F$14:$F$127,RAB!$C$14:$C$127,C267)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SUMIFS(RAB!$F$14:$F$127,RAB!$C$14:$C$127,C268)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SUMIFS(RAB!$F$14:$F$127,RAB!$C$14:$C$127,C269)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SUMIFS(RAB!$F$14:$F$127,RAB!$C$14:$C$127,C270)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SUMIFS(RAB!$F$14:$F$127,RAB!$C$14:$C$127,C271)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SUMIFS(RAB!$F$14:$F$127,RAB!$C$14:$C$127,C272)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SUMIFS(RAB!$F$14:$F$127,RAB!$C$14:$C$127,C273)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SUMIFS(RAB!$F$14:$F$127,RAB!$C$14:$C$127,C274)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SUMIFS(RAB!$F$14:$F$127,RAB!$C$14:$C$127,C275)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SUMIFS(RAB!$F$14:$F$127,RAB!$C$14:$C$127,C276)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SUMIFS(RAB!$F$14:$F$127,RAB!$C$14:$C$127,C277)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SUMIFS(RAB!$F$14:$F$127,RAB!$C$14:$C$127,C278)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SUMIFS(RAB!$F$14:$F$127,RAB!$C$14:$C$127,C279)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SUMIFS(RAB!$F$14:$F$127,RAB!$C$14:$C$127,C280)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SUMIFS(RAB!$F$14:$F$127,RAB!$C$14:$C$127,C281)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SUMIFS(RAB!$F$14:$F$127,RAB!$C$14:$C$127,C282)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SUMIFS(RAB!$F$14:$F$127,RAB!$C$14:$C$127,C283)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SUMIFS(RAB!$F$14:$F$127,RAB!$C$14:$C$127,C284)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SUMIFS(RAB!$F$14:$F$127,RAB!$C$14:$C$127,C285)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SUMIFS(RAB!$F$14:$F$127,RAB!$C$14:$C$127,C286)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SUMIFS(RAB!$F$14:$F$127,RAB!$C$14:$C$127,C287)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SUMIFS(RAB!$F$14:$F$127,RAB!$C$14:$C$127,C288)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SUMIFS(RAB!$F$14:$F$127,RAB!$C$14:$C$127,C289)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SUMIFS(RAB!$F$14:$F$127,RAB!$C$14:$C$127,C290)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SUMIFS(RAB!$F$14:$F$127,RAB!$C$14:$C$127,C291)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SUMIFS(RAB!$F$14:$F$127,RAB!$C$14:$C$127,C292)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SUMIFS(RAB!$F$14:$F$127,RAB!$C$14:$C$127,C293)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SUMIFS(RAB!$F$14:$F$127,RAB!$C$14:$C$127,C294)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SUMIFS(RAB!$F$14:$F$127,RAB!$C$14:$C$127,C295)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SUMIFS(RAB!$F$14:$F$127,RAB!$C$14:$C$127,C296)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SUMIFS(RAB!$F$14:$F$127,RAB!$C$14:$C$127,C297)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SUMIFS(RAB!$F$14:$F$127,RAB!$C$14:$C$127,C298)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SUMIFS(RAB!$F$14:$F$127,RAB!$C$14:$C$127,C299)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SUMIFS(RAB!$F$14:$F$127,RAB!$C$14:$C$127,C300)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SUMIFS(RAB!$F$14:$F$127,RAB!$C$14:$C$127,C301)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SUMIFS(RAB!$F$14:$F$127,RAB!$C$14:$C$127,C302)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SUMIFS(RAB!$F$14:$F$127,RAB!$C$14:$C$127,C303)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SUMIFS(RAB!$F$14:$F$127,RAB!$C$14:$C$127,C304)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SUMIFS(RAB!$F$14:$F$127,RAB!$C$14:$C$127,C305)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SUMIFS(RAB!$F$14:$F$127,RAB!$C$14:$C$127,C306)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SUMIFS(RAB!$F$14:$F$127,RAB!$C$14:$C$127,C307)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SUMIFS(RAB!$F$14:$F$127,RAB!$C$14:$C$127,C308)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SUMIFS(RAB!$F$14:$F$127,RAB!$C$14:$C$127,C309)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SUMIFS(RAB!$F$14:$F$127,RAB!$C$14:$C$127,C310)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SUMIFS(RAB!$F$14:$F$127,RAB!$C$14:$C$127,C311)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SUMIFS(RAB!$F$14:$F$127,RAB!$C$14:$C$127,C312)</f>
        <v>1</v>
      </c>
      <c r="E312" s="24">
        <f t="shared" ca="1" si="22"/>
        <v>1</v>
      </c>
      <c r="F312" s="24">
        <f ca="1">IF(D312=0,0,SUM($E$223:E312))</f>
        <v>3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SUMIFS(RAB!$F$14:$F$127,RAB!$C$14:$C$127,C313)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SUMIFS(RAB!$F$14:$F$127,RAB!$C$14:$C$127,C314)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SUMIFS(RAB!$F$14:$F$127,RAB!$C$14:$C$127,C315)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SUMIFS(RAB!$F$14:$F$127,RAB!$C$14:$C$127,C316)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SUMIFS(RAB!$F$14:$F$127,RAB!$C$14:$C$127,C317)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SUMIFS(RAB!$F$14:$F$127,RAB!$C$14:$C$127,C318)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SUMIFS(RAB!$F$14:$F$127,RAB!$C$14:$C$127,C319)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SUMIFS(RAB!$F$14:$F$127,RAB!$C$14:$C$127,C320)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SUMIFS(RAB!$F$14:$F$127,RAB!$C$14:$C$127,C321)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SUMIFS(RAB!$F$14:$F$127,RAB!$C$14:$C$127,C322)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SUMIFS(RAB!$F$14:$F$127,RAB!$C$14:$C$127,C323)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SUMIFS(RAB!$F$14:$F$127,RAB!$C$14:$C$127,C324)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SUMIFS(RAB!$F$14:$F$127,RAB!$C$14:$C$127,C325)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SUMIFS(RAB!$F$14:$F$127,RAB!$C$14:$C$127,C326)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SUMIFS(RAB!$F$14:$F$127,RAB!$C$14:$C$127,C327)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SUMIFS(RAB!$F$14:$F$127,RAB!$C$14:$C$127,C328)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SUMIFS(RAB!$F$14:$F$127,RAB!$C$14:$C$127,C329)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SUMIFS(RAB!$F$14:$F$127,RAB!$C$14:$C$127,C330)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SUMIFS(RAB!$F$14:$F$127,RAB!$C$14:$C$127,C331)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SUMIFS(RAB!$F$14:$F$127,RAB!$C$14:$C$127,C332)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SUMIFS(RAB!$F$14:$F$127,RAB!$C$14:$C$127,C333)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SUMIFS(RAB!$F$14:$F$127,RAB!$C$14:$C$127,C334)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SUMIFS(RAB!$F$14:$F$127,RAB!$C$14:$C$127,C335)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SUMIFS(RAB!$F$14:$F$127,RAB!$C$14:$C$127,C336)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SUMIFS(RAB!$F$14:$F$127,RAB!$C$14:$C$127,C337)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SUMIFS(RAB!$F$14:$F$127,RAB!$C$14:$C$127,C338)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SUMIFS(RAB!$F$14:$F$127,RAB!$C$14:$C$127,C339)</f>
        <v>9</v>
      </c>
      <c r="E339" s="24">
        <f t="shared" ca="1" si="22"/>
        <v>1</v>
      </c>
      <c r="F339" s="24">
        <f ca="1">IF(D339=0,0,SUM($E$223:E339))</f>
        <v>4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SUMIFS(RAB!$F$14:$F$127,RAB!$C$14:$C$127,C340)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SUMIFS(RAB!$F$14:$F$127,RAB!$C$14:$C$127,C341)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SUMIFS(RAB!$F$14:$F$127,RAB!$C$14:$C$127,C342)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SUMIFS(RAB!$F$14:$F$127,RAB!$C$14:$C$127,C343)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SUMIFS(RAB!$F$14:$F$127,RAB!$C$14:$C$127,C344)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SUMIFS(RAB!$F$14:$F$127,RAB!$C$14:$C$127,C345)</f>
        <v>3</v>
      </c>
      <c r="E345" s="24">
        <f t="shared" ca="1" si="22"/>
        <v>1</v>
      </c>
      <c r="F345" s="24">
        <f ca="1">IF(D345=0,0,SUM($E$223:E345))</f>
        <v>5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SUMIFS(RAB!$F$14:$F$127,RAB!$C$14:$C$127,C346)</f>
        <v>350</v>
      </c>
      <c r="E346" s="24">
        <f t="shared" ca="1" si="22"/>
        <v>1</v>
      </c>
      <c r="F346" s="24">
        <f ca="1">IF(D346=0,0,SUM($E$223:E346))</f>
        <v>6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SUMIFS(RAB!$F$14:$F$127,RAB!$C$14:$C$127,C347)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SUMIFS(RAB!$F$14:$F$127,RAB!$C$14:$C$127,C348)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SUMIFS(RAB!$F$14:$F$127,RAB!$C$14:$C$127,C349)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SUMIFS(RAB!$F$14:$F$127,RAB!$C$14:$C$127,C350)</f>
        <v>35</v>
      </c>
      <c r="E350" s="24">
        <f t="shared" ca="1" si="22"/>
        <v>1</v>
      </c>
      <c r="F350" s="24">
        <f ca="1">IF(D350=0,0,SUM($E$223:E350))</f>
        <v>7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SUMIFS(RAB!$F$14:$F$127,RAB!$C$14:$C$127,C351)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SUMIFS(RAB!$F$14:$F$127,RAB!$C$14:$C$127,C352)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SUMIFS(RAB!$F$14:$F$127,RAB!$C$14:$C$127,C353)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SUMIFS(RAB!$F$14:$F$127,RAB!$C$14:$C$127,C354)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SUMIFS(RAB!$F$14:$F$127,RAB!$C$14:$C$127,C355)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SUMIFS(RAB!$F$14:$F$127,RAB!$C$14:$C$127,C356)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SUMIFS(RAB!$F$14:$F$127,RAB!$C$14:$C$127,C357)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SUMIFS(RAB!$F$14:$F$127,RAB!$C$14:$C$127,C358)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SUMIFS(RAB!$F$14:$F$127,RAB!$C$14:$C$127,C359)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SUMIFS(RAB!$F$14:$F$127,RAB!$C$14:$C$127,C360)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SUMIFS(RAB!$F$14:$F$127,RAB!$C$14:$C$127,C361)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SUMIFS(RAB!$F$14:$F$127,RAB!$C$14:$C$127,C362)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SUMIFS(RAB!$F$14:$F$127,RAB!$C$14:$C$127,C363)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SUMIFS(RAB!$F$14:$F$127,RAB!$C$14:$C$127,C364)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SUMIFS(RAB!$F$14:$F$127,RAB!$C$14:$C$127,C365)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SUMIFS(RAB!$F$14:$F$127,RAB!$C$14:$C$127,C366)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SUMIFS(RAB!$F$14:$F$127,RAB!$C$14:$C$127,C367)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SUMIFS(RAB!$F$14:$F$127,RAB!$C$14:$C$127,C368)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SUMIFS(RAB!$F$14:$F$127,RAB!$C$14:$C$127,C369)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SUMIFS(RAB!$F$14:$F$127,RAB!$C$14:$C$127,C370)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SUMIFS(RAB!$F$14:$F$127,RAB!$C$14:$C$127,C371)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SUMIFS(RAB!$F$14:$F$127,RAB!$C$14:$C$127,C372)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SUMIFS(RAB!$F$14:$F$127,RAB!$C$14:$C$127,C373)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50" priority="5" operator="equal">
      <formula>0</formula>
    </cfRule>
  </conditionalFormatting>
  <conditionalFormatting sqref="C16:C165">
    <cfRule type="cellIs" dxfId="49" priority="4" stopIfTrue="1" operator="equal">
      <formula>0</formula>
    </cfRule>
  </conditionalFormatting>
  <conditionalFormatting sqref="C16:E165">
    <cfRule type="cellIs" dxfId="48" priority="1" operator="equal">
      <formula>0</formula>
    </cfRule>
  </conditionalFormatting>
  <conditionalFormatting sqref="D224:F373">
    <cfRule type="cellIs" dxfId="47" priority="8" operator="equal">
      <formula>0</formula>
    </cfRule>
  </conditionalFormatting>
  <conditionalFormatting sqref="E1:E3 G1:G115 E6:E15 H12:I12 N13 F14:F15 H14:K115 E166:K166 G166:G223 E167:F167 H167:K167">
    <cfRule type="cellIs" dxfId="46" priority="43" stopIfTrue="1" operator="equal">
      <formula>0</formula>
    </cfRule>
  </conditionalFormatting>
  <conditionalFormatting sqref="E171:E65536">
    <cfRule type="cellIs" dxfId="45" priority="9" stopIfTrue="1" operator="equal">
      <formula>0</formula>
    </cfRule>
  </conditionalFormatting>
  <conditionalFormatting sqref="G224">
    <cfRule type="cellIs" dxfId="44" priority="10" operator="equal">
      <formula>0</formula>
    </cfRule>
  </conditionalFormatting>
  <conditionalFormatting sqref="G225:G65536">
    <cfRule type="cellIs" dxfId="43" priority="14" stopIfTrue="1" operator="equal">
      <formula>0</formula>
    </cfRule>
  </conditionalFormatting>
  <conditionalFormatting sqref="R14:T166 G116:K165">
    <cfRule type="cellIs" dxfId="4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1"/>
    </row>
    <row r="4" spans="4:4" ht="57" customHeight="1">
      <c r="D4" s="391">
        <v>3</v>
      </c>
    </row>
    <row r="5" spans="4:4" ht="57" customHeight="1">
      <c r="D5" s="39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920" activePane="bottomRight" state="frozen"/>
      <selection activeCell="D209" sqref="D209"/>
      <selection pane="topRight" activeCell="D209" sqref="D209"/>
      <selection pane="bottomLeft" activeCell="D209" sqref="D209"/>
      <selection pane="bottomRight" activeCell="C927" sqref="C927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8" t="s">
        <v>41</v>
      </c>
      <c r="C2" s="558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9" t="s">
        <v>23</v>
      </c>
      <c r="C4" s="560" t="s">
        <v>1012</v>
      </c>
      <c r="D4" s="560" t="s">
        <v>42</v>
      </c>
      <c r="E4" s="559" t="s">
        <v>43</v>
      </c>
      <c r="F4" s="108" t="s">
        <v>1599</v>
      </c>
      <c r="G4" s="108" t="s">
        <v>1598</v>
      </c>
      <c r="H4" s="557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9"/>
      <c r="C5" s="560"/>
      <c r="D5" s="560"/>
      <c r="E5" s="559"/>
      <c r="F5" s="93"/>
      <c r="G5" s="93"/>
      <c r="H5" s="557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58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59" t="s">
        <v>1616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59" t="s">
        <v>1617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4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4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5">
        <v>2740</v>
      </c>
      <c r="G1436" s="415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6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6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6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6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6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41" priority="4" operator="equal">
      <formula>0</formula>
    </cfRule>
  </conditionalFormatting>
  <conditionalFormatting sqref="B217 D217:G217">
    <cfRule type="cellIs" dxfId="40" priority="11" operator="equal">
      <formula>0</formula>
    </cfRule>
  </conditionalFormatting>
  <conditionalFormatting sqref="B8:C135">
    <cfRule type="cellIs" dxfId="39" priority="66" operator="equal">
      <formula>0</formula>
    </cfRule>
  </conditionalFormatting>
  <conditionalFormatting sqref="B216:G216">
    <cfRule type="cellIs" dxfId="38" priority="16" operator="equal">
      <formula>0</formula>
    </cfRule>
  </conditionalFormatting>
  <conditionalFormatting sqref="B218:G1496">
    <cfRule type="cellIs" dxfId="37" priority="1" operator="equal">
      <formula>0</formula>
    </cfRule>
  </conditionalFormatting>
  <conditionalFormatting sqref="C143:G149">
    <cfRule type="cellIs" dxfId="36" priority="20" operator="equal">
      <formula>0</formula>
    </cfRule>
  </conditionalFormatting>
  <conditionalFormatting sqref="D9:G142">
    <cfRule type="cellIs" dxfId="35" priority="26" operator="equal">
      <formula>0</formula>
    </cfRule>
  </conditionalFormatting>
  <conditionalFormatting sqref="D1:IV5 A1:C7 D6:K6 H1458:IV1460 H1461:XFD1488 H1489:H1496 I1489:XFD1497 A1497:H1497 A1498:XFD65539">
    <cfRule type="cellIs" dxfId="34" priority="178" operator="equal">
      <formula>0</formula>
    </cfRule>
  </conditionalFormatting>
  <conditionalFormatting sqref="D7:IV8 C136:C142 B136:B149 B150:G213 B214:B215 D214:G215">
    <cfRule type="cellIs" dxfId="33" priority="77" operator="equal">
      <formula>0</formula>
    </cfRule>
  </conditionalFormatting>
  <conditionalFormatting sqref="H9:H1421">
    <cfRule type="cellIs" dxfId="32" priority="3" operator="equal">
      <formula>0</formula>
    </cfRule>
  </conditionalFormatting>
  <conditionalFormatting sqref="H1422:I1457">
    <cfRule type="cellIs" dxfId="31" priority="143" operator="equal">
      <formula>0</formula>
    </cfRule>
  </conditionalFormatting>
  <conditionalFormatting sqref="I108:I1421">
    <cfRule type="cellIs" dxfId="30" priority="2" operator="equal">
      <formula>0</formula>
    </cfRule>
  </conditionalFormatting>
  <conditionalFormatting sqref="I9:IV107">
    <cfRule type="cellIs" dxfId="29" priority="153" operator="equal">
      <formula>0</formula>
    </cfRule>
  </conditionalFormatting>
  <conditionalFormatting sqref="J108:IV1457">
    <cfRule type="cellIs" dxfId="28" priority="5" operator="equal">
      <formula>0</formula>
    </cfRule>
  </conditionalFormatting>
  <conditionalFormatting sqref="M6:IV6">
    <cfRule type="cellIs" dxfId="2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4" zoomScale="55" zoomScaleNormal="55" zoomScaleSheetLayoutView="85" workbookViewId="0">
      <selection activeCell="K14" sqref="K14:L14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65" t="s">
        <v>1453</v>
      </c>
      <c r="C2" s="565"/>
      <c r="D2" s="565"/>
      <c r="E2" s="565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70" t="s">
        <v>1528</v>
      </c>
      <c r="C4" s="571"/>
      <c r="D4" s="571"/>
      <c r="E4" s="572"/>
      <c r="F4" s="373"/>
      <c r="G4" s="373"/>
      <c r="H4" s="374"/>
      <c r="I4" s="597" t="s">
        <v>1529</v>
      </c>
      <c r="J4" s="598"/>
      <c r="K4" s="598"/>
      <c r="L4" s="599"/>
    </row>
    <row r="5" spans="1:12" ht="34.5" customHeight="1">
      <c r="A5" s="193"/>
      <c r="B5" s="376" t="s">
        <v>1378</v>
      </c>
      <c r="C5" s="224" t="s">
        <v>9</v>
      </c>
      <c r="D5" s="566" t="str">
        <f>DATA!D14</f>
        <v>ADY SETIAWAN</v>
      </c>
      <c r="E5" s="567"/>
      <c r="F5" s="197"/>
      <c r="G5" s="197"/>
      <c r="I5" s="377" t="s">
        <v>1378</v>
      </c>
      <c r="J5" s="224" t="s">
        <v>9</v>
      </c>
      <c r="K5" s="600" t="str">
        <f>D5</f>
        <v>ADY SETIAWAN</v>
      </c>
      <c r="L5" s="601"/>
    </row>
    <row r="6" spans="1:12" ht="31.5" customHeight="1">
      <c r="A6" s="193"/>
      <c r="B6" s="376" t="s">
        <v>1525</v>
      </c>
      <c r="C6" s="224" t="s">
        <v>9</v>
      </c>
      <c r="D6" s="575">
        <f>DATA!D17*1000</f>
        <v>0</v>
      </c>
      <c r="E6" s="576"/>
      <c r="F6" s="197"/>
      <c r="G6" s="197"/>
      <c r="I6" s="377" t="s">
        <v>1526</v>
      </c>
      <c r="J6" s="224" t="s">
        <v>9</v>
      </c>
      <c r="K6" s="602">
        <f>DATA!D20*1000</f>
        <v>11000</v>
      </c>
      <c r="L6" s="603"/>
    </row>
    <row r="7" spans="1:12" ht="30.75" customHeight="1">
      <c r="A7" s="193"/>
      <c r="B7" s="376" t="s">
        <v>1440</v>
      </c>
      <c r="C7" s="224" t="s">
        <v>9</v>
      </c>
      <c r="D7" s="573">
        <f>DATA!D18</f>
        <v>1</v>
      </c>
      <c r="E7" s="574"/>
      <c r="F7" s="375" t="s">
        <v>1452</v>
      </c>
      <c r="I7" s="377" t="s">
        <v>1440</v>
      </c>
      <c r="J7" s="224" t="s">
        <v>9</v>
      </c>
      <c r="K7" s="604">
        <f>DATA!D21</f>
        <v>1</v>
      </c>
      <c r="L7" s="605"/>
    </row>
    <row r="8" spans="1:12" ht="51" customHeight="1">
      <c r="A8" s="193"/>
      <c r="B8" s="376" t="s">
        <v>1441</v>
      </c>
      <c r="C8" s="224" t="s">
        <v>9</v>
      </c>
      <c r="D8" s="573">
        <f>DATA!D19</f>
        <v>220</v>
      </c>
      <c r="E8" s="574"/>
      <c r="F8" s="375" t="s">
        <v>1452</v>
      </c>
      <c r="G8" s="370">
        <v>220</v>
      </c>
      <c r="I8" s="377" t="s">
        <v>1441</v>
      </c>
      <c r="J8" s="224" t="s">
        <v>9</v>
      </c>
      <c r="K8" s="604">
        <f>DATA!D22</f>
        <v>220</v>
      </c>
      <c r="L8" s="605"/>
    </row>
    <row r="9" spans="1:12" ht="30" customHeight="1" thickBot="1">
      <c r="A9" s="193"/>
      <c r="B9" s="382" t="s">
        <v>1537</v>
      </c>
      <c r="C9" s="372" t="s">
        <v>9</v>
      </c>
      <c r="D9" s="568">
        <f>IF(D7=1,D6/(380/3^0.5),(D6/(380*3^0.5)))</f>
        <v>0</v>
      </c>
      <c r="E9" s="569"/>
      <c r="F9" s="196"/>
      <c r="G9" s="371">
        <v>380</v>
      </c>
      <c r="I9" s="383" t="s">
        <v>1537</v>
      </c>
      <c r="J9" s="372" t="s">
        <v>9</v>
      </c>
      <c r="K9" s="606">
        <f>IF(K7=1,K6/(380/3^0.5),(K6/(380*3^0.5)))</f>
        <v>50.138312850678027</v>
      </c>
      <c r="L9" s="607"/>
    </row>
    <row r="10" spans="1:12" ht="24.75" customHeight="1">
      <c r="B10" s="384"/>
      <c r="C10" s="381"/>
      <c r="D10" s="385"/>
      <c r="E10" s="385"/>
      <c r="F10" s="196"/>
      <c r="G10" s="371"/>
      <c r="I10" s="384"/>
      <c r="J10" s="381"/>
      <c r="K10" s="385"/>
      <c r="L10" s="385"/>
    </row>
    <row r="11" spans="1:12" ht="16.5" thickBot="1">
      <c r="B11" s="378" t="s">
        <v>1538</v>
      </c>
      <c r="I11" s="378" t="s">
        <v>1532</v>
      </c>
    </row>
    <row r="12" spans="1:12" ht="34.5" customHeight="1">
      <c r="A12" s="193"/>
      <c r="B12" s="406" t="s">
        <v>1530</v>
      </c>
      <c r="C12" s="400" t="s">
        <v>9</v>
      </c>
      <c r="D12" s="577"/>
      <c r="E12" s="578"/>
      <c r="F12" s="197"/>
      <c r="G12" s="197"/>
      <c r="I12" s="399" t="s">
        <v>1530</v>
      </c>
      <c r="J12" s="400" t="s">
        <v>9</v>
      </c>
      <c r="K12" s="577" t="s">
        <v>1642</v>
      </c>
      <c r="L12" s="578"/>
    </row>
    <row r="13" spans="1:12" ht="31.5" customHeight="1">
      <c r="A13" s="193"/>
      <c r="B13" s="407" t="s">
        <v>1379</v>
      </c>
      <c r="C13" s="387" t="s">
        <v>9</v>
      </c>
      <c r="D13" s="581"/>
      <c r="E13" s="582"/>
      <c r="F13" s="197"/>
      <c r="G13" s="197"/>
      <c r="I13" s="401" t="s">
        <v>1379</v>
      </c>
      <c r="J13" s="387" t="s">
        <v>9</v>
      </c>
      <c r="K13" s="581" t="s">
        <v>1642</v>
      </c>
      <c r="L13" s="582"/>
    </row>
    <row r="14" spans="1:12" ht="30.75" customHeight="1">
      <c r="A14" s="193"/>
      <c r="B14" s="407" t="s">
        <v>1531</v>
      </c>
      <c r="C14" s="387" t="s">
        <v>9</v>
      </c>
      <c r="D14" s="589"/>
      <c r="E14" s="590"/>
      <c r="F14" s="375" t="s">
        <v>1452</v>
      </c>
      <c r="G14" s="379">
        <v>50</v>
      </c>
      <c r="I14" s="401" t="s">
        <v>1531</v>
      </c>
      <c r="J14" s="387" t="s">
        <v>9</v>
      </c>
      <c r="K14" s="591">
        <v>50</v>
      </c>
      <c r="L14" s="592"/>
    </row>
    <row r="15" spans="1:12" ht="57" customHeight="1">
      <c r="A15" s="193"/>
      <c r="B15" s="407" t="s">
        <v>1440</v>
      </c>
      <c r="C15" s="387" t="s">
        <v>9</v>
      </c>
      <c r="D15" s="393"/>
      <c r="E15" s="402"/>
      <c r="F15" s="375" t="s">
        <v>1452</v>
      </c>
      <c r="G15" s="379">
        <v>100</v>
      </c>
      <c r="I15" s="401" t="s">
        <v>1440</v>
      </c>
      <c r="J15" s="387" t="s">
        <v>9</v>
      </c>
      <c r="K15" s="393">
        <v>1</v>
      </c>
      <c r="L15" s="402"/>
    </row>
    <row r="16" spans="1:12" ht="44.25" customHeight="1">
      <c r="A16" s="193"/>
      <c r="B16" s="407" t="s">
        <v>1541</v>
      </c>
      <c r="C16" s="387"/>
      <c r="D16" s="593">
        <v>0</v>
      </c>
      <c r="E16" s="594"/>
      <c r="F16" s="375"/>
      <c r="G16" s="379">
        <v>160</v>
      </c>
      <c r="I16" s="401" t="s">
        <v>1533</v>
      </c>
      <c r="J16" s="387" t="s">
        <v>9</v>
      </c>
      <c r="K16" s="595">
        <f>K9</f>
        <v>50.138312850678027</v>
      </c>
      <c r="L16" s="596"/>
    </row>
    <row r="17" spans="1:12" ht="34.5" customHeight="1">
      <c r="A17" s="193"/>
      <c r="B17" s="407" t="s">
        <v>1534</v>
      </c>
      <c r="C17" s="387" t="s">
        <v>9</v>
      </c>
      <c r="D17" s="583">
        <f>IF(D15=1,D14/(20/3^0.5),(D14/(20*3^0.5)))</f>
        <v>0</v>
      </c>
      <c r="E17" s="584"/>
      <c r="F17" s="375" t="s">
        <v>1452</v>
      </c>
      <c r="G17" s="380">
        <v>200</v>
      </c>
      <c r="I17" s="401" t="s">
        <v>1534</v>
      </c>
      <c r="J17" s="387" t="s">
        <v>9</v>
      </c>
      <c r="K17" s="587">
        <f>IF(K15=1,K14/(20/3^0.5),(K14/(20*3^0.5)))</f>
        <v>4.3301270189221928</v>
      </c>
      <c r="L17" s="588"/>
    </row>
    <row r="18" spans="1:12" ht="34.5" customHeight="1">
      <c r="A18" s="193"/>
      <c r="B18" s="407" t="s">
        <v>1535</v>
      </c>
      <c r="C18" s="387" t="s">
        <v>9</v>
      </c>
      <c r="D18" s="583">
        <f>IF(D15=1,D14/(380/3^0.5),(D14/(380*3^0.5)))*1000</f>
        <v>0</v>
      </c>
      <c r="E18" s="584"/>
      <c r="F18" s="375" t="s">
        <v>1452</v>
      </c>
      <c r="G18" s="380">
        <v>250</v>
      </c>
      <c r="I18" s="401" t="s">
        <v>1535</v>
      </c>
      <c r="J18" s="387" t="s">
        <v>9</v>
      </c>
      <c r="K18" s="587">
        <f>IF(K15=1,K14/(380/3^0.5),(K14/(380*3^0.5)))*1000</f>
        <v>227.90142204853646</v>
      </c>
      <c r="L18" s="588"/>
    </row>
    <row r="19" spans="1:12" ht="30" customHeight="1">
      <c r="A19" s="193"/>
      <c r="B19" s="408" t="s">
        <v>1527</v>
      </c>
      <c r="C19" s="386" t="s">
        <v>9</v>
      </c>
      <c r="D19" s="583">
        <f>IF(D15=1,D14/(380/3^0.5),(D14/(380*3^0.5)))</f>
        <v>0</v>
      </c>
      <c r="E19" s="584"/>
      <c r="F19" s="196"/>
      <c r="G19" s="371"/>
      <c r="I19" s="403" t="s">
        <v>1527</v>
      </c>
      <c r="J19" s="386" t="s">
        <v>9</v>
      </c>
      <c r="K19" s="587">
        <f>IF(K15=1,K14/(380/3^0.5),(K14/(380*3^0.5)))</f>
        <v>0.22790142204853647</v>
      </c>
      <c r="L19" s="588"/>
    </row>
    <row r="20" spans="1:12" ht="30" customHeight="1" thickBot="1">
      <c r="A20" s="193"/>
      <c r="B20" s="409" t="s">
        <v>1536</v>
      </c>
      <c r="C20" s="405" t="s">
        <v>9</v>
      </c>
      <c r="D20" s="579" t="e">
        <f>D16/D18</f>
        <v>#DIV/0!</v>
      </c>
      <c r="E20" s="580"/>
      <c r="F20" s="196"/>
      <c r="G20" s="371"/>
      <c r="I20" s="404" t="s">
        <v>1527</v>
      </c>
      <c r="J20" s="405" t="s">
        <v>9</v>
      </c>
      <c r="K20" s="585">
        <f>K16/K18</f>
        <v>0.22000000000000003</v>
      </c>
      <c r="L20" s="586"/>
    </row>
    <row r="21" spans="1:12" ht="9.75" customHeight="1">
      <c r="A21" s="193"/>
      <c r="B21" s="394" t="s">
        <v>1536</v>
      </c>
      <c r="C21" s="395" t="s">
        <v>9</v>
      </c>
      <c r="D21" s="564">
        <v>1</v>
      </c>
      <c r="E21" s="564"/>
      <c r="F21" s="396"/>
      <c r="G21" s="397"/>
      <c r="H21" s="398"/>
      <c r="I21" s="394" t="s">
        <v>1527</v>
      </c>
      <c r="J21" s="395" t="s">
        <v>9</v>
      </c>
      <c r="K21" s="564">
        <v>1</v>
      </c>
      <c r="L21" s="564"/>
    </row>
    <row r="22" spans="1:12" ht="6.75" customHeight="1">
      <c r="B22" s="384"/>
      <c r="C22" s="381"/>
      <c r="D22" s="392"/>
      <c r="E22" s="392"/>
      <c r="F22" s="196"/>
      <c r="G22" s="371"/>
      <c r="J22" s="381"/>
      <c r="K22" s="392"/>
      <c r="L22" s="392"/>
    </row>
    <row r="23" spans="1:12" ht="15.75" thickBot="1"/>
    <row r="24" spans="1:12" ht="200.25" customHeight="1" thickBot="1">
      <c r="B24" s="561"/>
      <c r="C24" s="562"/>
      <c r="D24" s="562"/>
      <c r="E24" s="563"/>
      <c r="I24" s="561"/>
      <c r="J24" s="562"/>
      <c r="K24" s="562"/>
      <c r="L24" s="563"/>
    </row>
    <row r="26" spans="1:12">
      <c r="D26" s="389"/>
    </row>
    <row r="27" spans="1:12">
      <c r="D27" s="390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26" priority="5" stopIfTrue="1" operator="greaterThan">
      <formula>0.89</formula>
    </cfRule>
    <cfRule type="cellIs" dxfId="2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8" zoomScale="85" zoomScaleNormal="85" workbookViewId="0">
      <selection activeCell="D25" sqref="D25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08"/>
      <c r="C1" s="608"/>
      <c r="D1" s="608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7">
        <v>1084.1250458865841</v>
      </c>
      <c r="F5" s="413" t="s">
        <v>1600</v>
      </c>
      <c r="K5" s="412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3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11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10659000</v>
      </c>
    </row>
    <row r="10" spans="2:11" ht="20.100000000000001" customHeight="1">
      <c r="B10" s="238" t="s">
        <v>1445</v>
      </c>
      <c r="C10" s="239" t="s">
        <v>9</v>
      </c>
      <c r="D10" s="245">
        <f ca="1">RAB!K133</f>
        <v>82563481.60374999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1651269.6320749999</v>
      </c>
    </row>
    <row r="12" spans="2:11" ht="9" customHeight="1">
      <c r="B12" s="609"/>
      <c r="C12" s="609"/>
      <c r="D12" s="609"/>
    </row>
    <row r="13" spans="2:11" ht="15.75" customHeight="1">
      <c r="B13" s="246"/>
      <c r="C13" s="246"/>
      <c r="D13" s="246"/>
    </row>
    <row r="14" spans="2:11" ht="48.75" customHeight="1">
      <c r="B14" s="360" t="s">
        <v>1378</v>
      </c>
      <c r="C14" s="361" t="s">
        <v>9</v>
      </c>
      <c r="D14" s="366" t="str">
        <f>RAB!G6</f>
        <v>ADY SETIAWAN</v>
      </c>
      <c r="E14" s="247" t="s">
        <v>1452</v>
      </c>
    </row>
    <row r="15" spans="2:11" ht="20.100000000000001" customHeight="1">
      <c r="B15" s="362" t="s">
        <v>1446</v>
      </c>
      <c r="C15" s="363" t="s">
        <v>9</v>
      </c>
      <c r="D15" s="367" t="s">
        <v>1641</v>
      </c>
      <c r="E15" s="247" t="s">
        <v>1452</v>
      </c>
    </row>
    <row r="16" spans="2:11" ht="20.100000000000001" customHeight="1">
      <c r="B16" s="362" t="s">
        <v>1447</v>
      </c>
      <c r="C16" s="363" t="s">
        <v>9</v>
      </c>
      <c r="D16" s="367" t="s">
        <v>1450</v>
      </c>
      <c r="E16" s="247" t="s">
        <v>1452</v>
      </c>
    </row>
    <row r="17" spans="2:5" ht="20.100000000000001" customHeight="1">
      <c r="B17" s="362" t="s">
        <v>1448</v>
      </c>
      <c r="C17" s="363" t="s">
        <v>9</v>
      </c>
      <c r="D17" s="368">
        <v>0</v>
      </c>
      <c r="E17" s="247" t="s">
        <v>1452</v>
      </c>
    </row>
    <row r="18" spans="2:5" ht="20.100000000000001" hidden="1" customHeight="1">
      <c r="B18" s="362" t="s">
        <v>1539</v>
      </c>
      <c r="C18" s="363"/>
      <c r="D18" s="368">
        <f>IF((D17&lt;=11),1,3)</f>
        <v>1</v>
      </c>
      <c r="E18" s="247"/>
    </row>
    <row r="19" spans="2:5" ht="20.100000000000001" hidden="1" customHeight="1">
      <c r="B19" s="362" t="s">
        <v>1540</v>
      </c>
      <c r="C19" s="363"/>
      <c r="D19" s="368">
        <f>IF((D17&lt;=11),220,380)</f>
        <v>220</v>
      </c>
      <c r="E19" s="247"/>
    </row>
    <row r="20" spans="2:5" ht="20.100000000000001" customHeight="1">
      <c r="B20" s="362" t="s">
        <v>1449</v>
      </c>
      <c r="C20" s="363" t="s">
        <v>9</v>
      </c>
      <c r="D20" s="367">
        <v>11</v>
      </c>
      <c r="E20" s="247" t="s">
        <v>1452</v>
      </c>
    </row>
    <row r="21" spans="2:5" ht="20.100000000000001" hidden="1" customHeight="1">
      <c r="B21" s="362" t="s">
        <v>1539</v>
      </c>
      <c r="C21" s="363"/>
      <c r="D21" s="368">
        <f>IF((D20&lt;=11),1,3)</f>
        <v>1</v>
      </c>
      <c r="E21" s="247"/>
    </row>
    <row r="22" spans="2:5" ht="20.100000000000001" hidden="1" customHeight="1">
      <c r="B22" s="362" t="s">
        <v>1540</v>
      </c>
      <c r="C22" s="363"/>
      <c r="D22" s="368">
        <f>IF((D20&lt;=11),220,380)</f>
        <v>220</v>
      </c>
      <c r="E22" s="247"/>
    </row>
    <row r="23" spans="2:5" ht="20.100000000000001" customHeight="1">
      <c r="B23" s="362" t="s">
        <v>1352</v>
      </c>
      <c r="C23" s="363" t="s">
        <v>9</v>
      </c>
      <c r="D23" s="367">
        <v>900</v>
      </c>
      <c r="E23" s="247" t="s">
        <v>1452</v>
      </c>
    </row>
    <row r="24" spans="2:5" ht="20.100000000000001" customHeight="1">
      <c r="B24" s="362" t="s">
        <v>1353</v>
      </c>
      <c r="C24" s="363" t="s">
        <v>9</v>
      </c>
      <c r="D24" s="367">
        <v>900</v>
      </c>
      <c r="E24" s="247" t="s">
        <v>1452</v>
      </c>
    </row>
    <row r="25" spans="2:5" ht="20.100000000000001" customHeight="1">
      <c r="B25" s="362" t="s">
        <v>1451</v>
      </c>
      <c r="C25" s="363" t="s">
        <v>9</v>
      </c>
      <c r="D25" s="368">
        <v>969</v>
      </c>
      <c r="E25" s="247" t="s">
        <v>1452</v>
      </c>
    </row>
    <row r="26" spans="2:5" ht="20.100000000000001" customHeight="1">
      <c r="B26" s="364" t="s">
        <v>1354</v>
      </c>
      <c r="C26" s="365" t="s">
        <v>9</v>
      </c>
      <c r="D26" s="369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0" t="s">
        <v>1356</v>
      </c>
      <c r="C3" s="610"/>
      <c r="D3" s="610"/>
      <c r="E3" s="610"/>
      <c r="F3" s="252" t="str">
        <f>DATA!D14</f>
        <v>ADY SETIAWAN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1" t="s">
        <v>1348</v>
      </c>
      <c r="C5" s="611" t="s">
        <v>1357</v>
      </c>
      <c r="D5" s="612" t="s">
        <v>1358</v>
      </c>
      <c r="E5" s="612" t="s">
        <v>1359</v>
      </c>
      <c r="F5" s="611" t="s">
        <v>1360</v>
      </c>
      <c r="G5" s="611"/>
      <c r="H5" s="611"/>
      <c r="I5" s="611"/>
      <c r="J5" s="611"/>
      <c r="K5" s="611" t="s">
        <v>1361</v>
      </c>
      <c r="L5" s="611"/>
      <c r="M5" s="254"/>
      <c r="N5" s="615" t="s">
        <v>1362</v>
      </c>
      <c r="O5" s="612" t="s">
        <v>1363</v>
      </c>
      <c r="P5" s="612" t="s">
        <v>1364</v>
      </c>
      <c r="Q5" s="612" t="s">
        <v>1365</v>
      </c>
      <c r="R5" s="255"/>
      <c r="S5" s="256"/>
      <c r="T5" s="613" t="s">
        <v>1366</v>
      </c>
      <c r="U5" s="257"/>
    </row>
    <row r="6" spans="1:21" ht="20.100000000000001" customHeight="1">
      <c r="B6" s="611"/>
      <c r="C6" s="611"/>
      <c r="D6" s="611"/>
      <c r="E6" s="611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6"/>
      <c r="O6" s="611"/>
      <c r="P6" s="611"/>
      <c r="Q6" s="611"/>
      <c r="R6" s="255"/>
      <c r="S6" s="256"/>
      <c r="T6" s="611"/>
      <c r="U6" s="259"/>
    </row>
    <row r="7" spans="1:21" ht="20.100000000000001" customHeight="1">
      <c r="A7" s="260">
        <v>0</v>
      </c>
      <c r="B7" s="261">
        <v>2023</v>
      </c>
      <c r="C7" s="410">
        <f>DATA!D8*DATA!D26*4</f>
        <v>1760</v>
      </c>
      <c r="D7" s="263">
        <f>C7*4/24</f>
        <v>293.33333333333331</v>
      </c>
      <c r="E7" s="263">
        <f>C7-D7</f>
        <v>1466.6666666666667</v>
      </c>
      <c r="F7" s="264">
        <f ca="1">DATA!D10/1000000</f>
        <v>82.563481603749992</v>
      </c>
      <c r="G7" s="265">
        <f ca="1">DATA!$D$11/1000000</f>
        <v>1.6512696320749998</v>
      </c>
      <c r="H7" s="265">
        <f>C7*DATA!$D$5/1000000</f>
        <v>1.908060080760388</v>
      </c>
      <c r="I7" s="265">
        <f>(C7*DATA!$D$5*DATA!$D$7)/1000000</f>
        <v>4.2931351817108727E-2</v>
      </c>
      <c r="J7" s="263">
        <f ca="1">SUM(F7:I7)</f>
        <v>86.165742668402487</v>
      </c>
      <c r="K7" s="266">
        <f>DATA!D9/1000000</f>
        <v>10.659000000000001</v>
      </c>
      <c r="L7" s="263">
        <f>((D7*DATA!$D$23)/1000000)+((E7*DATA!$D$24)/1000000)</f>
        <v>1.5840000000000001</v>
      </c>
      <c r="M7" s="263">
        <f>K7+L7</f>
        <v>12.243</v>
      </c>
      <c r="N7" s="263">
        <f ca="1">M7-J7</f>
        <v>-73.922742668402492</v>
      </c>
      <c r="O7" s="261">
        <v>1</v>
      </c>
      <c r="P7" s="263">
        <f ca="1">O7*N7</f>
        <v>-73.922742668402492</v>
      </c>
      <c r="Q7" s="263">
        <f ca="1">P7</f>
        <v>-73.922742668402492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5280</v>
      </c>
      <c r="D8" s="263">
        <f>C8*4/24</f>
        <v>880</v>
      </c>
      <c r="E8" s="263">
        <f t="shared" ref="E8:E32" si="0">C8-D8</f>
        <v>4400</v>
      </c>
      <c r="F8" s="261"/>
      <c r="G8" s="265">
        <f ca="1">DATA!$D$11/1000000</f>
        <v>1.6512696320749998</v>
      </c>
      <c r="H8" s="265">
        <f>C8*DATA!$D$5/1000000</f>
        <v>5.7241802422811636</v>
      </c>
      <c r="I8" s="265">
        <f>(C8*DATA!$D$5*DATA!$D$7)/1000000</f>
        <v>0.12879405545132619</v>
      </c>
      <c r="J8" s="263">
        <f t="shared" ref="J8:J32" ca="1" si="1">SUM(F8:I8)</f>
        <v>7.5042439298074894</v>
      </c>
      <c r="K8" s="268"/>
      <c r="L8" s="263">
        <f>((D8*DATA!$D$23)/1000000)+((E8*DATA!$D$24)/1000000)</f>
        <v>4.7519999999999998</v>
      </c>
      <c r="M8" s="263">
        <f t="shared" ref="M8:M32" si="2">K8+L8</f>
        <v>4.7519999999999998</v>
      </c>
      <c r="N8" s="263">
        <f ca="1">M8-J8</f>
        <v>-2.7522439298074897</v>
      </c>
      <c r="O8" s="262">
        <f>1/(1+'[93]Asumsi I'!$C$3)^(KKF!A8)</f>
        <v>0.89285714285714279</v>
      </c>
      <c r="P8" s="263">
        <f ca="1">O8*N8</f>
        <v>-2.45736065161383</v>
      </c>
      <c r="Q8" s="263">
        <f ca="1">Q7+P8</f>
        <v>-76.380103320016318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5280</v>
      </c>
      <c r="D9" s="263">
        <f t="shared" ref="D9:D32" si="5">C9*4/24</f>
        <v>880</v>
      </c>
      <c r="E9" s="263">
        <f t="shared" si="0"/>
        <v>4400</v>
      </c>
      <c r="F9" s="261"/>
      <c r="G9" s="265">
        <f ca="1">DATA!$D$11/1000000</f>
        <v>1.6512696320749998</v>
      </c>
      <c r="H9" s="265">
        <f>C9*DATA!$D$5/1000000</f>
        <v>5.7241802422811636</v>
      </c>
      <c r="I9" s="265">
        <f>(C9*DATA!$D$5*DATA!$D$7)/1000000</f>
        <v>0.12879405545132619</v>
      </c>
      <c r="J9" s="263">
        <f t="shared" ca="1" si="1"/>
        <v>7.5042439298074894</v>
      </c>
      <c r="K9" s="263"/>
      <c r="L9" s="263">
        <f>((D9*DATA!$D$23)/1000000)+((E9*DATA!$D$24)/1000000)</f>
        <v>4.7519999999999998</v>
      </c>
      <c r="M9" s="263">
        <f t="shared" si="2"/>
        <v>4.7519999999999998</v>
      </c>
      <c r="N9" s="263">
        <f t="shared" ref="N9:N32" ca="1" si="6">M9-J9</f>
        <v>-2.7522439298074897</v>
      </c>
      <c r="O9" s="269">
        <f>1/(1+'[93]Asumsi I'!$C$3)^(KKF!A9)</f>
        <v>0.79719387755102034</v>
      </c>
      <c r="P9" s="263">
        <f t="shared" ref="P9:P32" ca="1" si="7">O9*N9</f>
        <v>-2.1940720103694908</v>
      </c>
      <c r="Q9" s="263">
        <f ca="1">Q8+P9</f>
        <v>-78.574175330385813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5280</v>
      </c>
      <c r="D10" s="263">
        <f t="shared" si="5"/>
        <v>880</v>
      </c>
      <c r="E10" s="263">
        <f t="shared" si="0"/>
        <v>4400</v>
      </c>
      <c r="F10" s="261"/>
      <c r="G10" s="265">
        <f ca="1">DATA!$D$11/1000000</f>
        <v>1.6512696320749998</v>
      </c>
      <c r="H10" s="265">
        <f>C10*DATA!$D$5/1000000</f>
        <v>5.7241802422811636</v>
      </c>
      <c r="I10" s="265">
        <f>(C10*DATA!$D$5*DATA!$D$7)/1000000</f>
        <v>0.12879405545132619</v>
      </c>
      <c r="J10" s="263">
        <f t="shared" ca="1" si="1"/>
        <v>7.5042439298074894</v>
      </c>
      <c r="K10" s="261"/>
      <c r="L10" s="263">
        <f>((D10*DATA!$D$23)/1000000)+((E10*DATA!$D$24)/1000000)</f>
        <v>4.7519999999999998</v>
      </c>
      <c r="M10" s="263">
        <f t="shared" si="2"/>
        <v>4.7519999999999998</v>
      </c>
      <c r="N10" s="263">
        <f t="shared" ca="1" si="6"/>
        <v>-2.7522439298074897</v>
      </c>
      <c r="O10" s="262">
        <f>1/(1+'[93]Asumsi I'!$C$3)^(KKF!A10)</f>
        <v>0.71178024781341087</v>
      </c>
      <c r="P10" s="263">
        <f t="shared" ca="1" si="7"/>
        <v>-1.9589928664013307</v>
      </c>
      <c r="Q10" s="263">
        <f t="shared" ref="Q10:Q30" ca="1" si="9">Q9+P10</f>
        <v>-80.533168196787145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5280</v>
      </c>
      <c r="D11" s="263">
        <f t="shared" si="5"/>
        <v>880</v>
      </c>
      <c r="E11" s="263">
        <f t="shared" si="0"/>
        <v>4400</v>
      </c>
      <c r="F11" s="261"/>
      <c r="G11" s="265">
        <f ca="1">DATA!$D$11/1000000</f>
        <v>1.6512696320749998</v>
      </c>
      <c r="H11" s="265">
        <f>C11*DATA!$D$5/1000000</f>
        <v>5.7241802422811636</v>
      </c>
      <c r="I11" s="265">
        <f>(C11*DATA!$D$5*DATA!$D$7)/1000000</f>
        <v>0.12879405545132619</v>
      </c>
      <c r="J11" s="263">
        <f t="shared" ca="1" si="1"/>
        <v>7.5042439298074894</v>
      </c>
      <c r="K11" s="261"/>
      <c r="L11" s="263">
        <f>((D11*DATA!$D$23)/1000000)+((E11*DATA!$D$24)/1000000)</f>
        <v>4.7519999999999998</v>
      </c>
      <c r="M11" s="263">
        <f t="shared" si="2"/>
        <v>4.7519999999999998</v>
      </c>
      <c r="N11" s="263">
        <f t="shared" ca="1" si="6"/>
        <v>-2.7522439298074897</v>
      </c>
      <c r="O11" s="262">
        <f>1/(1+'[93]Asumsi I'!$C$3)^(KKF!A11)</f>
        <v>0.63551807840483121</v>
      </c>
      <c r="P11" s="263">
        <f t="shared" ca="1" si="7"/>
        <v>-1.749100773572617</v>
      </c>
      <c r="Q11" s="263">
        <f t="shared" ca="1" si="9"/>
        <v>-82.282268970359766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5280</v>
      </c>
      <c r="D12" s="263">
        <f t="shared" si="5"/>
        <v>880</v>
      </c>
      <c r="E12" s="263">
        <f t="shared" si="0"/>
        <v>4400</v>
      </c>
      <c r="F12" s="261"/>
      <c r="G12" s="265">
        <f ca="1">DATA!$D$11/1000000</f>
        <v>1.6512696320749998</v>
      </c>
      <c r="H12" s="265">
        <f>C12*DATA!$D$5/1000000</f>
        <v>5.7241802422811636</v>
      </c>
      <c r="I12" s="265">
        <f>(C12*DATA!$D$5*DATA!$D$7)/1000000</f>
        <v>0.12879405545132619</v>
      </c>
      <c r="J12" s="263">
        <f t="shared" ca="1" si="1"/>
        <v>7.5042439298074894</v>
      </c>
      <c r="K12" s="261"/>
      <c r="L12" s="263">
        <f>((D12*DATA!$D$23)/1000000)+((E12*DATA!$D$24)/1000000)</f>
        <v>4.7519999999999998</v>
      </c>
      <c r="M12" s="263">
        <f t="shared" si="2"/>
        <v>4.7519999999999998</v>
      </c>
      <c r="N12" s="263">
        <f t="shared" ca="1" si="6"/>
        <v>-2.7522439298074897</v>
      </c>
      <c r="O12" s="262">
        <f>1/(1+'[93]Asumsi I'!$C$3)^(KKF!A12)</f>
        <v>0.56742685571859919</v>
      </c>
      <c r="P12" s="263">
        <f t="shared" ca="1" si="7"/>
        <v>-1.561697119261265</v>
      </c>
      <c r="Q12" s="263">
        <f t="shared" ca="1" si="9"/>
        <v>-83.843966089621034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5280</v>
      </c>
      <c r="D13" s="263">
        <f t="shared" si="5"/>
        <v>880</v>
      </c>
      <c r="E13" s="263">
        <f t="shared" si="0"/>
        <v>4400</v>
      </c>
      <c r="F13" s="261"/>
      <c r="G13" s="265">
        <f ca="1">DATA!$D$11/1000000</f>
        <v>1.6512696320749998</v>
      </c>
      <c r="H13" s="265">
        <f>C13*DATA!$D$5/1000000</f>
        <v>5.7241802422811636</v>
      </c>
      <c r="I13" s="265">
        <f>(C13*DATA!$D$5*DATA!$D$7)/1000000</f>
        <v>0.12879405545132619</v>
      </c>
      <c r="J13" s="263">
        <f t="shared" ca="1" si="1"/>
        <v>7.5042439298074894</v>
      </c>
      <c r="K13" s="261"/>
      <c r="L13" s="263">
        <f>((D13*DATA!$D$23)/1000000)+((E13*DATA!$D$24)/1000000)</f>
        <v>4.7519999999999998</v>
      </c>
      <c r="M13" s="263">
        <f t="shared" si="2"/>
        <v>4.7519999999999998</v>
      </c>
      <c r="N13" s="263">
        <f t="shared" ca="1" si="6"/>
        <v>-2.7522439298074897</v>
      </c>
      <c r="O13" s="262">
        <f>1/(1+'[93]Asumsi I'!$C$3)^(KKF!A13)</f>
        <v>0.50663112117732068</v>
      </c>
      <c r="P13" s="263">
        <f t="shared" ca="1" si="7"/>
        <v>-1.3943724279118435</v>
      </c>
      <c r="Q13" s="263">
        <f t="shared" ca="1" si="9"/>
        <v>-85.238338517532881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5280</v>
      </c>
      <c r="D14" s="263">
        <f t="shared" si="5"/>
        <v>880</v>
      </c>
      <c r="E14" s="263">
        <f t="shared" si="0"/>
        <v>4400</v>
      </c>
      <c r="F14" s="261"/>
      <c r="G14" s="265">
        <f ca="1">DATA!$D$11/1000000</f>
        <v>1.6512696320749998</v>
      </c>
      <c r="H14" s="265">
        <f>C14*DATA!$D$5/1000000</f>
        <v>5.7241802422811636</v>
      </c>
      <c r="I14" s="265">
        <f>(C14*DATA!$D$5*DATA!$D$7)/1000000</f>
        <v>0.12879405545132619</v>
      </c>
      <c r="J14" s="263">
        <f t="shared" ca="1" si="1"/>
        <v>7.5042439298074894</v>
      </c>
      <c r="K14" s="261"/>
      <c r="L14" s="263">
        <f>((D14*DATA!$D$23)/1000000)+((E14*DATA!$D$24)/1000000)</f>
        <v>4.7519999999999998</v>
      </c>
      <c r="M14" s="263">
        <f t="shared" si="2"/>
        <v>4.7519999999999998</v>
      </c>
      <c r="N14" s="263">
        <f t="shared" ca="1" si="6"/>
        <v>-2.7522439298074897</v>
      </c>
      <c r="O14" s="262">
        <f>1/(1+'[93]Asumsi I'!$C$3)^(KKF!A14)</f>
        <v>0.45234921533689343</v>
      </c>
      <c r="P14" s="263">
        <f t="shared" ca="1" si="7"/>
        <v>-1.244975382064146</v>
      </c>
      <c r="Q14" s="263">
        <f t="shared" ca="1" si="9"/>
        <v>-86.483313899597022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5280</v>
      </c>
      <c r="D15" s="263">
        <f t="shared" si="5"/>
        <v>880</v>
      </c>
      <c r="E15" s="263">
        <f t="shared" si="0"/>
        <v>4400</v>
      </c>
      <c r="F15" s="261"/>
      <c r="G15" s="265">
        <f ca="1">DATA!$D$11/1000000</f>
        <v>1.6512696320749998</v>
      </c>
      <c r="H15" s="265">
        <f>C15*DATA!$D$5/1000000</f>
        <v>5.7241802422811636</v>
      </c>
      <c r="I15" s="265">
        <f>(C15*DATA!$D$5*DATA!$D$7)/1000000</f>
        <v>0.12879405545132619</v>
      </c>
      <c r="J15" s="263">
        <f t="shared" ca="1" si="1"/>
        <v>7.5042439298074894</v>
      </c>
      <c r="K15" s="261"/>
      <c r="L15" s="263">
        <f>((D15*DATA!$D$23)/1000000)+((E15*DATA!$D$24)/1000000)</f>
        <v>4.7519999999999998</v>
      </c>
      <c r="M15" s="263">
        <f t="shared" si="2"/>
        <v>4.7519999999999998</v>
      </c>
      <c r="N15" s="263">
        <f t="shared" ca="1" si="6"/>
        <v>-2.7522439298074897</v>
      </c>
      <c r="O15" s="262">
        <f>1/(1+'[93]Asumsi I'!$C$3)^(KKF!A15)</f>
        <v>0.4038832279793691</v>
      </c>
      <c r="P15" s="263">
        <f t="shared" ca="1" si="7"/>
        <v>-1.111585162557273</v>
      </c>
      <c r="Q15" s="263">
        <f t="shared" ca="1" si="9"/>
        <v>-87.594899062154298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5280</v>
      </c>
      <c r="D16" s="263">
        <f t="shared" si="5"/>
        <v>880</v>
      </c>
      <c r="E16" s="263">
        <f t="shared" si="0"/>
        <v>4400</v>
      </c>
      <c r="F16" s="261"/>
      <c r="G16" s="265">
        <f ca="1">DATA!$D$11/1000000</f>
        <v>1.6512696320749998</v>
      </c>
      <c r="H16" s="265">
        <f>C16*DATA!$D$5/1000000</f>
        <v>5.7241802422811636</v>
      </c>
      <c r="I16" s="265">
        <f>(C16*DATA!$D$5*DATA!$D$7)/1000000</f>
        <v>0.12879405545132619</v>
      </c>
      <c r="J16" s="263">
        <f t="shared" ca="1" si="1"/>
        <v>7.5042439298074894</v>
      </c>
      <c r="K16" s="261"/>
      <c r="L16" s="263">
        <f>((D16*DATA!$D$23)/1000000)+((E16*DATA!$D$24)/1000000)</f>
        <v>4.7519999999999998</v>
      </c>
      <c r="M16" s="263">
        <f t="shared" si="2"/>
        <v>4.7519999999999998</v>
      </c>
      <c r="N16" s="263">
        <f t="shared" ca="1" si="6"/>
        <v>-2.7522439298074897</v>
      </c>
      <c r="O16" s="262">
        <f>1/(1+'[93]Asumsi I'!$C$3)^(KKF!A16)</f>
        <v>0.36061002498157957</v>
      </c>
      <c r="P16" s="263">
        <f t="shared" ca="1" si="7"/>
        <v>-0.99248675228327954</v>
      </c>
      <c r="Q16" s="263">
        <f t="shared" ca="1" si="9"/>
        <v>-88.587385814437582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5280</v>
      </c>
      <c r="D17" s="263">
        <f t="shared" si="5"/>
        <v>880</v>
      </c>
      <c r="E17" s="263">
        <f t="shared" si="0"/>
        <v>4400</v>
      </c>
      <c r="F17" s="261"/>
      <c r="G17" s="265">
        <f ca="1">DATA!$D$11/1000000</f>
        <v>1.6512696320749998</v>
      </c>
      <c r="H17" s="265">
        <f>C17*DATA!$D$5/1000000</f>
        <v>5.7241802422811636</v>
      </c>
      <c r="I17" s="265">
        <f>(C17*DATA!$D$5*DATA!$D$7)/1000000</f>
        <v>0.12879405545132619</v>
      </c>
      <c r="J17" s="263">
        <f t="shared" ca="1" si="1"/>
        <v>7.5042439298074894</v>
      </c>
      <c r="K17" s="261"/>
      <c r="L17" s="263">
        <f>((D17*DATA!$D$23)/1000000)+((E17*DATA!$D$24)/1000000)</f>
        <v>4.7519999999999998</v>
      </c>
      <c r="M17" s="263">
        <f t="shared" si="2"/>
        <v>4.7519999999999998</v>
      </c>
      <c r="N17" s="263">
        <f t="shared" ca="1" si="6"/>
        <v>-2.7522439298074897</v>
      </c>
      <c r="O17" s="262">
        <f>1/(1+'[93]Asumsi I'!$C$3)^(KKF!A17)</f>
        <v>0.32197323659069599</v>
      </c>
      <c r="P17" s="263">
        <f t="shared" ca="1" si="7"/>
        <v>-0.88614888596721375</v>
      </c>
      <c r="Q17" s="263">
        <f t="shared" ca="1" si="9"/>
        <v>-89.473534700404798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5280</v>
      </c>
      <c r="D18" s="263">
        <f t="shared" si="5"/>
        <v>880</v>
      </c>
      <c r="E18" s="263">
        <f t="shared" si="0"/>
        <v>4400</v>
      </c>
      <c r="F18" s="261"/>
      <c r="G18" s="265">
        <f ca="1">DATA!$D$11/1000000</f>
        <v>1.6512696320749998</v>
      </c>
      <c r="H18" s="265">
        <f>C18*DATA!$D$5/1000000</f>
        <v>5.7241802422811636</v>
      </c>
      <c r="I18" s="265">
        <f>(C18*DATA!$D$5*DATA!$D$7)/1000000</f>
        <v>0.12879405545132619</v>
      </c>
      <c r="J18" s="263">
        <f t="shared" ca="1" si="1"/>
        <v>7.5042439298074894</v>
      </c>
      <c r="K18" s="261"/>
      <c r="L18" s="263">
        <f>((D18*DATA!$D$23)/1000000)+((E18*DATA!$D$24)/1000000)</f>
        <v>4.7519999999999998</v>
      </c>
      <c r="M18" s="263">
        <f t="shared" si="2"/>
        <v>4.7519999999999998</v>
      </c>
      <c r="N18" s="263">
        <f t="shared" ca="1" si="6"/>
        <v>-2.7522439298074897</v>
      </c>
      <c r="O18" s="262">
        <f>1/(1+'[93]Asumsi I'!$C$3)^(KKF!A18)</f>
        <v>0.28747610409883567</v>
      </c>
      <c r="P18" s="263">
        <f t="shared" ca="1" si="7"/>
        <v>-0.79120436247072645</v>
      </c>
      <c r="Q18" s="263">
        <f t="shared" ca="1" si="9"/>
        <v>-90.26473906287552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5280</v>
      </c>
      <c r="D19" s="263">
        <f t="shared" si="5"/>
        <v>880</v>
      </c>
      <c r="E19" s="263">
        <f t="shared" si="0"/>
        <v>4400</v>
      </c>
      <c r="F19" s="261"/>
      <c r="G19" s="265">
        <f ca="1">DATA!$D$11/1000000</f>
        <v>1.6512696320749998</v>
      </c>
      <c r="H19" s="265">
        <f>C19*DATA!$D$5/1000000</f>
        <v>5.7241802422811636</v>
      </c>
      <c r="I19" s="265">
        <f>(C19*DATA!$D$5*DATA!$D$7)/1000000</f>
        <v>0.12879405545132619</v>
      </c>
      <c r="J19" s="263">
        <f t="shared" ca="1" si="1"/>
        <v>7.5042439298074894</v>
      </c>
      <c r="K19" s="261"/>
      <c r="L19" s="263">
        <f>((D19*DATA!$D$23)/1000000)+((E19*DATA!$D$24)/1000000)</f>
        <v>4.7519999999999998</v>
      </c>
      <c r="M19" s="263">
        <f t="shared" si="2"/>
        <v>4.7519999999999998</v>
      </c>
      <c r="N19" s="263">
        <f t="shared" ca="1" si="6"/>
        <v>-2.7522439298074897</v>
      </c>
      <c r="O19" s="262">
        <f>1/(1+'[93]Asumsi I'!$C$3)^(KKF!A19)</f>
        <v>0.25667509294538904</v>
      </c>
      <c r="P19" s="263">
        <f t="shared" ca="1" si="7"/>
        <v>-0.7064324664917202</v>
      </c>
      <c r="Q19" s="263">
        <f t="shared" ca="1" si="9"/>
        <v>-90.97117152936724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5280</v>
      </c>
      <c r="D20" s="263">
        <f t="shared" si="5"/>
        <v>880</v>
      </c>
      <c r="E20" s="263">
        <f t="shared" si="0"/>
        <v>4400</v>
      </c>
      <c r="F20" s="261"/>
      <c r="G20" s="265">
        <f ca="1">DATA!$D$11/1000000</f>
        <v>1.6512696320749998</v>
      </c>
      <c r="H20" s="265">
        <f>C20*DATA!$D$5/1000000</f>
        <v>5.7241802422811636</v>
      </c>
      <c r="I20" s="265">
        <f>(C20*DATA!$D$5*DATA!$D$7)/1000000</f>
        <v>0.12879405545132619</v>
      </c>
      <c r="J20" s="263">
        <f t="shared" ca="1" si="1"/>
        <v>7.5042439298074894</v>
      </c>
      <c r="K20" s="261"/>
      <c r="L20" s="263">
        <f>((D20*DATA!$D$23)/1000000)+((E20*DATA!$D$24)/1000000)</f>
        <v>4.7519999999999998</v>
      </c>
      <c r="M20" s="263">
        <f t="shared" si="2"/>
        <v>4.7519999999999998</v>
      </c>
      <c r="N20" s="263">
        <f t="shared" ca="1" si="6"/>
        <v>-2.7522439298074897</v>
      </c>
      <c r="O20" s="262">
        <f>1/(1+'[93]Asumsi I'!$C$3)^(KKF!A20)</f>
        <v>0.22917419012981158</v>
      </c>
      <c r="P20" s="263">
        <f t="shared" ca="1" si="7"/>
        <v>-0.63074327365332139</v>
      </c>
      <c r="Q20" s="263">
        <f t="shared" ca="1" si="9"/>
        <v>-91.601914803020563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5280</v>
      </c>
      <c r="D21" s="263">
        <f t="shared" si="5"/>
        <v>880</v>
      </c>
      <c r="E21" s="263">
        <f t="shared" si="0"/>
        <v>4400</v>
      </c>
      <c r="F21" s="261"/>
      <c r="G21" s="265">
        <f ca="1">DATA!$D$11/1000000</f>
        <v>1.6512696320749998</v>
      </c>
      <c r="H21" s="265">
        <f>C21*DATA!$D$5/1000000</f>
        <v>5.7241802422811636</v>
      </c>
      <c r="I21" s="265">
        <f>(C21*DATA!$D$5*DATA!$D$7)/1000000</f>
        <v>0.12879405545132619</v>
      </c>
      <c r="J21" s="263">
        <f t="shared" ca="1" si="1"/>
        <v>7.5042439298074894</v>
      </c>
      <c r="K21" s="261"/>
      <c r="L21" s="263">
        <f>((D21*DATA!$D$23)/1000000)+((E21*DATA!$D$24)/1000000)</f>
        <v>4.7519999999999998</v>
      </c>
      <c r="M21" s="263">
        <f t="shared" si="2"/>
        <v>4.7519999999999998</v>
      </c>
      <c r="N21" s="263">
        <f t="shared" ca="1" si="6"/>
        <v>-2.7522439298074897</v>
      </c>
      <c r="O21" s="262">
        <f>1/(1+'[93]Asumsi I'!$C$3)^(KKF!A21)</f>
        <v>0.20461981261590317</v>
      </c>
      <c r="P21" s="263">
        <f t="shared" ca="1" si="7"/>
        <v>-0.56316363719046547</v>
      </c>
      <c r="Q21" s="263">
        <f t="shared" ca="1" si="9"/>
        <v>-92.165078440211033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5280</v>
      </c>
      <c r="D22" s="263">
        <f t="shared" si="5"/>
        <v>880</v>
      </c>
      <c r="E22" s="263">
        <f t="shared" si="0"/>
        <v>4400</v>
      </c>
      <c r="F22" s="261"/>
      <c r="G22" s="265">
        <f ca="1">DATA!$D$11/1000000</f>
        <v>1.6512696320749998</v>
      </c>
      <c r="H22" s="265">
        <f>C22*DATA!$D$5/1000000</f>
        <v>5.7241802422811636</v>
      </c>
      <c r="I22" s="265">
        <f>(C22*DATA!$D$5*DATA!$D$7)/1000000</f>
        <v>0.12879405545132619</v>
      </c>
      <c r="J22" s="263">
        <f t="shared" ca="1" si="1"/>
        <v>7.5042439298074894</v>
      </c>
      <c r="K22" s="261"/>
      <c r="L22" s="263">
        <f>((D22*DATA!$D$23)/1000000)+((E22*DATA!$D$24)/1000000)</f>
        <v>4.7519999999999998</v>
      </c>
      <c r="M22" s="263">
        <f t="shared" si="2"/>
        <v>4.7519999999999998</v>
      </c>
      <c r="N22" s="263">
        <f t="shared" ca="1" si="6"/>
        <v>-2.7522439298074897</v>
      </c>
      <c r="O22" s="262">
        <f>1/(1+'[93]Asumsi I'!$C$3)^(KKF!A22)</f>
        <v>0.18269626126419927</v>
      </c>
      <c r="P22" s="263">
        <f t="shared" ca="1" si="7"/>
        <v>-0.5028246760629157</v>
      </c>
      <c r="Q22" s="263">
        <f t="shared" ca="1" si="9"/>
        <v>-92.667903116273948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5280</v>
      </c>
      <c r="D23" s="263">
        <f t="shared" si="5"/>
        <v>880</v>
      </c>
      <c r="E23" s="263">
        <f t="shared" si="0"/>
        <v>4400</v>
      </c>
      <c r="F23" s="261"/>
      <c r="G23" s="265">
        <f ca="1">DATA!$D$11/1000000</f>
        <v>1.6512696320749998</v>
      </c>
      <c r="H23" s="265">
        <f>C23*DATA!$D$5/1000000</f>
        <v>5.7241802422811636</v>
      </c>
      <c r="I23" s="265">
        <f>(C23*DATA!$D$5*DATA!$D$7)/1000000</f>
        <v>0.12879405545132619</v>
      </c>
      <c r="J23" s="263">
        <f t="shared" ca="1" si="1"/>
        <v>7.5042439298074894</v>
      </c>
      <c r="K23" s="261"/>
      <c r="L23" s="263">
        <f>((D23*DATA!$D$23)/1000000)+((E23*DATA!$D$24)/1000000)</f>
        <v>4.7519999999999998</v>
      </c>
      <c r="M23" s="263">
        <f t="shared" si="2"/>
        <v>4.7519999999999998</v>
      </c>
      <c r="N23" s="263">
        <f t="shared" ca="1" si="6"/>
        <v>-2.7522439298074897</v>
      </c>
      <c r="O23" s="262">
        <f>1/(1+'[93]Asumsi I'!$C$3)^(KKF!A23)</f>
        <v>0.16312166184303503</v>
      </c>
      <c r="P23" s="263">
        <f t="shared" ca="1" si="7"/>
        <v>-0.4489506036276032</v>
      </c>
      <c r="Q23" s="263">
        <f t="shared" ca="1" si="9"/>
        <v>-93.116853719901556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5280</v>
      </c>
      <c r="D24" s="263">
        <f t="shared" si="5"/>
        <v>880</v>
      </c>
      <c r="E24" s="263">
        <f t="shared" si="0"/>
        <v>4400</v>
      </c>
      <c r="F24" s="261"/>
      <c r="G24" s="265">
        <f ca="1">DATA!$D$11/1000000</f>
        <v>1.6512696320749998</v>
      </c>
      <c r="H24" s="265">
        <f>C24*DATA!$D$5/1000000</f>
        <v>5.7241802422811636</v>
      </c>
      <c r="I24" s="265">
        <f>(C24*DATA!$D$5*DATA!$D$7)/1000000</f>
        <v>0.12879405545132619</v>
      </c>
      <c r="J24" s="263">
        <f t="shared" ca="1" si="1"/>
        <v>7.5042439298074894</v>
      </c>
      <c r="K24" s="261"/>
      <c r="L24" s="263">
        <f>((D24*DATA!$D$23)/1000000)+((E24*DATA!$D$24)/1000000)</f>
        <v>4.7519999999999998</v>
      </c>
      <c r="M24" s="263">
        <f t="shared" si="2"/>
        <v>4.7519999999999998</v>
      </c>
      <c r="N24" s="263">
        <f t="shared" ca="1" si="6"/>
        <v>-2.7522439298074897</v>
      </c>
      <c r="O24" s="262">
        <f>1/(1+'[93]Asumsi I'!$C$3)^(KKF!A24)</f>
        <v>0.14564434093128129</v>
      </c>
      <c r="P24" s="263">
        <f t="shared" ca="1" si="7"/>
        <v>-0.40084875323893143</v>
      </c>
      <c r="Q24" s="263">
        <f t="shared" ca="1" si="9"/>
        <v>-93.517702473140488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5280</v>
      </c>
      <c r="D25" s="263">
        <f t="shared" si="5"/>
        <v>880</v>
      </c>
      <c r="E25" s="263">
        <f t="shared" si="0"/>
        <v>4400</v>
      </c>
      <c r="F25" s="261"/>
      <c r="G25" s="265">
        <f ca="1">DATA!$D$11/1000000</f>
        <v>1.6512696320749998</v>
      </c>
      <c r="H25" s="265">
        <f>C25*DATA!$D$5/1000000</f>
        <v>5.7241802422811636</v>
      </c>
      <c r="I25" s="265">
        <f>(C25*DATA!$D$5*DATA!$D$7)/1000000</f>
        <v>0.12879405545132619</v>
      </c>
      <c r="J25" s="263">
        <f t="shared" ca="1" si="1"/>
        <v>7.5042439298074894</v>
      </c>
      <c r="K25" s="261"/>
      <c r="L25" s="263">
        <f>((D25*DATA!$D$23)/1000000)+((E25*DATA!$D$24)/1000000)</f>
        <v>4.7519999999999998</v>
      </c>
      <c r="M25" s="263">
        <f t="shared" si="2"/>
        <v>4.7519999999999998</v>
      </c>
      <c r="N25" s="263">
        <f t="shared" ca="1" si="6"/>
        <v>-2.7522439298074897</v>
      </c>
      <c r="O25" s="262">
        <f>1/(1+'[93]Asumsi I'!$C$3)^(KKF!A25)</f>
        <v>0.13003959011721541</v>
      </c>
      <c r="P25" s="263">
        <f t="shared" ca="1" si="7"/>
        <v>-0.35790067253476016</v>
      </c>
      <c r="Q25" s="263">
        <f t="shared" ca="1" si="9"/>
        <v>-93.875603145675242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5280</v>
      </c>
      <c r="D26" s="263">
        <f t="shared" si="5"/>
        <v>880</v>
      </c>
      <c r="E26" s="263">
        <f t="shared" si="0"/>
        <v>4400</v>
      </c>
      <c r="F26" s="261"/>
      <c r="G26" s="265">
        <f ca="1">DATA!$D$11/1000000</f>
        <v>1.6512696320749998</v>
      </c>
      <c r="H26" s="265">
        <f>C26*DATA!$D$5/1000000</f>
        <v>5.7241802422811636</v>
      </c>
      <c r="I26" s="265">
        <f>(C26*DATA!$D$5*DATA!$D$7)/1000000</f>
        <v>0.12879405545132619</v>
      </c>
      <c r="J26" s="263">
        <f t="shared" ca="1" si="1"/>
        <v>7.5042439298074894</v>
      </c>
      <c r="K26" s="261"/>
      <c r="L26" s="263">
        <f>((D26*DATA!$D$23)/1000000)+((E26*DATA!$D$24)/1000000)</f>
        <v>4.7519999999999998</v>
      </c>
      <c r="M26" s="263">
        <f t="shared" si="2"/>
        <v>4.7519999999999998</v>
      </c>
      <c r="N26" s="263">
        <f t="shared" ca="1" si="6"/>
        <v>-2.7522439298074897</v>
      </c>
      <c r="O26" s="262">
        <f>1/(1+'[93]Asumsi I'!$C$3)^(KKF!A26)</f>
        <v>0.1161067768903709</v>
      </c>
      <c r="P26" s="263">
        <f t="shared" ca="1" si="7"/>
        <v>-0.3195541719060358</v>
      </c>
      <c r="Q26" s="263">
        <f t="shared" ca="1" si="9"/>
        <v>-94.195157317581277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5280</v>
      </c>
      <c r="D27" s="263">
        <f t="shared" si="5"/>
        <v>880</v>
      </c>
      <c r="E27" s="263">
        <f t="shared" si="0"/>
        <v>4400</v>
      </c>
      <c r="F27" s="261"/>
      <c r="G27" s="265">
        <f ca="1">DATA!$D$11/1000000</f>
        <v>1.6512696320749998</v>
      </c>
      <c r="H27" s="265">
        <f>C27*DATA!$D$5/1000000</f>
        <v>5.7241802422811636</v>
      </c>
      <c r="I27" s="265">
        <f>(C27*DATA!$D$5*DATA!$D$7)/1000000</f>
        <v>0.12879405545132619</v>
      </c>
      <c r="J27" s="263">
        <f t="shared" ca="1" si="1"/>
        <v>7.5042439298074894</v>
      </c>
      <c r="K27" s="261"/>
      <c r="L27" s="263">
        <f>((D27*DATA!$D$23)/1000000)+((E27*DATA!$D$24)/1000000)</f>
        <v>4.7519999999999998</v>
      </c>
      <c r="M27" s="263">
        <f t="shared" si="2"/>
        <v>4.7519999999999998</v>
      </c>
      <c r="N27" s="263">
        <f t="shared" ca="1" si="6"/>
        <v>-2.7522439298074897</v>
      </c>
      <c r="O27" s="262">
        <f>1/(1+'[93]Asumsi I'!$C$3)^(KKF!A27)</f>
        <v>0.1036667650806883</v>
      </c>
      <c r="P27" s="263">
        <f t="shared" ca="1" si="7"/>
        <v>-0.28531622491610342</v>
      </c>
      <c r="Q27" s="263">
        <f t="shared" ca="1" si="9"/>
        <v>-94.480473542497379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5280</v>
      </c>
      <c r="D28" s="263">
        <f t="shared" si="5"/>
        <v>880</v>
      </c>
      <c r="E28" s="263">
        <f t="shared" si="0"/>
        <v>4400</v>
      </c>
      <c r="F28" s="261"/>
      <c r="G28" s="265">
        <f ca="1">DATA!$D$11/1000000</f>
        <v>1.6512696320749998</v>
      </c>
      <c r="H28" s="265">
        <f>C28*DATA!$D$5/1000000</f>
        <v>5.7241802422811636</v>
      </c>
      <c r="I28" s="265">
        <f>(C28*DATA!$D$5*DATA!$D$7)/1000000</f>
        <v>0.12879405545132619</v>
      </c>
      <c r="J28" s="263">
        <f t="shared" ca="1" si="1"/>
        <v>7.5042439298074894</v>
      </c>
      <c r="K28" s="261"/>
      <c r="L28" s="263">
        <f>((D28*DATA!$D$23)/1000000)+((E28*DATA!$D$24)/1000000)</f>
        <v>4.7519999999999998</v>
      </c>
      <c r="M28" s="263">
        <f t="shared" si="2"/>
        <v>4.7519999999999998</v>
      </c>
      <c r="N28" s="263">
        <f t="shared" ca="1" si="6"/>
        <v>-2.7522439298074897</v>
      </c>
      <c r="O28" s="262">
        <f>1/(1+'[93]Asumsi I'!$C$3)^(KKF!A28)</f>
        <v>9.2559611679185971E-2</v>
      </c>
      <c r="P28" s="263">
        <f t="shared" ca="1" si="7"/>
        <v>-0.25474662938937803</v>
      </c>
      <c r="Q28" s="263">
        <f t="shared" ca="1" si="9"/>
        <v>-94.735220171886752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5280</v>
      </c>
      <c r="D29" s="263">
        <f t="shared" si="5"/>
        <v>880</v>
      </c>
      <c r="E29" s="263">
        <f t="shared" si="0"/>
        <v>4400</v>
      </c>
      <c r="F29" s="261"/>
      <c r="G29" s="265">
        <f ca="1">DATA!$D$11/1000000</f>
        <v>1.6512696320749998</v>
      </c>
      <c r="H29" s="265">
        <f>C29*DATA!$D$5/1000000</f>
        <v>5.7241802422811636</v>
      </c>
      <c r="I29" s="265">
        <f>(C29*DATA!$D$5*DATA!$D$7)/1000000</f>
        <v>0.12879405545132619</v>
      </c>
      <c r="J29" s="263">
        <f t="shared" ca="1" si="1"/>
        <v>7.5042439298074894</v>
      </c>
      <c r="K29" s="261"/>
      <c r="L29" s="263">
        <f>((D29*DATA!$D$23)/1000000)+((E29*DATA!$D$24)/1000000)</f>
        <v>4.7519999999999998</v>
      </c>
      <c r="M29" s="263">
        <f t="shared" si="2"/>
        <v>4.7519999999999998</v>
      </c>
      <c r="N29" s="263">
        <f t="shared" ca="1" si="6"/>
        <v>-2.7522439298074897</v>
      </c>
      <c r="O29" s="262">
        <f>1/(1+'[93]Asumsi I'!$C$3)^(KKF!A29)</f>
        <v>8.2642510427844609E-2</v>
      </c>
      <c r="P29" s="263">
        <f t="shared" ca="1" si="7"/>
        <v>-0.22745234766908748</v>
      </c>
      <c r="Q29" s="263">
        <f t="shared" ca="1" si="9"/>
        <v>-94.962672519555838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5280</v>
      </c>
      <c r="D30" s="263">
        <f t="shared" si="5"/>
        <v>880</v>
      </c>
      <c r="E30" s="263">
        <f t="shared" si="0"/>
        <v>4400</v>
      </c>
      <c r="F30" s="261"/>
      <c r="G30" s="265">
        <f ca="1">DATA!$D$11/1000000</f>
        <v>1.6512696320749998</v>
      </c>
      <c r="H30" s="265">
        <f>C30*DATA!$D$5/1000000</f>
        <v>5.7241802422811636</v>
      </c>
      <c r="I30" s="265">
        <f>(C30*DATA!$D$5*DATA!$D$7)/1000000</f>
        <v>0.12879405545132619</v>
      </c>
      <c r="J30" s="263">
        <f t="shared" ca="1" si="1"/>
        <v>7.5042439298074894</v>
      </c>
      <c r="K30" s="261"/>
      <c r="L30" s="263">
        <f>((D30*DATA!$D$23)/1000000)+((E30*DATA!$D$24)/1000000)</f>
        <v>4.7519999999999998</v>
      </c>
      <c r="M30" s="263">
        <f t="shared" si="2"/>
        <v>4.7519999999999998</v>
      </c>
      <c r="N30" s="263">
        <f t="shared" ca="1" si="6"/>
        <v>-2.7522439298074897</v>
      </c>
      <c r="O30" s="262">
        <f>1/(1+'[93]Asumsi I'!$C$3)^(KKF!A30)</f>
        <v>7.3787955739146982E-2</v>
      </c>
      <c r="P30" s="263">
        <f t="shared" ca="1" si="7"/>
        <v>-0.20308245327597099</v>
      </c>
      <c r="Q30" s="263">
        <f t="shared" ca="1" si="9"/>
        <v>-95.165754972831806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5280</v>
      </c>
      <c r="D31" s="263">
        <f t="shared" si="5"/>
        <v>880</v>
      </c>
      <c r="E31" s="263">
        <f t="shared" si="0"/>
        <v>4400</v>
      </c>
      <c r="F31" s="261"/>
      <c r="G31" s="265">
        <f ca="1">DATA!$D$11/1000000</f>
        <v>1.6512696320749998</v>
      </c>
      <c r="H31" s="265">
        <f>C31*DATA!$D$5/1000000</f>
        <v>5.7241802422811636</v>
      </c>
      <c r="I31" s="265">
        <f>(C31*DATA!$D$5*DATA!$D$7)/1000000</f>
        <v>0.12879405545132619</v>
      </c>
      <c r="J31" s="263">
        <f t="shared" ca="1" si="1"/>
        <v>7.5042439298074894</v>
      </c>
      <c r="K31" s="261"/>
      <c r="L31" s="263">
        <f>((D31*DATA!$D$23)/1000000)+((E31*DATA!$D$24)/1000000)</f>
        <v>4.7519999999999998</v>
      </c>
      <c r="M31" s="263">
        <f t="shared" si="2"/>
        <v>4.7519999999999998</v>
      </c>
      <c r="N31" s="263">
        <f t="shared" ca="1" si="6"/>
        <v>-2.7522439298074897</v>
      </c>
      <c r="O31" s="262">
        <f>1/(1+'[93]Asumsi I'!$C$3)^(KKF!A31)</f>
        <v>6.5882103338524081E-2</v>
      </c>
      <c r="P31" s="263">
        <f t="shared" ca="1" si="7"/>
        <v>-0.18132361899640265</v>
      </c>
      <c r="Q31" s="263">
        <f ca="1">Q30+P31</f>
        <v>-95.347078591828208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5280</v>
      </c>
      <c r="D32" s="263">
        <f t="shared" si="5"/>
        <v>880</v>
      </c>
      <c r="E32" s="263">
        <f t="shared" si="0"/>
        <v>4400</v>
      </c>
      <c r="F32" s="261"/>
      <c r="G32" s="265">
        <f ca="1">DATA!$D$11/1000000</f>
        <v>1.6512696320749998</v>
      </c>
      <c r="H32" s="265">
        <f>C32*DATA!$D$5/1000000</f>
        <v>5.7241802422811636</v>
      </c>
      <c r="I32" s="265">
        <f>(C32*DATA!$D$5*DATA!$D$7)/1000000</f>
        <v>0.12879405545132619</v>
      </c>
      <c r="J32" s="263">
        <f t="shared" ca="1" si="1"/>
        <v>7.5042439298074894</v>
      </c>
      <c r="K32" s="261"/>
      <c r="L32" s="263">
        <f>((D32*DATA!$D$23)/1000000)+((E32*DATA!$D$24)/1000000)</f>
        <v>4.7519999999999998</v>
      </c>
      <c r="M32" s="263">
        <f t="shared" si="2"/>
        <v>4.7519999999999998</v>
      </c>
      <c r="N32" s="263">
        <f t="shared" ca="1" si="6"/>
        <v>-2.7522439298074897</v>
      </c>
      <c r="O32" s="262">
        <f>1/(1+'[93]Asumsi I'!$C$3)^(KKF!A32)</f>
        <v>5.8823306552253637E-2</v>
      </c>
      <c r="P32" s="263">
        <f t="shared" ca="1" si="7"/>
        <v>-0.1618960883896452</v>
      </c>
      <c r="Q32" s="263">
        <f ca="1">Q31+P32</f>
        <v>-95.508974680217847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4" t="s">
        <v>1373</v>
      </c>
      <c r="G33" s="614"/>
      <c r="H33" s="614"/>
      <c r="I33" s="271"/>
      <c r="J33" s="272">
        <f ca="1">SUM(J7:J32)</f>
        <v>273.77184091358993</v>
      </c>
      <c r="K33" s="614" t="s">
        <v>1374</v>
      </c>
      <c r="L33" s="614"/>
      <c r="M33" s="272">
        <f>SUM(M7:M32)</f>
        <v>131.04299999999995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-31.307451252850793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0.47865770110871553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-85.275870250194501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4" priority="1" stopIfTrue="1" operator="greaterThanOrEqual">
      <formula>$F$7</formula>
    </cfRule>
    <cfRule type="cellIs" dxfId="23" priority="2" stopIfTrue="1" operator="lessThan">
      <formula>$F$7</formula>
    </cfRule>
  </conditionalFormatting>
  <conditionalFormatting sqref="Q7:Q32">
    <cfRule type="cellIs" dxfId="22" priority="3" operator="lessThan">
      <formula>0</formula>
    </cfRule>
    <cfRule type="cellIs" dxfId="21" priority="4" operator="lessThan">
      <formula>0</formula>
    </cfRule>
    <cfRule type="cellIs" dxfId="20" priority="5" operator="lessThan">
      <formula>-6395.81</formula>
    </cfRule>
    <cfRule type="cellIs" dxfId="1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48"/>
  <sheetViews>
    <sheetView showGridLines="0" zoomScale="70" zoomScaleNormal="70" zoomScaleSheetLayoutView="70" workbookViewId="0">
      <pane ySplit="13" topLeftCell="A14" activePane="bottomLeft" state="frozen"/>
      <selection activeCell="H1093" sqref="H1093"/>
      <selection pane="bottomLeft" activeCell="H122" sqref="H122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4" customWidth="1"/>
    <col min="4" max="4" width="13.7109375" style="354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17" t="s">
        <v>1036</v>
      </c>
      <c r="P3" s="617"/>
      <c r="Q3" s="293"/>
      <c r="T3" s="291"/>
      <c r="U3" s="292" t="s">
        <v>1041</v>
      </c>
      <c r="V3" s="291"/>
    </row>
    <row r="4" spans="1:22" ht="15.75" customHeight="1">
      <c r="B4" s="618" t="s">
        <v>1023</v>
      </c>
      <c r="C4" s="618"/>
      <c r="D4" s="618"/>
      <c r="E4" s="618"/>
      <c r="F4" s="618"/>
      <c r="G4" s="618"/>
      <c r="H4" s="618"/>
      <c r="I4" s="618"/>
      <c r="J4" s="618"/>
      <c r="K4" s="618"/>
      <c r="O4" s="617"/>
      <c r="P4" s="617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34" t="s">
        <v>1639</v>
      </c>
      <c r="H6" s="635"/>
      <c r="I6" s="635"/>
      <c r="J6" s="635"/>
      <c r="K6" s="635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1640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20" t="s">
        <v>0</v>
      </c>
      <c r="C11" s="622" t="s">
        <v>1</v>
      </c>
      <c r="D11" s="625" t="s">
        <v>42</v>
      </c>
      <c r="E11" s="625" t="s">
        <v>43</v>
      </c>
      <c r="F11" s="625" t="s">
        <v>2</v>
      </c>
      <c r="G11" s="627" t="s">
        <v>41</v>
      </c>
      <c r="H11" s="625" t="s">
        <v>3</v>
      </c>
      <c r="I11" s="625"/>
      <c r="J11" s="625"/>
      <c r="K11" s="645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21"/>
      <c r="C12" s="623"/>
      <c r="D12" s="626"/>
      <c r="E12" s="626"/>
      <c r="F12" s="626"/>
      <c r="G12" s="628"/>
      <c r="H12" s="630" t="s">
        <v>46</v>
      </c>
      <c r="I12" s="630" t="s">
        <v>5</v>
      </c>
      <c r="J12" s="626" t="s">
        <v>47</v>
      </c>
      <c r="K12" s="646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21"/>
      <c r="C13" s="624"/>
      <c r="D13" s="626"/>
      <c r="E13" s="626"/>
      <c r="F13" s="626"/>
      <c r="G13" s="629"/>
      <c r="H13" s="631"/>
      <c r="I13" s="631"/>
      <c r="J13" s="626"/>
      <c r="K13" s="646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0" ca="1" si="0">IF(OR(D14="MDU",D14="MDU-KD"),(IF($O$3="RAB NON MDU","PLN KD",G14*F14)),0)</f>
        <v>0</v>
      </c>
      <c r="I14" s="308">
        <f t="shared" ref="I14:I20" ca="1" si="1">IF(D14="HDW",G14*F14,0)</f>
        <v>0</v>
      </c>
      <c r="J14" s="308">
        <f t="shared" ref="J14:J20" ca="1" si="2">IF(D14="JASA",G14*F14,0)</f>
        <v>0</v>
      </c>
      <c r="K14" s="309">
        <f t="shared" ref="K14:K20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ref="H15:H18" ca="1" si="4">IF(OR(D15="MDU",D15="MDU-KD"),(IF($O$3="RAB NON MDU","PLN KD",G15*F15)),0)</f>
        <v>0</v>
      </c>
      <c r="I15" s="308">
        <f t="shared" ref="I15:I18" ca="1" si="5">IF(D15="HDW",G15*F15,0)</f>
        <v>0</v>
      </c>
      <c r="J15" s="308">
        <f t="shared" ref="J15:J18" ca="1" si="6">IF(D15="JASA",G15*F15,0)</f>
        <v>0</v>
      </c>
      <c r="K15" s="309">
        <f t="shared" ref="K15:K18" ca="1" si="7">SUM(H15:J15)</f>
        <v>0</v>
      </c>
      <c r="L15" s="289"/>
      <c r="M15" s="289" t="str">
        <f t="shared" ref="M15:M21" ca="1" si="8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1"/>
      <c r="C16" s="418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20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4"/>
        <v>0</v>
      </c>
      <c r="I16" s="308">
        <f t="shared" ca="1" si="5"/>
        <v>0</v>
      </c>
      <c r="J16" s="308">
        <f t="shared" ca="1" si="6"/>
        <v>0</v>
      </c>
      <c r="K16" s="309">
        <f t="shared" ca="1" si="7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1">
        <v>1</v>
      </c>
      <c r="C17" s="109" t="s">
        <v>101</v>
      </c>
      <c r="D17" s="305" t="str">
        <f ca="1">IF(ISERROR(OFFSET('HARGA SATUAN'!$D$6,MATCH(RAB!C17,'HARGA SATUAN'!$C$7:$C$1495,0),0)),"",OFFSET('HARGA SATUAN'!$D$6,MATCH(RAB!C17,'HARGA SATUAN'!$C$7:$C$1495,0),0))</f>
        <v>HDW</v>
      </c>
      <c r="E17" s="306" t="str">
        <f ca="1">IF(B17="+","Unit",IF(ISERROR(OFFSET('HARGA SATUAN'!$E$6,MATCH(RAB!C17,'HARGA SATUAN'!$C$7:$C$1495,0),0)),"",OFFSET('HARGA SATUAN'!$E$6,MATCH(RAB!C17,'HARGA SATUAN'!$C$7:$C$1495,0),0)))</f>
        <v>Btg</v>
      </c>
      <c r="F17" s="420">
        <v>4</v>
      </c>
      <c r="G17" s="307">
        <f ca="1">IF(ISERROR(OFFSET('HARGA SATUAN'!$I$6,MATCH(RAB!C17,'HARGA SATUAN'!$C$7:$C$1495,0),0)),0,OFFSET('HARGA SATUAN'!$I$6,MATCH(RAB!C17,'HARGA SATUAN'!$C$7:$C$1495,0),0))</f>
        <v>3382600</v>
      </c>
      <c r="H17" s="308">
        <f t="shared" ca="1" si="4"/>
        <v>0</v>
      </c>
      <c r="I17" s="308">
        <f t="shared" ca="1" si="5"/>
        <v>13530400</v>
      </c>
      <c r="J17" s="308">
        <f t="shared" ca="1" si="6"/>
        <v>0</v>
      </c>
      <c r="K17" s="309">
        <f t="shared" ca="1" si="7"/>
        <v>13530400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1">
        <v>2</v>
      </c>
      <c r="C18" s="109" t="s">
        <v>6</v>
      </c>
      <c r="D18" s="305" t="str">
        <f ca="1">IF(ISERROR(OFFSET('HARGA SATUAN'!$D$6,MATCH(RAB!C18,'HARGA SATUAN'!$C$7:$C$1495,0),0)),"",OFFSET('HARGA SATUAN'!$D$6,MATCH(RAB!C18,'HARGA SATUAN'!$C$7:$C$1495,0),0))</f>
        <v>JASA</v>
      </c>
      <c r="E18" s="306" t="str">
        <f ca="1">IF(B18="+","Unit",IF(ISERROR(OFFSET('HARGA SATUAN'!$E$6,MATCH(RAB!C18,'HARGA SATUAN'!$C$7:$C$1495,0),0)),"",OFFSET('HARGA SATUAN'!$E$6,MATCH(RAB!C18,'HARGA SATUAN'!$C$7:$C$1495,0),0)))</f>
        <v>Btg</v>
      </c>
      <c r="F18" s="420">
        <v>4</v>
      </c>
      <c r="G18" s="307">
        <f ca="1">IF(ISERROR(OFFSET('HARGA SATUAN'!$I$6,MATCH(RAB!C18,'HARGA SATUAN'!$C$7:$C$1495,0),0)),0,OFFSET('HARGA SATUAN'!$I$6,MATCH(RAB!C18,'HARGA SATUAN'!$C$7:$C$1495,0),0))</f>
        <v>10066.666666666668</v>
      </c>
      <c r="H18" s="308">
        <f t="shared" ca="1" si="4"/>
        <v>0</v>
      </c>
      <c r="I18" s="308">
        <f t="shared" ca="1" si="5"/>
        <v>0</v>
      </c>
      <c r="J18" s="308">
        <f t="shared" ca="1" si="6"/>
        <v>40266.666666666672</v>
      </c>
      <c r="K18" s="309">
        <f t="shared" ca="1" si="7"/>
        <v>40266.666666666672</v>
      </c>
      <c r="L18" s="289"/>
      <c r="M18" s="289"/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9" t="s">
        <v>1601</v>
      </c>
      <c r="C19" s="422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20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e">
        <f>IF(AND(F19&gt;0,#REF!=0),"",IF(AND(ISBLANK(F19)=FALSE,K19=0),"WARNING",""))</f>
        <v>#REF!</v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720" t="s">
        <v>1035</v>
      </c>
      <c r="C20" s="721" t="s">
        <v>1643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3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720">
        <v>1</v>
      </c>
      <c r="C21" s="464" t="s">
        <v>532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3">
        <f>F20*1</f>
        <v>1</v>
      </c>
      <c r="G21" s="307">
        <f ca="1">IF(ISERROR(OFFSET('HARGA SATUAN'!$I$6,MATCH(RAB!C21,'HARGA SATUAN'!$C$7:$C$1495,0),0)),0,OFFSET('HARGA SATUAN'!$I$6,MATCH(RAB!C21,'HARGA SATUAN'!$C$7:$C$1495,0),0))</f>
        <v>27845400</v>
      </c>
      <c r="H21" s="308">
        <f t="shared" ref="H21:H73" ca="1" si="9">IF(OR(D21="MDU",D21="MDU-KD"),(IF($O$3="RAB NON MDU","PLN KD",G21*F21)),0)</f>
        <v>27845400</v>
      </c>
      <c r="I21" s="308">
        <f t="shared" ref="I21:I73" ca="1" si="10">IF(D21="HDW",G21*F21,0)</f>
        <v>0</v>
      </c>
      <c r="J21" s="308">
        <f t="shared" ref="J21:J73" ca="1" si="11">IF(D21="JASA",G21*F21,0)</f>
        <v>0</v>
      </c>
      <c r="K21" s="309">
        <f t="shared" ref="K21:K73" ca="1" si="12">SUM(H21:J21)</f>
        <v>27845400</v>
      </c>
      <c r="L21" s="316"/>
      <c r="M21" s="289" t="str">
        <f t="shared" ca="1" si="8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52">
        <v>2</v>
      </c>
      <c r="C22" s="464" t="s">
        <v>1615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5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9"/>
        <v>0</v>
      </c>
      <c r="I22" s="308">
        <f t="shared" ca="1" si="10"/>
        <v>0</v>
      </c>
      <c r="J22" s="308">
        <f t="shared" ca="1" si="11"/>
        <v>0</v>
      </c>
      <c r="K22" s="309">
        <f t="shared" ca="1" si="12"/>
        <v>0</v>
      </c>
      <c r="L22" s="316"/>
      <c r="M22" s="289" t="str">
        <f t="shared" ref="M22:M73" ca="1" si="13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52"/>
      <c r="C23" s="464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3">
        <f>F20*(3*3)</f>
        <v>9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9"/>
        <v>127800</v>
      </c>
      <c r="I23" s="308">
        <f t="shared" ca="1" si="10"/>
        <v>0</v>
      </c>
      <c r="J23" s="308">
        <f t="shared" ca="1" si="11"/>
        <v>0</v>
      </c>
      <c r="K23" s="309">
        <f t="shared" ca="1" si="12"/>
        <v>127800</v>
      </c>
      <c r="L23" s="316"/>
      <c r="M23" s="289" t="str">
        <f t="shared" si="13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720"/>
      <c r="C24" s="464" t="s">
        <v>1616</v>
      </c>
      <c r="D24" s="305" t="str">
        <f ca="1">IF(ISERROR(OFFSET('HARGA SATUAN'!$D$6,MATCH(RAB!C24,'HARGA SATUAN'!$C$7:$C$1495,0),0)),"",OFFSET('HARGA SATUAN'!$D$6,MATCH(RAB!C24,'HARGA SATUAN'!$C$7:$C$1495,0),0))</f>
        <v>MDU-KD</v>
      </c>
      <c r="E24" s="306" t="str">
        <f ca="1">IF(B24="+","Unit",IF(ISERROR(OFFSET('HARGA SATUAN'!$E$6,MATCH(RAB!C24,'HARGA SATUAN'!$C$7:$C$1495,0),0)),"",OFFSET('HARGA SATUAN'!$E$6,MATCH(RAB!C24,'HARGA SATUAN'!$C$7:$C$1495,0),0)))</f>
        <v>Mtr</v>
      </c>
      <c r="F24" s="453">
        <f>F20*3</f>
        <v>3</v>
      </c>
      <c r="G24" s="307">
        <f ca="1">IF(ISERROR(OFFSET('HARGA SATUAN'!$I$6,MATCH(RAB!C24,'HARGA SATUAN'!$C$7:$C$1495,0),0)),0,OFFSET('HARGA SATUAN'!$I$6,MATCH(RAB!C24,'HARGA SATUAN'!$C$7:$C$1495,0),0))</f>
        <v>53300</v>
      </c>
      <c r="H24" s="308">
        <f t="shared" ca="1" si="9"/>
        <v>159900</v>
      </c>
      <c r="I24" s="308">
        <f t="shared" ca="1" si="10"/>
        <v>0</v>
      </c>
      <c r="J24" s="308">
        <f t="shared" ca="1" si="11"/>
        <v>0</v>
      </c>
      <c r="K24" s="309">
        <f t="shared" ca="1" si="12"/>
        <v>159900</v>
      </c>
      <c r="L24" s="316"/>
      <c r="M24" s="289" t="str">
        <f t="shared" ca="1" si="13"/>
        <v/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720">
        <v>3</v>
      </c>
      <c r="C25" s="464" t="s">
        <v>207</v>
      </c>
      <c r="D25" s="305" t="str">
        <f ca="1">IF(ISERROR(OFFSET('HARGA SATUAN'!$D$6,MATCH(RAB!C25,'HARGA SATUAN'!$C$7:$C$1495,0),0)),"",OFFSET('HARGA SATUAN'!$D$6,MATCH(RAB!C25,'HARGA SATUAN'!$C$7:$C$1495,0),0))</f>
        <v>HDW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3">
        <f>F20*3</f>
        <v>3</v>
      </c>
      <c r="G25" s="307">
        <f ca="1">IF(ISERROR(OFFSET('HARGA SATUAN'!$I$6,MATCH(RAB!C25,'HARGA SATUAN'!$C$7:$C$1495,0),0)),0,OFFSET('HARGA SATUAN'!$I$6,MATCH(RAB!C25,'HARGA SATUAN'!$C$7:$C$1495,0),0))</f>
        <v>87000</v>
      </c>
      <c r="H25" s="308">
        <f t="shared" ca="1" si="9"/>
        <v>0</v>
      </c>
      <c r="I25" s="308">
        <f t="shared" ca="1" si="10"/>
        <v>261000</v>
      </c>
      <c r="J25" s="308">
        <f t="shared" ca="1" si="11"/>
        <v>0</v>
      </c>
      <c r="K25" s="309">
        <f t="shared" ca="1" si="12"/>
        <v>261000</v>
      </c>
      <c r="L25" s="316"/>
      <c r="M25" s="289" t="str">
        <f t="shared" ca="1" si="13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720">
        <v>4</v>
      </c>
      <c r="C26" s="464" t="s">
        <v>176</v>
      </c>
      <c r="D26" s="305" t="str">
        <f ca="1">IF(ISERROR(OFFSET('HARGA SATUAN'!$D$6,MATCH(RAB!C26,'HARGA SATUAN'!$C$7:$C$1495,0),0)),"",OFFSET('HARGA SATUAN'!$D$6,MATCH(RAB!C26,'HARGA SATUAN'!$C$7:$C$1495,0),0))</f>
        <v>HDW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3">
        <f>F20*3</f>
        <v>3</v>
      </c>
      <c r="G26" s="307">
        <f ca="1">IF(ISERROR(OFFSET('HARGA SATUAN'!$I$6,MATCH(RAB!C26,'HARGA SATUAN'!$C$7:$C$1495,0),0)),0,OFFSET('HARGA SATUAN'!$I$6,MATCH(RAB!C26,'HARGA SATUAN'!$C$7:$C$1495,0),0))</f>
        <v>404600</v>
      </c>
      <c r="H26" s="308">
        <f t="shared" ca="1" si="9"/>
        <v>0</v>
      </c>
      <c r="I26" s="308">
        <f t="shared" ca="1" si="10"/>
        <v>1213800</v>
      </c>
      <c r="J26" s="308">
        <f t="shared" ca="1" si="11"/>
        <v>0</v>
      </c>
      <c r="K26" s="309">
        <f t="shared" ca="1" si="12"/>
        <v>1213800</v>
      </c>
      <c r="L26" s="316"/>
      <c r="M26" s="289" t="str">
        <f t="shared" ca="1" si="13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720">
        <v>5</v>
      </c>
      <c r="C27" s="464" t="s">
        <v>184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3">
        <f>F20*3</f>
        <v>3</v>
      </c>
      <c r="G27" s="307">
        <f ca="1">IF(ISERROR(OFFSET('HARGA SATUAN'!$I$6,MATCH(RAB!C27,'HARGA SATUAN'!$C$7:$C$1495,0),0)),0,OFFSET('HARGA SATUAN'!$I$6,MATCH(RAB!C27,'HARGA SATUAN'!$C$7:$C$1495,0),0))</f>
        <v>15900</v>
      </c>
      <c r="H27" s="308">
        <f t="shared" ca="1" si="9"/>
        <v>0</v>
      </c>
      <c r="I27" s="308">
        <f t="shared" ca="1" si="10"/>
        <v>47700</v>
      </c>
      <c r="J27" s="308">
        <f t="shared" ca="1" si="11"/>
        <v>0</v>
      </c>
      <c r="K27" s="309">
        <f t="shared" ca="1" si="12"/>
        <v>47700</v>
      </c>
      <c r="L27" s="316"/>
      <c r="M27" s="289" t="str">
        <f t="shared" ca="1" si="13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720">
        <v>6</v>
      </c>
      <c r="C28" s="464" t="s">
        <v>187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3">
        <f>F20*13</f>
        <v>13</v>
      </c>
      <c r="G28" s="307">
        <f ca="1">IF(ISERROR(OFFSET('HARGA SATUAN'!$I$6,MATCH(RAB!C28,'HARGA SATUAN'!$C$7:$C$1495,0),0)),0,OFFSET('HARGA SATUAN'!$I$6,MATCH(RAB!C28,'HARGA SATUAN'!$C$7:$C$1495,0),0))</f>
        <v>17100</v>
      </c>
      <c r="H28" s="308">
        <f t="shared" ca="1" si="9"/>
        <v>0</v>
      </c>
      <c r="I28" s="308">
        <f t="shared" ca="1" si="10"/>
        <v>222300</v>
      </c>
      <c r="J28" s="308">
        <f t="shared" ca="1" si="11"/>
        <v>0</v>
      </c>
      <c r="K28" s="309">
        <f t="shared" ca="1" si="12"/>
        <v>222300</v>
      </c>
      <c r="L28" s="316"/>
      <c r="M28" s="289" t="str">
        <f t="shared" ca="1" si="13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720">
        <v>7</v>
      </c>
      <c r="C29" s="464" t="s">
        <v>1617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3">
        <f>F20*28</f>
        <v>28</v>
      </c>
      <c r="G29" s="307">
        <f ca="1">IF(ISERROR(OFFSET('HARGA SATUAN'!$I$6,MATCH(RAB!C29,'HARGA SATUAN'!$C$7:$C$1495,0),0)),0,OFFSET('HARGA SATUAN'!$I$6,MATCH(RAB!C29,'HARGA SATUAN'!$C$7:$C$1495,0),0))</f>
        <v>49000</v>
      </c>
      <c r="H29" s="308">
        <f t="shared" ca="1" si="9"/>
        <v>0</v>
      </c>
      <c r="I29" s="308">
        <f t="shared" ca="1" si="10"/>
        <v>1372000</v>
      </c>
      <c r="J29" s="308">
        <f t="shared" ca="1" si="11"/>
        <v>0</v>
      </c>
      <c r="K29" s="309">
        <f t="shared" ca="1" si="12"/>
        <v>1372000</v>
      </c>
      <c r="L29" s="316"/>
      <c r="M29" s="289" t="str">
        <f t="shared" ca="1" si="13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720">
        <v>8</v>
      </c>
      <c r="C30" s="464" t="s">
        <v>149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Set</v>
      </c>
      <c r="F30" s="453">
        <f>F20*2</f>
        <v>2</v>
      </c>
      <c r="G30" s="307">
        <f ca="1">IF(ISERROR(OFFSET('HARGA SATUAN'!$I$6,MATCH(RAB!C30,'HARGA SATUAN'!$C$7:$C$1495,0),0)),0,OFFSET('HARGA SATUAN'!$I$6,MATCH(RAB!C30,'HARGA SATUAN'!$C$7:$C$1495,0),0))</f>
        <v>67800</v>
      </c>
      <c r="H30" s="308">
        <f t="shared" ca="1" si="9"/>
        <v>0</v>
      </c>
      <c r="I30" s="308">
        <f t="shared" ca="1" si="10"/>
        <v>135600</v>
      </c>
      <c r="J30" s="308">
        <f t="shared" ca="1" si="11"/>
        <v>0</v>
      </c>
      <c r="K30" s="309">
        <f t="shared" ca="1" si="12"/>
        <v>135600</v>
      </c>
      <c r="L30" s="316"/>
      <c r="M30" s="289" t="str">
        <f t="shared" ca="1" si="13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720">
        <v>9</v>
      </c>
      <c r="C31" s="464" t="s">
        <v>32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Mtr</v>
      </c>
      <c r="F31" s="453">
        <f>F20*3</f>
        <v>3</v>
      </c>
      <c r="G31" s="307">
        <f ca="1">IF(ISERROR(OFFSET('HARGA SATUAN'!$I$6,MATCH(RAB!C31,'HARGA SATUAN'!$C$7:$C$1495,0),0)),0,OFFSET('HARGA SATUAN'!$I$6,MATCH(RAB!C31,'HARGA SATUAN'!$C$7:$C$1495,0),0))</f>
        <v>30000</v>
      </c>
      <c r="H31" s="308">
        <f t="shared" ca="1" si="9"/>
        <v>0</v>
      </c>
      <c r="I31" s="308">
        <f t="shared" ca="1" si="10"/>
        <v>90000</v>
      </c>
      <c r="J31" s="308">
        <f t="shared" ca="1" si="11"/>
        <v>0</v>
      </c>
      <c r="K31" s="309">
        <f t="shared" ca="1" si="12"/>
        <v>90000</v>
      </c>
      <c r="L31" s="316"/>
      <c r="M31" s="289" t="str">
        <f t="shared" ca="1" si="13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720">
        <v>10</v>
      </c>
      <c r="C32" s="464" t="s">
        <v>781</v>
      </c>
      <c r="D32" s="305" t="str">
        <f ca="1">IF(ISERROR(OFFSET('HARGA SATUAN'!$D$6,MATCH(RAB!C32,'HARGA SATUAN'!$C$7:$C$1495,0),0)),"",OFFSET('HARGA SATUAN'!$D$6,MATCH(RAB!C32,'HARGA SATUAN'!$C$7:$C$1495,0),0))</f>
        <v>JASA</v>
      </c>
      <c r="E32" s="306" t="str">
        <f ca="1">IF(B32="+","Unit",IF(ISERROR(OFFSET('HARGA SATUAN'!$E$6,MATCH(RAB!C32,'HARGA SATUAN'!$C$7:$C$1495,0),0)),"",OFFSET('HARGA SATUAN'!$E$6,MATCH(RAB!C32,'HARGA SATUAN'!$C$7:$C$1495,0),0)))</f>
        <v>Unit</v>
      </c>
      <c r="F32" s="453">
        <f>F20*5</f>
        <v>5</v>
      </c>
      <c r="G32" s="307">
        <f ca="1">IF(ISERROR(OFFSET('HARGA SATUAN'!$I$6,MATCH(RAB!C32,'HARGA SATUAN'!$C$7:$C$1495,0),0)),0,OFFSET('HARGA SATUAN'!$I$6,MATCH(RAB!C32,'HARGA SATUAN'!$C$7:$C$1495,0),0))</f>
        <v>346400</v>
      </c>
      <c r="H32" s="308">
        <f t="shared" ca="1" si="9"/>
        <v>0</v>
      </c>
      <c r="I32" s="308">
        <f t="shared" ca="1" si="10"/>
        <v>0</v>
      </c>
      <c r="J32" s="308">
        <f t="shared" ca="1" si="11"/>
        <v>1732000</v>
      </c>
      <c r="K32" s="309">
        <f t="shared" ca="1" si="12"/>
        <v>1732000</v>
      </c>
      <c r="L32" s="316"/>
      <c r="M32" s="289" t="str">
        <f t="shared" ca="1" si="13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720"/>
      <c r="C33" s="464"/>
      <c r="D33" s="305" t="str">
        <f ca="1">IF(ISERROR(OFFSET('HARGA SATUAN'!$D$6,MATCH(RAB!C33,'HARGA SATUAN'!$C$7:$C$1495,0),0)),"",OFFSET('HARGA SATUAN'!$D$6,MATCH(RAB!C33,'HARGA SATUAN'!$C$7:$C$1495,0),0))</f>
        <v/>
      </c>
      <c r="E33" s="306" t="str">
        <f ca="1">IF(B33="+","Unit",IF(ISERROR(OFFSET('HARGA SATUAN'!$E$6,MATCH(RAB!C33,'HARGA SATUAN'!$C$7:$C$1495,0),0)),"",OFFSET('HARGA SATUAN'!$E$6,MATCH(RAB!C33,'HARGA SATUAN'!$C$7:$C$1495,0),0)))</f>
        <v/>
      </c>
      <c r="F33" s="453"/>
      <c r="G33" s="307">
        <f ca="1">IF(ISERROR(OFFSET('HARGA SATUAN'!$I$6,MATCH(RAB!C33,'HARGA SATUAN'!$C$7:$C$1495,0),0)),0,OFFSET('HARGA SATUAN'!$I$6,MATCH(RAB!C33,'HARGA SATUAN'!$C$7:$C$1495,0),0))</f>
        <v>0</v>
      </c>
      <c r="H33" s="308">
        <f t="shared" ca="1" si="9"/>
        <v>0</v>
      </c>
      <c r="I33" s="308">
        <f t="shared" ca="1" si="10"/>
        <v>0</v>
      </c>
      <c r="J33" s="308">
        <f t="shared" ca="1" si="11"/>
        <v>0</v>
      </c>
      <c r="K33" s="309">
        <f t="shared" ca="1" si="12"/>
        <v>0</v>
      </c>
      <c r="L33" s="316"/>
      <c r="M33" s="289"/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720" t="s">
        <v>1035</v>
      </c>
      <c r="C34" s="721" t="s">
        <v>1634</v>
      </c>
      <c r="D34" s="305" t="str">
        <f ca="1">IF(ISERROR(OFFSET('HARGA SATUAN'!$D$6,MATCH(RAB!C34,'HARGA SATUAN'!$C$7:$C$1495,0),0)),"",OFFSET('HARGA SATUAN'!$D$6,MATCH(RAB!C34,'HARGA SATUAN'!$C$7:$C$1495,0),0))</f>
        <v/>
      </c>
      <c r="E34" s="306" t="str">
        <f ca="1">IF(B34="+","Unit",IF(ISERROR(OFFSET('HARGA SATUAN'!$E$6,MATCH(RAB!C34,'HARGA SATUAN'!$C$7:$C$1495,0),0)),"",OFFSET('HARGA SATUAN'!$E$6,MATCH(RAB!C34,'HARGA SATUAN'!$C$7:$C$1495,0),0)))</f>
        <v>Unit</v>
      </c>
      <c r="F34" s="453">
        <v>5</v>
      </c>
      <c r="G34" s="307">
        <f ca="1">IF(ISERROR(OFFSET('HARGA SATUAN'!$I$6,MATCH(RAB!C34,'HARGA SATUAN'!$C$7:$C$1495,0),0)),0,OFFSET('HARGA SATUAN'!$I$6,MATCH(RAB!C34,'HARGA SATUAN'!$C$7:$C$1495,0),0))</f>
        <v>0</v>
      </c>
      <c r="H34" s="308">
        <f t="shared" ca="1" si="9"/>
        <v>0</v>
      </c>
      <c r="I34" s="308">
        <f t="shared" ca="1" si="10"/>
        <v>0</v>
      </c>
      <c r="J34" s="308">
        <f t="shared" ca="1" si="11"/>
        <v>0</v>
      </c>
      <c r="K34" s="309">
        <f t="shared" ca="1" si="12"/>
        <v>0</v>
      </c>
      <c r="L34" s="316"/>
      <c r="M34" s="289"/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720">
        <v>1</v>
      </c>
      <c r="C35" s="721" t="s">
        <v>229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3">
        <f>F34*1</f>
        <v>5</v>
      </c>
      <c r="G35" s="307">
        <f ca="1">IF(ISERROR(OFFSET('HARGA SATUAN'!$I$6,MATCH(RAB!C35,'HARGA SATUAN'!$C$7:$C$1495,0),0)),0,OFFSET('HARGA SATUAN'!$I$6,MATCH(RAB!C35,'HARGA SATUAN'!$C$7:$C$1495,0),0))</f>
        <v>4212</v>
      </c>
      <c r="H35" s="308">
        <f t="shared" ca="1" si="9"/>
        <v>0</v>
      </c>
      <c r="I35" s="308">
        <f t="shared" ca="1" si="10"/>
        <v>21060</v>
      </c>
      <c r="J35" s="308">
        <f t="shared" ca="1" si="11"/>
        <v>0</v>
      </c>
      <c r="K35" s="309">
        <f t="shared" ca="1" si="12"/>
        <v>21060</v>
      </c>
      <c r="L35" s="316"/>
      <c r="M35" s="289"/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720">
        <v>2</v>
      </c>
      <c r="C36" s="721" t="s">
        <v>266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Mtr</v>
      </c>
      <c r="F36" s="453">
        <f>F34*1</f>
        <v>5</v>
      </c>
      <c r="G36" s="307">
        <f ca="1">IF(ISERROR(OFFSET('HARGA SATUAN'!$I$6,MATCH(RAB!C36,'HARGA SATUAN'!$C$7:$C$1495,0),0)),0,OFFSET('HARGA SATUAN'!$I$6,MATCH(RAB!C36,'HARGA SATUAN'!$C$7:$C$1495,0),0))</f>
        <v>23310</v>
      </c>
      <c r="H36" s="308">
        <f t="shared" ca="1" si="9"/>
        <v>0</v>
      </c>
      <c r="I36" s="308">
        <f t="shared" ca="1" si="10"/>
        <v>116550</v>
      </c>
      <c r="J36" s="308">
        <f t="shared" ca="1" si="11"/>
        <v>0</v>
      </c>
      <c r="K36" s="309">
        <f t="shared" ca="1" si="12"/>
        <v>116550</v>
      </c>
      <c r="L36" s="316"/>
      <c r="M36" s="289"/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720">
        <v>3</v>
      </c>
      <c r="C37" s="721" t="s">
        <v>35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3">
        <f>F34*1</f>
        <v>5</v>
      </c>
      <c r="G37" s="307">
        <f ca="1">IF(ISERROR(OFFSET('HARGA SATUAN'!$I$6,MATCH(RAB!C37,'HARGA SATUAN'!$C$7:$C$1495,0),0)),0,OFFSET('HARGA SATUAN'!$I$6,MATCH(RAB!C37,'HARGA SATUAN'!$C$7:$C$1495,0),0))</f>
        <v>2300</v>
      </c>
      <c r="H37" s="308">
        <f t="shared" ca="1" si="9"/>
        <v>0</v>
      </c>
      <c r="I37" s="308">
        <f t="shared" ca="1" si="10"/>
        <v>11500</v>
      </c>
      <c r="J37" s="308">
        <f t="shared" ca="1" si="11"/>
        <v>0</v>
      </c>
      <c r="K37" s="309">
        <f t="shared" ca="1" si="12"/>
        <v>11500</v>
      </c>
      <c r="L37" s="316"/>
      <c r="M37" s="289"/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720">
        <v>4</v>
      </c>
      <c r="C38" s="721" t="s">
        <v>609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Bh</v>
      </c>
      <c r="F38" s="453">
        <f>F34*1</f>
        <v>5</v>
      </c>
      <c r="G38" s="307">
        <f ca="1">IF(ISERROR(OFFSET('HARGA SATUAN'!$I$6,MATCH(RAB!C38,'HARGA SATUAN'!$C$7:$C$1495,0),0)),0,OFFSET('HARGA SATUAN'!$I$6,MATCH(RAB!C38,'HARGA SATUAN'!$C$7:$C$1495,0),0))</f>
        <v>71000</v>
      </c>
      <c r="H38" s="308">
        <f t="shared" ca="1" si="9"/>
        <v>0</v>
      </c>
      <c r="I38" s="308">
        <f t="shared" ca="1" si="10"/>
        <v>355000</v>
      </c>
      <c r="J38" s="308">
        <f t="shared" ca="1" si="11"/>
        <v>0</v>
      </c>
      <c r="K38" s="309">
        <f t="shared" ca="1" si="12"/>
        <v>355000</v>
      </c>
      <c r="L38" s="316"/>
      <c r="M38" s="289"/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720">
        <v>5</v>
      </c>
      <c r="C39" s="721" t="s">
        <v>629</v>
      </c>
      <c r="D39" s="305" t="str">
        <f ca="1">IF(ISERROR(OFFSET('HARGA SATUAN'!$D$6,MATCH(RAB!C39,'HARGA SATUAN'!$C$7:$C$1495,0),0)),"",OFFSET('HARGA SATUAN'!$D$6,MATCH(RAB!C39,'HARGA SATUAN'!$C$7:$C$1495,0),0))</f>
        <v>JASA</v>
      </c>
      <c r="E39" s="306" t="str">
        <f ca="1">IF(B39="+","Unit",IF(ISERROR(OFFSET('HARGA SATUAN'!$E$6,MATCH(RAB!C39,'HARGA SATUAN'!$C$7:$C$1495,0),0)),"",OFFSET('HARGA SATUAN'!$E$6,MATCH(RAB!C39,'HARGA SATUAN'!$C$7:$C$1495,0),0)))</f>
        <v>Unit</v>
      </c>
      <c r="F39" s="453">
        <f>F34*1</f>
        <v>5</v>
      </c>
      <c r="G39" s="307">
        <f ca="1">IF(ISERROR(OFFSET('HARGA SATUAN'!$I$6,MATCH(RAB!C39,'HARGA SATUAN'!$C$7:$C$1495,0),0)),0,OFFSET('HARGA SATUAN'!$I$6,MATCH(RAB!C39,'HARGA SATUAN'!$C$7:$C$1495,0),0))</f>
        <v>29400</v>
      </c>
      <c r="H39" s="308">
        <f t="shared" ca="1" si="9"/>
        <v>0</v>
      </c>
      <c r="I39" s="308">
        <f t="shared" ca="1" si="10"/>
        <v>0</v>
      </c>
      <c r="J39" s="308">
        <f t="shared" ca="1" si="11"/>
        <v>147000</v>
      </c>
      <c r="K39" s="309">
        <f t="shared" ca="1" si="12"/>
        <v>147000</v>
      </c>
      <c r="L39" s="316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720"/>
      <c r="C40" s="464"/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/>
      </c>
      <c r="F40" s="453"/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9"/>
        <v>0</v>
      </c>
      <c r="I40" s="308">
        <f t="shared" ca="1" si="10"/>
        <v>0</v>
      </c>
      <c r="J40" s="308">
        <f t="shared" ca="1" si="11"/>
        <v>0</v>
      </c>
      <c r="K40" s="309">
        <f t="shared" ca="1" si="12"/>
        <v>0</v>
      </c>
      <c r="L40" s="316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720" t="s">
        <v>1035</v>
      </c>
      <c r="C41" s="721" t="s">
        <v>1633</v>
      </c>
      <c r="D41" s="305" t="str">
        <f ca="1">IF(ISERROR(OFFSET('HARGA SATUAN'!$D$6,MATCH(RAB!C41,'HARGA SATUAN'!$C$7:$C$1495,0),0)),"",OFFSET('HARGA SATUAN'!$D$6,MATCH(RAB!C41,'HARGA SATUAN'!$C$7:$C$1495,0),0))</f>
        <v/>
      </c>
      <c r="E41" s="306" t="str">
        <f ca="1">IF(B41="+","Unit",IF(ISERROR(OFFSET('HARGA SATUAN'!$E$6,MATCH(RAB!C41,'HARGA SATUAN'!$C$7:$C$1495,0),0)),"",OFFSET('HARGA SATUAN'!$E$6,MATCH(RAB!C41,'HARGA SATUAN'!$C$7:$C$1495,0),0)))</f>
        <v>Unit</v>
      </c>
      <c r="F41" s="453">
        <v>4</v>
      </c>
      <c r="G41" s="307">
        <f ca="1">IF(ISERROR(OFFSET('HARGA SATUAN'!$I$6,MATCH(RAB!C41,'HARGA SATUAN'!$C$7:$C$1495,0),0)),0,OFFSET('HARGA SATUAN'!$I$6,MATCH(RAB!C41,'HARGA SATUAN'!$C$7:$C$1495,0),0))</f>
        <v>0</v>
      </c>
      <c r="H41" s="308">
        <f t="shared" ca="1" si="9"/>
        <v>0</v>
      </c>
      <c r="I41" s="308">
        <f t="shared" ca="1" si="10"/>
        <v>0</v>
      </c>
      <c r="J41" s="308">
        <f t="shared" ca="1" si="11"/>
        <v>0</v>
      </c>
      <c r="K41" s="309">
        <f t="shared" ca="1" si="12"/>
        <v>0</v>
      </c>
      <c r="L41" s="316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720">
        <v>1</v>
      </c>
      <c r="C42" s="721" t="s">
        <v>595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53">
        <f>F41*1</f>
        <v>4</v>
      </c>
      <c r="G42" s="307">
        <f ca="1">IF(ISERROR(OFFSET('HARGA SATUAN'!$I$6,MATCH(RAB!C42,'HARGA SATUAN'!$C$7:$C$1495,0),0)),0,OFFSET('HARGA SATUAN'!$I$6,MATCH(RAB!C42,'HARGA SATUAN'!$C$7:$C$1495,0),0))</f>
        <v>78500</v>
      </c>
      <c r="H42" s="308">
        <f t="shared" ca="1" si="9"/>
        <v>0</v>
      </c>
      <c r="I42" s="308">
        <f t="shared" ca="1" si="10"/>
        <v>314000</v>
      </c>
      <c r="J42" s="308">
        <f t="shared" ca="1" si="11"/>
        <v>0</v>
      </c>
      <c r="K42" s="309">
        <f t="shared" ca="1" si="12"/>
        <v>314000</v>
      </c>
      <c r="L42" s="316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720">
        <v>2</v>
      </c>
      <c r="C43" s="721" t="s">
        <v>229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53">
        <f>F41*1</f>
        <v>4</v>
      </c>
      <c r="G43" s="307">
        <f ca="1">IF(ISERROR(OFFSET('HARGA SATUAN'!$I$6,MATCH(RAB!C43,'HARGA SATUAN'!$C$7:$C$1495,0),0)),0,OFFSET('HARGA SATUAN'!$I$6,MATCH(RAB!C43,'HARGA SATUAN'!$C$7:$C$1495,0),0))</f>
        <v>4212</v>
      </c>
      <c r="H43" s="308">
        <f t="shared" ca="1" si="9"/>
        <v>0</v>
      </c>
      <c r="I43" s="308">
        <f t="shared" ca="1" si="10"/>
        <v>16848</v>
      </c>
      <c r="J43" s="308">
        <f t="shared" ca="1" si="11"/>
        <v>0</v>
      </c>
      <c r="K43" s="309">
        <f t="shared" ca="1" si="12"/>
        <v>16848</v>
      </c>
      <c r="L43" s="316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720">
        <v>3</v>
      </c>
      <c r="C44" s="721" t="s">
        <v>266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Mtr</v>
      </c>
      <c r="F44" s="453">
        <f>F41*1</f>
        <v>4</v>
      </c>
      <c r="G44" s="307">
        <f ca="1">IF(ISERROR(OFFSET('HARGA SATUAN'!$I$6,MATCH(RAB!C44,'HARGA SATUAN'!$C$7:$C$1495,0),0)),0,OFFSET('HARGA SATUAN'!$I$6,MATCH(RAB!C44,'HARGA SATUAN'!$C$7:$C$1495,0),0))</f>
        <v>23310</v>
      </c>
      <c r="H44" s="308">
        <f t="shared" ca="1" si="9"/>
        <v>0</v>
      </c>
      <c r="I44" s="308">
        <f t="shared" ca="1" si="10"/>
        <v>93240</v>
      </c>
      <c r="J44" s="308">
        <f t="shared" ca="1" si="11"/>
        <v>0</v>
      </c>
      <c r="K44" s="309">
        <f t="shared" ca="1" si="12"/>
        <v>93240</v>
      </c>
      <c r="L44" s="316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720">
        <v>4</v>
      </c>
      <c r="C45" s="721" t="s">
        <v>35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Bh</v>
      </c>
      <c r="F45" s="453">
        <f>F41*1</f>
        <v>4</v>
      </c>
      <c r="G45" s="307">
        <f ca="1">IF(ISERROR(OFFSET('HARGA SATUAN'!$I$6,MATCH(RAB!C45,'HARGA SATUAN'!$C$7:$C$1495,0),0)),0,OFFSET('HARGA SATUAN'!$I$6,MATCH(RAB!C45,'HARGA SATUAN'!$C$7:$C$1495,0),0))</f>
        <v>2300</v>
      </c>
      <c r="H45" s="308">
        <f t="shared" ca="1" si="9"/>
        <v>0</v>
      </c>
      <c r="I45" s="308">
        <f t="shared" ca="1" si="10"/>
        <v>9200</v>
      </c>
      <c r="J45" s="308">
        <f t="shared" ca="1" si="11"/>
        <v>0</v>
      </c>
      <c r="K45" s="309">
        <f t="shared" ca="1" si="12"/>
        <v>9200</v>
      </c>
      <c r="L45" s="316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720">
        <v>5</v>
      </c>
      <c r="C46" s="721" t="s">
        <v>630</v>
      </c>
      <c r="D46" s="305" t="str">
        <f ca="1">IF(ISERROR(OFFSET('HARGA SATUAN'!$D$6,MATCH(RAB!C46,'HARGA SATUAN'!$C$7:$C$1495,0),0)),"",OFFSET('HARGA SATUAN'!$D$6,MATCH(RAB!C46,'HARGA SATUAN'!$C$7:$C$1495,0),0))</f>
        <v>JASA</v>
      </c>
      <c r="E46" s="306" t="str">
        <f ca="1">IF(B46="+","Unit",IF(ISERROR(OFFSET('HARGA SATUAN'!$E$6,MATCH(RAB!C46,'HARGA SATUAN'!$C$7:$C$1495,0),0)),"",OFFSET('HARGA SATUAN'!$E$6,MATCH(RAB!C46,'HARGA SATUAN'!$C$7:$C$1495,0),0)))</f>
        <v>Unit</v>
      </c>
      <c r="F46" s="453">
        <f>F41*1</f>
        <v>4</v>
      </c>
      <c r="G46" s="307">
        <f ca="1">IF(ISERROR(OFFSET('HARGA SATUAN'!$I$6,MATCH(RAB!C46,'HARGA SATUAN'!$C$7:$C$1495,0),0)),0,OFFSET('HARGA SATUAN'!$I$6,MATCH(RAB!C46,'HARGA SATUAN'!$C$7:$C$1495,0),0))</f>
        <v>35700</v>
      </c>
      <c r="H46" s="308">
        <f t="shared" ca="1" si="9"/>
        <v>0</v>
      </c>
      <c r="I46" s="308">
        <f t="shared" ca="1" si="10"/>
        <v>0</v>
      </c>
      <c r="J46" s="308">
        <f t="shared" ca="1" si="11"/>
        <v>142800</v>
      </c>
      <c r="K46" s="309">
        <f t="shared" ca="1" si="12"/>
        <v>142800</v>
      </c>
      <c r="L46" s="316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720"/>
      <c r="C47" s="464"/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/>
      </c>
      <c r="F47" s="453"/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ca="1" si="9"/>
        <v>0</v>
      </c>
      <c r="I47" s="308">
        <f t="shared" ca="1" si="10"/>
        <v>0</v>
      </c>
      <c r="J47" s="308">
        <f t="shared" ca="1" si="11"/>
        <v>0</v>
      </c>
      <c r="K47" s="309">
        <f t="shared" ca="1" si="12"/>
        <v>0</v>
      </c>
      <c r="L47" s="316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720" t="s">
        <v>1035</v>
      </c>
      <c r="C48" s="721" t="s">
        <v>1631</v>
      </c>
      <c r="D48" s="305" t="str">
        <f ca="1">IF(ISERROR(OFFSET('HARGA SATUAN'!$D$6,MATCH(RAB!C48,'HARGA SATUAN'!$C$7:$C$1495,0),0)),"",OFFSET('HARGA SATUAN'!$D$6,MATCH(RAB!C48,'HARGA SATUAN'!$C$7:$C$1495,0),0))</f>
        <v/>
      </c>
      <c r="E48" s="306" t="str">
        <f ca="1">IF(B48="+","Unit",IF(ISERROR(OFFSET('HARGA SATUAN'!$E$6,MATCH(RAB!C48,'HARGA SATUAN'!$C$7:$C$1495,0),0)),"",OFFSET('HARGA SATUAN'!$E$6,MATCH(RAB!C48,'HARGA SATUAN'!$C$7:$C$1495,0),0)))</f>
        <v>Unit</v>
      </c>
      <c r="F48" s="453">
        <v>4</v>
      </c>
      <c r="G48" s="307">
        <f ca="1">IF(ISERROR(OFFSET('HARGA SATUAN'!$I$6,MATCH(RAB!C48,'HARGA SATUAN'!$C$7:$C$1495,0),0)),0,OFFSET('HARGA SATUAN'!$I$6,MATCH(RAB!C48,'HARGA SATUAN'!$C$7:$C$1495,0),0))</f>
        <v>0</v>
      </c>
      <c r="H48" s="308">
        <f t="shared" ca="1" si="9"/>
        <v>0</v>
      </c>
      <c r="I48" s="308">
        <f t="shared" ca="1" si="10"/>
        <v>0</v>
      </c>
      <c r="J48" s="308">
        <f t="shared" ca="1" si="11"/>
        <v>0</v>
      </c>
      <c r="K48" s="309">
        <f t="shared" ca="1" si="12"/>
        <v>0</v>
      </c>
      <c r="L48" s="316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720">
        <v>1</v>
      </c>
      <c r="C49" s="721" t="s">
        <v>30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Bh</v>
      </c>
      <c r="F49" s="453">
        <f>F48*1</f>
        <v>4</v>
      </c>
      <c r="G49" s="307">
        <f ca="1">IF(ISERROR(OFFSET('HARGA SATUAN'!$I$6,MATCH(RAB!C49,'HARGA SATUAN'!$C$7:$C$1495,0),0)),0,OFFSET('HARGA SATUAN'!$I$6,MATCH(RAB!C49,'HARGA SATUAN'!$C$7:$C$1495,0),0))</f>
        <v>47459</v>
      </c>
      <c r="H49" s="308">
        <f t="shared" ca="1" si="9"/>
        <v>0</v>
      </c>
      <c r="I49" s="308">
        <f t="shared" ca="1" si="10"/>
        <v>189836</v>
      </c>
      <c r="J49" s="308">
        <f t="shared" ca="1" si="11"/>
        <v>0</v>
      </c>
      <c r="K49" s="309">
        <f t="shared" ca="1" si="12"/>
        <v>189836</v>
      </c>
      <c r="L49" s="316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720">
        <v>2</v>
      </c>
      <c r="C50" s="721" t="s">
        <v>32</v>
      </c>
      <c r="D50" s="305" t="str">
        <f ca="1">IF(ISERROR(OFFSET('HARGA SATUAN'!$D$6,MATCH(RAB!C50,'HARGA SATUAN'!$C$7:$C$1495,0),0)),"",OFFSET('HARGA SATUAN'!$D$6,MATCH(RAB!C50,'HARGA SATUAN'!$C$7:$C$1495,0),0))</f>
        <v>HDW</v>
      </c>
      <c r="E50" s="306" t="str">
        <f ca="1">IF(B50="+","Unit",IF(ISERROR(OFFSET('HARGA SATUAN'!$E$6,MATCH(RAB!C50,'HARGA SATUAN'!$C$7:$C$1495,0),0)),"",OFFSET('HARGA SATUAN'!$E$6,MATCH(RAB!C50,'HARGA SATUAN'!$C$7:$C$1495,0),0)))</f>
        <v>Mtr</v>
      </c>
      <c r="F50" s="453">
        <f>F48*0.8</f>
        <v>3.2</v>
      </c>
      <c r="G50" s="307">
        <f ca="1">IF(ISERROR(OFFSET('HARGA SATUAN'!$I$6,MATCH(RAB!C50,'HARGA SATUAN'!$C$7:$C$1495,0),0)),0,OFFSET('HARGA SATUAN'!$I$6,MATCH(RAB!C50,'HARGA SATUAN'!$C$7:$C$1495,0),0))</f>
        <v>30000</v>
      </c>
      <c r="H50" s="308">
        <f t="shared" ca="1" si="9"/>
        <v>0</v>
      </c>
      <c r="I50" s="308">
        <f t="shared" ca="1" si="10"/>
        <v>96000</v>
      </c>
      <c r="J50" s="308">
        <f t="shared" ca="1" si="11"/>
        <v>0</v>
      </c>
      <c r="K50" s="309">
        <f t="shared" ca="1" si="12"/>
        <v>96000</v>
      </c>
      <c r="L50" s="316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720">
        <v>3</v>
      </c>
      <c r="C51" s="721" t="s">
        <v>33</v>
      </c>
      <c r="D51" s="305" t="str">
        <f ca="1">IF(ISERROR(OFFSET('HARGA SATUAN'!$D$6,MATCH(RAB!C51,'HARGA SATUAN'!$C$7:$C$1495,0),0)),"",OFFSET('HARGA SATUAN'!$D$6,MATCH(RAB!C51,'HARGA SATUAN'!$C$7:$C$1495,0),0))</f>
        <v>HDW</v>
      </c>
      <c r="E51" s="306" t="str">
        <f ca="1">IF(B51="+","Unit",IF(ISERROR(OFFSET('HARGA SATUAN'!$E$6,MATCH(RAB!C51,'HARGA SATUAN'!$C$7:$C$1495,0),0)),"",OFFSET('HARGA SATUAN'!$E$6,MATCH(RAB!C51,'HARGA SATUAN'!$C$7:$C$1495,0),0)))</f>
        <v>Bh</v>
      </c>
      <c r="F51" s="453">
        <f>F48*1</f>
        <v>4</v>
      </c>
      <c r="G51" s="307">
        <f ca="1">IF(ISERROR(OFFSET('HARGA SATUAN'!$I$6,MATCH(RAB!C51,'HARGA SATUAN'!$C$7:$C$1495,0),0)),0,OFFSET('HARGA SATUAN'!$I$6,MATCH(RAB!C51,'HARGA SATUAN'!$C$7:$C$1495,0),0))</f>
        <v>9500</v>
      </c>
      <c r="H51" s="308">
        <f t="shared" ca="1" si="9"/>
        <v>0</v>
      </c>
      <c r="I51" s="308">
        <f t="shared" ca="1" si="10"/>
        <v>38000</v>
      </c>
      <c r="J51" s="308">
        <f t="shared" ca="1" si="11"/>
        <v>0</v>
      </c>
      <c r="K51" s="309">
        <f t="shared" ca="1" si="12"/>
        <v>38000</v>
      </c>
      <c r="L51" s="316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720">
        <v>4</v>
      </c>
      <c r="C52" s="721" t="s">
        <v>737</v>
      </c>
      <c r="D52" s="305" t="str">
        <f ca="1">IF(ISERROR(OFFSET('HARGA SATUAN'!$D$6,MATCH(RAB!C52,'HARGA SATUAN'!$C$7:$C$1495,0),0)),"",OFFSET('HARGA SATUAN'!$D$6,MATCH(RAB!C52,'HARGA SATUAN'!$C$7:$C$1495,0),0))</f>
        <v>JASA</v>
      </c>
      <c r="E52" s="306" t="str">
        <f ca="1">IF(B52="+","Unit",IF(ISERROR(OFFSET('HARGA SATUAN'!$E$6,MATCH(RAB!C52,'HARGA SATUAN'!$C$7:$C$1495,0),0)),"",OFFSET('HARGA SATUAN'!$E$6,MATCH(RAB!C52,'HARGA SATUAN'!$C$7:$C$1495,0),0)))</f>
        <v>Unit</v>
      </c>
      <c r="F52" s="453">
        <f>F48*1</f>
        <v>4</v>
      </c>
      <c r="G52" s="307">
        <f ca="1">IF(ISERROR(OFFSET('HARGA SATUAN'!$I$6,MATCH(RAB!C52,'HARGA SATUAN'!$C$7:$C$1495,0),0)),0,OFFSET('HARGA SATUAN'!$I$6,MATCH(RAB!C52,'HARGA SATUAN'!$C$7:$C$1495,0),0))</f>
        <v>16200</v>
      </c>
      <c r="H52" s="308">
        <f t="shared" ca="1" si="9"/>
        <v>0</v>
      </c>
      <c r="I52" s="308">
        <f t="shared" ca="1" si="10"/>
        <v>0</v>
      </c>
      <c r="J52" s="308">
        <f t="shared" ca="1" si="11"/>
        <v>64800</v>
      </c>
      <c r="K52" s="309">
        <f t="shared" ca="1" si="12"/>
        <v>64800</v>
      </c>
      <c r="L52" s="316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720"/>
      <c r="C53" s="464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53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ca="1" si="9"/>
        <v>0</v>
      </c>
      <c r="I53" s="308">
        <f t="shared" ca="1" si="10"/>
        <v>0</v>
      </c>
      <c r="J53" s="308">
        <f t="shared" ca="1" si="11"/>
        <v>0</v>
      </c>
      <c r="K53" s="309">
        <f t="shared" ca="1" si="12"/>
        <v>0</v>
      </c>
      <c r="L53" s="316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720" t="s">
        <v>1035</v>
      </c>
      <c r="C54" s="721" t="s">
        <v>1632</v>
      </c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>Unit</v>
      </c>
      <c r="F54" s="453">
        <v>2</v>
      </c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9"/>
        <v>0</v>
      </c>
      <c r="I54" s="308">
        <f t="shared" ca="1" si="10"/>
        <v>0</v>
      </c>
      <c r="J54" s="308">
        <f t="shared" ca="1" si="11"/>
        <v>0</v>
      </c>
      <c r="K54" s="309">
        <f t="shared" ca="1" si="12"/>
        <v>0</v>
      </c>
      <c r="L54" s="316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720">
        <v>1</v>
      </c>
      <c r="C55" s="721" t="s">
        <v>30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Bh</v>
      </c>
      <c r="F55" s="453">
        <f>F54*1</f>
        <v>2</v>
      </c>
      <c r="G55" s="307">
        <f ca="1">IF(ISERROR(OFFSET('HARGA SATUAN'!$I$6,MATCH(RAB!C55,'HARGA SATUAN'!$C$7:$C$1495,0),0)),0,OFFSET('HARGA SATUAN'!$I$6,MATCH(RAB!C55,'HARGA SATUAN'!$C$7:$C$1495,0),0))</f>
        <v>47459</v>
      </c>
      <c r="H55" s="308">
        <f t="shared" ca="1" si="9"/>
        <v>0</v>
      </c>
      <c r="I55" s="308">
        <f t="shared" ca="1" si="10"/>
        <v>94918</v>
      </c>
      <c r="J55" s="308">
        <f t="shared" ca="1" si="11"/>
        <v>0</v>
      </c>
      <c r="K55" s="309">
        <f t="shared" ca="1" si="12"/>
        <v>94918</v>
      </c>
      <c r="L55" s="316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720">
        <v>2</v>
      </c>
      <c r="C56" s="721" t="s">
        <v>32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Mtr</v>
      </c>
      <c r="F56" s="453">
        <f>F54*1</f>
        <v>2</v>
      </c>
      <c r="G56" s="307">
        <f ca="1">IF(ISERROR(OFFSET('HARGA SATUAN'!$I$6,MATCH(RAB!C56,'HARGA SATUAN'!$C$7:$C$1495,0),0)),0,OFFSET('HARGA SATUAN'!$I$6,MATCH(RAB!C56,'HARGA SATUAN'!$C$7:$C$1495,0),0))</f>
        <v>30000</v>
      </c>
      <c r="H56" s="308">
        <f t="shared" ca="1" si="9"/>
        <v>0</v>
      </c>
      <c r="I56" s="308">
        <f t="shared" ca="1" si="10"/>
        <v>60000</v>
      </c>
      <c r="J56" s="308">
        <f t="shared" ca="1" si="11"/>
        <v>0</v>
      </c>
      <c r="K56" s="309">
        <f t="shared" ca="1" si="12"/>
        <v>60000</v>
      </c>
      <c r="L56" s="316"/>
      <c r="M56" s="289"/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720">
        <v>3</v>
      </c>
      <c r="C57" s="721" t="s">
        <v>33</v>
      </c>
      <c r="D57" s="305" t="str">
        <f ca="1">IF(ISERROR(OFFSET('HARGA SATUAN'!$D$6,MATCH(RAB!C57,'HARGA SATUAN'!$C$7:$C$1495,0),0)),"",OFFSET('HARGA SATUAN'!$D$6,MATCH(RAB!C57,'HARGA SATUAN'!$C$7:$C$1495,0),0))</f>
        <v>HDW</v>
      </c>
      <c r="E57" s="306" t="str">
        <f ca="1">IF(B57="+","Unit",IF(ISERROR(OFFSET('HARGA SATUAN'!$E$6,MATCH(RAB!C57,'HARGA SATUAN'!$C$7:$C$1495,0),0)),"",OFFSET('HARGA SATUAN'!$E$6,MATCH(RAB!C57,'HARGA SATUAN'!$C$7:$C$1495,0),0)))</f>
        <v>Bh</v>
      </c>
      <c r="F57" s="453">
        <f>F54*1</f>
        <v>2</v>
      </c>
      <c r="G57" s="307">
        <f ca="1">IF(ISERROR(OFFSET('HARGA SATUAN'!$I$6,MATCH(RAB!C57,'HARGA SATUAN'!$C$7:$C$1495,0),0)),0,OFFSET('HARGA SATUAN'!$I$6,MATCH(RAB!C57,'HARGA SATUAN'!$C$7:$C$1495,0),0))</f>
        <v>9500</v>
      </c>
      <c r="H57" s="308">
        <f t="shared" ca="1" si="9"/>
        <v>0</v>
      </c>
      <c r="I57" s="308">
        <f t="shared" ca="1" si="10"/>
        <v>19000</v>
      </c>
      <c r="J57" s="308">
        <f t="shared" ca="1" si="11"/>
        <v>0</v>
      </c>
      <c r="K57" s="309">
        <f t="shared" ca="1" si="12"/>
        <v>19000</v>
      </c>
      <c r="L57" s="316"/>
      <c r="M57" s="289"/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>
      <c r="A58" s="283"/>
      <c r="B58" s="720">
        <v>4</v>
      </c>
      <c r="C58" s="721" t="s">
        <v>738</v>
      </c>
      <c r="D58" s="305" t="str">
        <f ca="1">IF(ISERROR(OFFSET('HARGA SATUAN'!$D$6,MATCH(RAB!C58,'HARGA SATUAN'!$C$7:$C$1495,0),0)),"",OFFSET('HARGA SATUAN'!$D$6,MATCH(RAB!C58,'HARGA SATUAN'!$C$7:$C$1495,0),0))</f>
        <v>JASA</v>
      </c>
      <c r="E58" s="306" t="str">
        <f ca="1">IF(B58="+","Unit",IF(ISERROR(OFFSET('HARGA SATUAN'!$E$6,MATCH(RAB!C58,'HARGA SATUAN'!$C$7:$C$1495,0),0)),"",OFFSET('HARGA SATUAN'!$E$6,MATCH(RAB!C58,'HARGA SATUAN'!$C$7:$C$1495,0),0)))</f>
        <v>Unit</v>
      </c>
      <c r="F58" s="453">
        <f>F54*1</f>
        <v>2</v>
      </c>
      <c r="G58" s="307">
        <f ca="1">IF(ISERROR(OFFSET('HARGA SATUAN'!$I$6,MATCH(RAB!C58,'HARGA SATUAN'!$C$7:$C$1495,0),0)),0,OFFSET('HARGA SATUAN'!$I$6,MATCH(RAB!C58,'HARGA SATUAN'!$C$7:$C$1495,0),0))</f>
        <v>21200</v>
      </c>
      <c r="H58" s="308">
        <f t="shared" ca="1" si="9"/>
        <v>0</v>
      </c>
      <c r="I58" s="308">
        <f t="shared" ca="1" si="10"/>
        <v>0</v>
      </c>
      <c r="J58" s="308">
        <f t="shared" ca="1" si="11"/>
        <v>42400</v>
      </c>
      <c r="K58" s="309">
        <f t="shared" ca="1" si="12"/>
        <v>42400</v>
      </c>
      <c r="L58" s="316"/>
      <c r="M58" s="289"/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>
      <c r="A59" s="283"/>
      <c r="B59" s="720"/>
      <c r="C59" s="464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53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9"/>
        <v>0</v>
      </c>
      <c r="I59" s="308">
        <f t="shared" ca="1" si="10"/>
        <v>0</v>
      </c>
      <c r="J59" s="308">
        <f t="shared" ca="1" si="11"/>
        <v>0</v>
      </c>
      <c r="K59" s="309">
        <f t="shared" ca="1" si="12"/>
        <v>0</v>
      </c>
      <c r="L59" s="316"/>
      <c r="M59" s="289"/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>
      <c r="A60" s="283"/>
      <c r="B60" s="452" t="s">
        <v>1035</v>
      </c>
      <c r="C60" s="722" t="s">
        <v>1635</v>
      </c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>Unit</v>
      </c>
      <c r="F60" s="453">
        <v>2</v>
      </c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9"/>
        <v>0</v>
      </c>
      <c r="I60" s="308">
        <f t="shared" ca="1" si="10"/>
        <v>0</v>
      </c>
      <c r="J60" s="308">
        <f t="shared" ca="1" si="11"/>
        <v>0</v>
      </c>
      <c r="K60" s="309">
        <f t="shared" ca="1" si="12"/>
        <v>0</v>
      </c>
      <c r="L60" s="316"/>
      <c r="M60" s="289"/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>
      <c r="A61" s="283"/>
      <c r="B61" s="720">
        <v>1</v>
      </c>
      <c r="C61" s="721" t="s">
        <v>28</v>
      </c>
      <c r="D61" s="305" t="str">
        <f ca="1">IF(ISERROR(OFFSET('HARGA SATUAN'!$D$6,MATCH(RAB!C61,'HARGA SATUAN'!$C$7:$C$1495,0),0)),"",OFFSET('HARGA SATUAN'!$D$6,MATCH(RAB!C61,'HARGA SATUAN'!$C$7:$C$1495,0),0))</f>
        <v>HDW</v>
      </c>
      <c r="E61" s="306" t="str">
        <f ca="1">IF(B61="+","Unit",IF(ISERROR(OFFSET('HARGA SATUAN'!$E$6,MATCH(RAB!C61,'HARGA SATUAN'!$C$7:$C$1495,0),0)),"",OFFSET('HARGA SATUAN'!$E$6,MATCH(RAB!C61,'HARGA SATUAN'!$C$7:$C$1495,0),0)))</f>
        <v>Bh</v>
      </c>
      <c r="F61" s="453">
        <f>F60*1</f>
        <v>2</v>
      </c>
      <c r="G61" s="307">
        <f ca="1">IF(ISERROR(OFFSET('HARGA SATUAN'!$I$6,MATCH(RAB!C61,'HARGA SATUAN'!$C$7:$C$1495,0),0)),0,OFFSET('HARGA SATUAN'!$I$6,MATCH(RAB!C61,'HARGA SATUAN'!$C$7:$C$1495,0),0))</f>
        <v>26500</v>
      </c>
      <c r="H61" s="308">
        <f t="shared" ca="1" si="9"/>
        <v>0</v>
      </c>
      <c r="I61" s="308">
        <f t="shared" ca="1" si="10"/>
        <v>53000</v>
      </c>
      <c r="J61" s="308">
        <f t="shared" ca="1" si="11"/>
        <v>0</v>
      </c>
      <c r="K61" s="309">
        <f t="shared" ca="1" si="12"/>
        <v>53000</v>
      </c>
      <c r="L61" s="316"/>
      <c r="M61" s="289"/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>
      <c r="A62" s="283"/>
      <c r="B62" s="720">
        <v>2</v>
      </c>
      <c r="C62" s="721" t="s">
        <v>203</v>
      </c>
      <c r="D62" s="305" t="str">
        <f ca="1">IF(ISERROR(OFFSET('HARGA SATUAN'!$D$6,MATCH(RAB!C62,'HARGA SATUAN'!$C$7:$C$1495,0),0)),"",OFFSET('HARGA SATUAN'!$D$6,MATCH(RAB!C62,'HARGA SATUAN'!$C$7:$C$1495,0),0))</f>
        <v>HDW</v>
      </c>
      <c r="E62" s="306" t="str">
        <f ca="1">IF(B62="+","Unit",IF(ISERROR(OFFSET('HARGA SATUAN'!$E$6,MATCH(RAB!C62,'HARGA SATUAN'!$C$7:$C$1495,0),0)),"",OFFSET('HARGA SATUAN'!$E$6,MATCH(RAB!C62,'HARGA SATUAN'!$C$7:$C$1495,0),0)))</f>
        <v>Bh</v>
      </c>
      <c r="F62" s="453">
        <f>F60*1</f>
        <v>2</v>
      </c>
      <c r="G62" s="307">
        <f ca="1">IF(ISERROR(OFFSET('HARGA SATUAN'!$I$6,MATCH(RAB!C62,'HARGA SATUAN'!$C$7:$C$1495,0),0)),0,OFFSET('HARGA SATUAN'!$I$6,MATCH(RAB!C62,'HARGA SATUAN'!$C$7:$C$1495,0),0))</f>
        <v>12500</v>
      </c>
      <c r="H62" s="308">
        <f t="shared" ca="1" si="9"/>
        <v>0</v>
      </c>
      <c r="I62" s="308">
        <f t="shared" ca="1" si="10"/>
        <v>25000</v>
      </c>
      <c r="J62" s="308">
        <f t="shared" ca="1" si="11"/>
        <v>0</v>
      </c>
      <c r="K62" s="309">
        <f t="shared" ca="1" si="12"/>
        <v>25000</v>
      </c>
      <c r="L62" s="316"/>
      <c r="M62" s="289"/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>
      <c r="A63" s="283"/>
      <c r="B63" s="720">
        <v>3</v>
      </c>
      <c r="C63" s="721" t="s">
        <v>205</v>
      </c>
      <c r="D63" s="305" t="str">
        <f ca="1">IF(ISERROR(OFFSET('HARGA SATUAN'!$D$6,MATCH(RAB!C63,'HARGA SATUAN'!$C$7:$C$1495,0),0)),"",OFFSET('HARGA SATUAN'!$D$6,MATCH(RAB!C63,'HARGA SATUAN'!$C$7:$C$1495,0),0))</f>
        <v>HDW</v>
      </c>
      <c r="E63" s="306" t="str">
        <f ca="1">IF(B63="+","Unit",IF(ISERROR(OFFSET('HARGA SATUAN'!$E$6,MATCH(RAB!C63,'HARGA SATUAN'!$C$7:$C$1495,0),0)),"",OFFSET('HARGA SATUAN'!$E$6,MATCH(RAB!C63,'HARGA SATUAN'!$C$7:$C$1495,0),0)))</f>
        <v>Mtr</v>
      </c>
      <c r="F63" s="453">
        <f>F60*12</f>
        <v>24</v>
      </c>
      <c r="G63" s="307">
        <f ca="1">IF(ISERROR(OFFSET('HARGA SATUAN'!$I$6,MATCH(RAB!C63,'HARGA SATUAN'!$C$7:$C$1495,0),0)),0,OFFSET('HARGA SATUAN'!$I$6,MATCH(RAB!C63,'HARGA SATUAN'!$C$7:$C$1495,0),0))</f>
        <v>24300</v>
      </c>
      <c r="H63" s="308">
        <f t="shared" ca="1" si="9"/>
        <v>0</v>
      </c>
      <c r="I63" s="308">
        <f t="shared" ca="1" si="10"/>
        <v>583200</v>
      </c>
      <c r="J63" s="308">
        <f t="shared" ca="1" si="11"/>
        <v>0</v>
      </c>
      <c r="K63" s="309">
        <f t="shared" ca="1" si="12"/>
        <v>583200</v>
      </c>
      <c r="L63" s="316"/>
      <c r="M63" s="289"/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>
      <c r="A64" s="283"/>
      <c r="B64" s="720">
        <v>4</v>
      </c>
      <c r="C64" s="721" t="s">
        <v>287</v>
      </c>
      <c r="D64" s="305" t="str">
        <f ca="1">IF(ISERROR(OFFSET('HARGA SATUAN'!$D$6,MATCH(RAB!C64,'HARGA SATUAN'!$C$7:$C$1495,0),0)),"",OFFSET('HARGA SATUAN'!$D$6,MATCH(RAB!C64,'HARGA SATUAN'!$C$7:$C$1495,0),0))</f>
        <v>HDW</v>
      </c>
      <c r="E64" s="306" t="str">
        <f ca="1">IF(B64="+","Unit",IF(ISERROR(OFFSET('HARGA SATUAN'!$E$6,MATCH(RAB!C64,'HARGA SATUAN'!$C$7:$C$1495,0),0)),"",OFFSET('HARGA SATUAN'!$E$6,MATCH(RAB!C64,'HARGA SATUAN'!$C$7:$C$1495,0),0)))</f>
        <v>Bh</v>
      </c>
      <c r="F64" s="453">
        <f>F60*2</f>
        <v>4</v>
      </c>
      <c r="G64" s="307">
        <f ca="1">IF(ISERROR(OFFSET('HARGA SATUAN'!$I$6,MATCH(RAB!C64,'HARGA SATUAN'!$C$7:$C$1495,0),0)),0,OFFSET('HARGA SATUAN'!$I$6,MATCH(RAB!C64,'HARGA SATUAN'!$C$7:$C$1495,0),0))</f>
        <v>40000</v>
      </c>
      <c r="H64" s="308">
        <f t="shared" ca="1" si="9"/>
        <v>0</v>
      </c>
      <c r="I64" s="308">
        <f t="shared" ca="1" si="10"/>
        <v>160000</v>
      </c>
      <c r="J64" s="308">
        <f t="shared" ca="1" si="11"/>
        <v>0</v>
      </c>
      <c r="K64" s="309">
        <f t="shared" ca="1" si="12"/>
        <v>160000</v>
      </c>
      <c r="L64" s="316"/>
      <c r="M64" s="289"/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>
      <c r="A65" s="283"/>
      <c r="B65" s="720">
        <v>5</v>
      </c>
      <c r="C65" s="721" t="s">
        <v>26</v>
      </c>
      <c r="D65" s="305" t="str">
        <f ca="1">IF(ISERROR(OFFSET('HARGA SATUAN'!$D$6,MATCH(RAB!C65,'HARGA SATUAN'!$C$7:$C$1495,0),0)),"",OFFSET('HARGA SATUAN'!$D$6,MATCH(RAB!C65,'HARGA SATUAN'!$C$7:$C$1495,0),0))</f>
        <v>HDW</v>
      </c>
      <c r="E65" s="306" t="str">
        <f ca="1">IF(B65="+","Unit",IF(ISERROR(OFFSET('HARGA SATUAN'!$E$6,MATCH(RAB!C65,'HARGA SATUAN'!$C$7:$C$1495,0),0)),"",OFFSET('HARGA SATUAN'!$E$6,MATCH(RAB!C65,'HARGA SATUAN'!$C$7:$C$1495,0),0)))</f>
        <v>Bh</v>
      </c>
      <c r="F65" s="453">
        <f>F60*1</f>
        <v>2</v>
      </c>
      <c r="G65" s="307">
        <f ca="1">IF(ISERROR(OFFSET('HARGA SATUAN'!$I$6,MATCH(RAB!C65,'HARGA SATUAN'!$C$7:$C$1495,0),0)),0,OFFSET('HARGA SATUAN'!$I$6,MATCH(RAB!C65,'HARGA SATUAN'!$C$7:$C$1495,0),0))</f>
        <v>2500</v>
      </c>
      <c r="H65" s="308">
        <f t="shared" ca="1" si="9"/>
        <v>0</v>
      </c>
      <c r="I65" s="308">
        <f t="shared" ca="1" si="10"/>
        <v>5000</v>
      </c>
      <c r="J65" s="308">
        <f t="shared" ca="1" si="11"/>
        <v>0</v>
      </c>
      <c r="K65" s="309">
        <f t="shared" ca="1" si="12"/>
        <v>5000</v>
      </c>
      <c r="L65" s="316"/>
      <c r="M65" s="289"/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720">
        <v>6</v>
      </c>
      <c r="C66" s="721" t="s">
        <v>759</v>
      </c>
      <c r="D66" s="305" t="str">
        <f ca="1">IF(ISERROR(OFFSET('HARGA SATUAN'!$D$6,MATCH(RAB!C66,'HARGA SATUAN'!$C$7:$C$1495,0),0)),"",OFFSET('HARGA SATUAN'!$D$6,MATCH(RAB!C66,'HARGA SATUAN'!$C$7:$C$1495,0),0))</f>
        <v>JASA</v>
      </c>
      <c r="E66" s="306" t="str">
        <f ca="1">IF(B66="+","Unit",IF(ISERROR(OFFSET('HARGA SATUAN'!$E$6,MATCH(RAB!C66,'HARGA SATUAN'!$C$7:$C$1495,0),0)),"",OFFSET('HARGA SATUAN'!$E$6,MATCH(RAB!C66,'HARGA SATUAN'!$C$7:$C$1495,0),0)))</f>
        <v>Unit</v>
      </c>
      <c r="F66" s="453">
        <f>F60*1</f>
        <v>2</v>
      </c>
      <c r="G66" s="307">
        <f ca="1">IF(ISERROR(OFFSET('HARGA SATUAN'!$I$6,MATCH(RAB!C66,'HARGA SATUAN'!$C$7:$C$1495,0),0)),0,OFFSET('HARGA SATUAN'!$I$6,MATCH(RAB!C66,'HARGA SATUAN'!$C$7:$C$1495,0),0))</f>
        <v>43500</v>
      </c>
      <c r="H66" s="308">
        <f t="shared" ca="1" si="9"/>
        <v>0</v>
      </c>
      <c r="I66" s="308">
        <f t="shared" ca="1" si="10"/>
        <v>0</v>
      </c>
      <c r="J66" s="308">
        <f t="shared" ca="1" si="11"/>
        <v>87000</v>
      </c>
      <c r="K66" s="309">
        <f t="shared" ca="1" si="12"/>
        <v>87000</v>
      </c>
      <c r="L66" s="316"/>
      <c r="M66" s="289"/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462"/>
      <c r="C67" s="463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53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9"/>
        <v>0</v>
      </c>
      <c r="I67" s="308">
        <f t="shared" ca="1" si="10"/>
        <v>0</v>
      </c>
      <c r="J67" s="308">
        <f t="shared" ca="1" si="11"/>
        <v>0</v>
      </c>
      <c r="K67" s="309">
        <f t="shared" ca="1" si="12"/>
        <v>0</v>
      </c>
      <c r="L67" s="316"/>
      <c r="M67" s="289" t="str">
        <f ca="1">IF(AND(F67&gt;0,F32=0),"",IF(AND(ISBLANK(F67)=FALSE,K67=0),"WARNING",""))</f>
        <v/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720" t="s">
        <v>1035</v>
      </c>
      <c r="C68" s="721" t="s">
        <v>1636</v>
      </c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>Unit</v>
      </c>
      <c r="F68" s="723">
        <v>2</v>
      </c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9"/>
        <v>0</v>
      </c>
      <c r="I68" s="308">
        <f t="shared" ca="1" si="10"/>
        <v>0</v>
      </c>
      <c r="J68" s="308">
        <f t="shared" ca="1" si="11"/>
        <v>0</v>
      </c>
      <c r="K68" s="309">
        <f t="shared" ca="1" si="12"/>
        <v>0</v>
      </c>
      <c r="L68" s="316"/>
      <c r="M68" s="289" t="str">
        <f t="shared" si="13"/>
        <v/>
      </c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720">
        <v>1</v>
      </c>
      <c r="C69" s="721" t="s">
        <v>262</v>
      </c>
      <c r="D69" s="305" t="str">
        <f ca="1">IF(ISERROR(OFFSET('HARGA SATUAN'!$D$6,MATCH(RAB!C69,'HARGA SATUAN'!$C$7:$C$1495,0),0)),"",OFFSET('HARGA SATUAN'!$D$6,MATCH(RAB!C69,'HARGA SATUAN'!$C$7:$C$1495,0),0))</f>
        <v>HDW</v>
      </c>
      <c r="E69" s="306" t="str">
        <f ca="1">IF(B69="+","Unit",IF(ISERROR(OFFSET('HARGA SATUAN'!$E$6,MATCH(RAB!C69,'HARGA SATUAN'!$C$7:$C$1495,0),0)),"",OFFSET('HARGA SATUAN'!$E$6,MATCH(RAB!C69,'HARGA SATUAN'!$C$7:$C$1495,0),0)))</f>
        <v>Bh</v>
      </c>
      <c r="F69" s="723">
        <f>F68*1</f>
        <v>2</v>
      </c>
      <c r="G69" s="307">
        <f ca="1">IF(ISERROR(OFFSET('HARGA SATUAN'!$I$6,MATCH(RAB!C69,'HARGA SATUAN'!$C$7:$C$1495,0),0)),0,OFFSET('HARGA SATUAN'!$I$6,MATCH(RAB!C69,'HARGA SATUAN'!$C$7:$C$1495,0),0))</f>
        <v>104200</v>
      </c>
      <c r="H69" s="308">
        <f t="shared" ca="1" si="9"/>
        <v>0</v>
      </c>
      <c r="I69" s="308">
        <f t="shared" ca="1" si="10"/>
        <v>208400</v>
      </c>
      <c r="J69" s="308">
        <f t="shared" ca="1" si="11"/>
        <v>0</v>
      </c>
      <c r="K69" s="309">
        <f t="shared" ca="1" si="12"/>
        <v>208400</v>
      </c>
      <c r="L69" s="316"/>
      <c r="M69" s="289" t="str">
        <f t="shared" ca="1" si="13"/>
        <v/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720">
        <v>2</v>
      </c>
      <c r="C70" s="721" t="s">
        <v>596</v>
      </c>
      <c r="D70" s="305" t="str">
        <f ca="1">IF(ISERROR(OFFSET('HARGA SATUAN'!$D$6,MATCH(RAB!C70,'HARGA SATUAN'!$C$7:$C$1495,0),0)),"",OFFSET('HARGA SATUAN'!$D$6,MATCH(RAB!C70,'HARGA SATUAN'!$C$7:$C$1495,0),0))</f>
        <v>HDW</v>
      </c>
      <c r="E70" s="306" t="str">
        <f ca="1">IF(B70="+","Unit",IF(ISERROR(OFFSET('HARGA SATUAN'!$E$6,MATCH(RAB!C70,'HARGA SATUAN'!$C$7:$C$1495,0),0)),"",OFFSET('HARGA SATUAN'!$E$6,MATCH(RAB!C70,'HARGA SATUAN'!$C$7:$C$1495,0),0)))</f>
        <v>Bh</v>
      </c>
      <c r="F70" s="723">
        <f>F68*1</f>
        <v>2</v>
      </c>
      <c r="G70" s="307">
        <f ca="1">IF(ISERROR(OFFSET('HARGA SATUAN'!$I$6,MATCH(RAB!C70,'HARGA SATUAN'!$C$7:$C$1495,0),0)),0,OFFSET('HARGA SATUAN'!$I$6,MATCH(RAB!C70,'HARGA SATUAN'!$C$7:$C$1495,0),0))</f>
        <v>120000</v>
      </c>
      <c r="H70" s="308">
        <f t="shared" ca="1" si="9"/>
        <v>0</v>
      </c>
      <c r="I70" s="308">
        <f t="shared" ca="1" si="10"/>
        <v>240000</v>
      </c>
      <c r="J70" s="308">
        <f t="shared" ca="1" si="11"/>
        <v>0</v>
      </c>
      <c r="K70" s="309">
        <f t="shared" ca="1" si="12"/>
        <v>240000</v>
      </c>
      <c r="L70" s="316"/>
      <c r="M70" s="289" t="str">
        <f t="shared" ca="1" si="13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720">
        <v>4</v>
      </c>
      <c r="C71" s="721" t="s">
        <v>214</v>
      </c>
      <c r="D71" s="305" t="str">
        <f ca="1">IF(ISERROR(OFFSET('HARGA SATUAN'!$D$6,MATCH(RAB!C71,'HARGA SATUAN'!$C$7:$C$1495,0),0)),"",OFFSET('HARGA SATUAN'!$D$6,MATCH(RAB!C71,'HARGA SATUAN'!$C$7:$C$1495,0),0))</f>
        <v>HDW</v>
      </c>
      <c r="E71" s="306" t="str">
        <f ca="1">IF(B71="+","Unit",IF(ISERROR(OFFSET('HARGA SATUAN'!$E$6,MATCH(RAB!C71,'HARGA SATUAN'!$C$7:$C$1495,0),0)),"",OFFSET('HARGA SATUAN'!$E$6,MATCH(RAB!C71,'HARGA SATUAN'!$C$7:$C$1495,0),0)))</f>
        <v>Bh</v>
      </c>
      <c r="F71" s="453">
        <f>F68*1</f>
        <v>2</v>
      </c>
      <c r="G71" s="307">
        <f ca="1">IF(ISERROR(OFFSET('HARGA SATUAN'!$I$6,MATCH(RAB!C71,'HARGA SATUAN'!$C$7:$C$1495,0),0)),0,OFFSET('HARGA SATUAN'!$I$6,MATCH(RAB!C71,'HARGA SATUAN'!$C$7:$C$1495,0),0))</f>
        <v>4500</v>
      </c>
      <c r="H71" s="308">
        <f t="shared" ca="1" si="9"/>
        <v>0</v>
      </c>
      <c r="I71" s="308">
        <f t="shared" ca="1" si="10"/>
        <v>9000</v>
      </c>
      <c r="J71" s="308">
        <f t="shared" ca="1" si="11"/>
        <v>0</v>
      </c>
      <c r="K71" s="309">
        <f t="shared" ca="1" si="12"/>
        <v>9000</v>
      </c>
      <c r="L71" s="316"/>
      <c r="M71" s="289" t="str">
        <f t="shared" ca="1" si="13"/>
        <v/>
      </c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>
      <c r="A72" s="283"/>
      <c r="B72" s="720">
        <v>3</v>
      </c>
      <c r="C72" s="721" t="s">
        <v>767</v>
      </c>
      <c r="D72" s="305" t="str">
        <f ca="1">IF(ISERROR(OFFSET('HARGA SATUAN'!$D$6,MATCH(RAB!C72,'HARGA SATUAN'!$C$7:$C$1495,0),0)),"",OFFSET('HARGA SATUAN'!$D$6,MATCH(RAB!C72,'HARGA SATUAN'!$C$7:$C$1495,0),0))</f>
        <v>JASA</v>
      </c>
      <c r="E72" s="306" t="str">
        <f ca="1">IF(B72="+","Unit",IF(ISERROR(OFFSET('HARGA SATUAN'!$E$6,MATCH(RAB!C72,'HARGA SATUAN'!$C$7:$C$1495,0),0)),"",OFFSET('HARGA SATUAN'!$E$6,MATCH(RAB!C72,'HARGA SATUAN'!$C$7:$C$1495,0),0)))</f>
        <v>Unit</v>
      </c>
      <c r="F72" s="723">
        <f>F68*1</f>
        <v>2</v>
      </c>
      <c r="G72" s="307">
        <f ca="1">IF(ISERROR(OFFSET('HARGA SATUAN'!$I$6,MATCH(RAB!C72,'HARGA SATUAN'!$C$7:$C$1495,0),0)),0,OFFSET('HARGA SATUAN'!$I$6,MATCH(RAB!C72,'HARGA SATUAN'!$C$7:$C$1495,0),0))</f>
        <v>55500</v>
      </c>
      <c r="H72" s="308">
        <f t="shared" ca="1" si="9"/>
        <v>0</v>
      </c>
      <c r="I72" s="308">
        <f t="shared" ca="1" si="10"/>
        <v>0</v>
      </c>
      <c r="J72" s="308">
        <f t="shared" ca="1" si="11"/>
        <v>111000</v>
      </c>
      <c r="K72" s="309">
        <f t="shared" ca="1" si="12"/>
        <v>111000</v>
      </c>
      <c r="L72" s="316"/>
      <c r="M72" s="289" t="str">
        <f t="shared" ca="1" si="13"/>
        <v/>
      </c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462"/>
      <c r="C73" s="463"/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/>
      </c>
      <c r="F73" s="453"/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ca="1" si="9"/>
        <v>0</v>
      </c>
      <c r="I73" s="308">
        <f t="shared" ca="1" si="10"/>
        <v>0</v>
      </c>
      <c r="J73" s="308">
        <f t="shared" ca="1" si="11"/>
        <v>0</v>
      </c>
      <c r="K73" s="309">
        <f t="shared" ca="1" si="12"/>
        <v>0</v>
      </c>
      <c r="L73" s="316"/>
      <c r="M73" s="289" t="str">
        <f t="shared" ca="1" si="13"/>
        <v/>
      </c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318"/>
      <c r="C74" s="319"/>
      <c r="D74" s="305" t="str">
        <f ca="1">IF(ISERROR(OFFSET('HARGA SATUAN'!$D$6,MATCH(RAB!C74,'HARGA SATUAN'!$C$7:$C$1495,0),0)),"",OFFSET('HARGA SATUAN'!$D$6,MATCH(RAB!C74,'HARGA SATUAN'!$C$7:$C$1495,0),0))</f>
        <v/>
      </c>
      <c r="E74" s="306" t="str">
        <f ca="1">IF(B74="+","Unit",IF(ISERROR(OFFSET('HARGA SATUAN'!$E$6,MATCH(RAB!C74,'HARGA SATUAN'!$C$7:$C$1495,0),0)),"",OFFSET('HARGA SATUAN'!$E$6,MATCH(RAB!C74,'HARGA SATUAN'!$C$7:$C$1495,0),0)))</f>
        <v/>
      </c>
      <c r="F74" s="420"/>
      <c r="G74" s="307">
        <f ca="1">IF(ISERROR(OFFSET('HARGA SATUAN'!$I$6,MATCH(RAB!C74,'HARGA SATUAN'!$C$7:$C$1495,0),0)),0,OFFSET('HARGA SATUAN'!$I$6,MATCH(RAB!C74,'HARGA SATUAN'!$C$7:$C$1495,0),0))</f>
        <v>0</v>
      </c>
      <c r="H74" s="308">
        <f t="shared" ref="H74:H83" ca="1" si="14">IF(OR(D74="MDU",D74="MDU-KD"),(IF($O$3="RAB NON MDU","PLN KD",G74*F74)),0)</f>
        <v>0</v>
      </c>
      <c r="I74" s="308">
        <f t="shared" ref="I74:I83" ca="1" si="15">IF(D74="HDW",G74*F74,0)</f>
        <v>0</v>
      </c>
      <c r="J74" s="308">
        <f t="shared" ref="J74:J83" ca="1" si="16">IF(D74="JASA",G74*F74,0)</f>
        <v>0</v>
      </c>
      <c r="K74" s="309">
        <f t="shared" ref="K74:K83" ca="1" si="17">SUM(H74:J74)</f>
        <v>0</v>
      </c>
      <c r="L74" s="316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318" t="s">
        <v>1035</v>
      </c>
      <c r="C75" s="319" t="s">
        <v>1613</v>
      </c>
      <c r="D75" s="305" t="str">
        <f ca="1">IF(ISERROR(OFFSET('HARGA SATUAN'!$D$6,MATCH(RAB!C75,'HARGA SATUAN'!$C$7:$C$1495,0),0)),"",OFFSET('HARGA SATUAN'!$D$6,MATCH(RAB!C75,'HARGA SATUAN'!$C$7:$C$1495,0),0))</f>
        <v/>
      </c>
      <c r="E75" s="306" t="str">
        <f ca="1">IF(B75="+","Unit",IF(ISERROR(OFFSET('HARGA SATUAN'!$E$6,MATCH(RAB!C75,'HARGA SATUAN'!$C$7:$C$1495,0),0)),"",OFFSET('HARGA SATUAN'!$E$6,MATCH(RAB!C75,'HARGA SATUAN'!$C$7:$C$1495,0),0)))</f>
        <v>Unit</v>
      </c>
      <c r="F75" s="453">
        <v>2</v>
      </c>
      <c r="G75" s="307">
        <f ca="1">IF(ISERROR(OFFSET('HARGA SATUAN'!$I$6,MATCH(RAB!C75,'HARGA SATUAN'!$C$7:$C$1495,0),0)),0,OFFSET('HARGA SATUAN'!$I$6,MATCH(RAB!C75,'HARGA SATUAN'!$C$7:$C$1495,0),0))</f>
        <v>0</v>
      </c>
      <c r="H75" s="308">
        <f t="shared" ca="1" si="14"/>
        <v>0</v>
      </c>
      <c r="I75" s="308">
        <f t="shared" ca="1" si="15"/>
        <v>0</v>
      </c>
      <c r="J75" s="308">
        <f t="shared" ca="1" si="16"/>
        <v>0</v>
      </c>
      <c r="K75" s="309">
        <f t="shared" ca="1" si="17"/>
        <v>0</v>
      </c>
      <c r="L75" s="316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318">
        <v>1</v>
      </c>
      <c r="C76" s="319" t="s">
        <v>29</v>
      </c>
      <c r="D76" s="305" t="str">
        <f ca="1">IF(ISERROR(OFFSET('HARGA SATUAN'!$D$6,MATCH(RAB!C76,'HARGA SATUAN'!$C$7:$C$1495,0),0)),"",OFFSET('HARGA SATUAN'!$D$6,MATCH(RAB!C76,'HARGA SATUAN'!$C$7:$C$1495,0),0))</f>
        <v>HDW</v>
      </c>
      <c r="E76" s="306" t="str">
        <f ca="1">IF(B76="+","Unit",IF(ISERROR(OFFSET('HARGA SATUAN'!$E$6,MATCH(RAB!C76,'HARGA SATUAN'!$C$7:$C$1495,0),0)),"",OFFSET('HARGA SATUAN'!$E$6,MATCH(RAB!C76,'HARGA SATUAN'!$C$7:$C$1495,0),0)))</f>
        <v>Bh</v>
      </c>
      <c r="F76" s="453">
        <f>F75*1</f>
        <v>2</v>
      </c>
      <c r="G76" s="307">
        <f ca="1">IF(ISERROR(OFFSET('HARGA SATUAN'!$I$6,MATCH(RAB!C76,'HARGA SATUAN'!$C$7:$C$1495,0),0)),0,OFFSET('HARGA SATUAN'!$I$6,MATCH(RAB!C76,'HARGA SATUAN'!$C$7:$C$1495,0),0))</f>
        <v>185200</v>
      </c>
      <c r="H76" s="308">
        <f t="shared" ca="1" si="14"/>
        <v>0</v>
      </c>
      <c r="I76" s="308">
        <f t="shared" ca="1" si="15"/>
        <v>370400</v>
      </c>
      <c r="J76" s="308">
        <f t="shared" ca="1" si="16"/>
        <v>0</v>
      </c>
      <c r="K76" s="309">
        <f t="shared" ca="1" si="17"/>
        <v>370400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318">
        <v>2</v>
      </c>
      <c r="C77" s="319" t="s">
        <v>30</v>
      </c>
      <c r="D77" s="305" t="str">
        <f ca="1">IF(ISERROR(OFFSET('HARGA SATUAN'!$D$6,MATCH(RAB!C77,'HARGA SATUAN'!$C$7:$C$1495,0),0)),"",OFFSET('HARGA SATUAN'!$D$6,MATCH(RAB!C77,'HARGA SATUAN'!$C$7:$C$1495,0),0))</f>
        <v>HDW</v>
      </c>
      <c r="E77" s="306" t="str">
        <f ca="1">IF(B77="+","Unit",IF(ISERROR(OFFSET('HARGA SATUAN'!$E$6,MATCH(RAB!C77,'HARGA SATUAN'!$C$7:$C$1495,0),0)),"",OFFSET('HARGA SATUAN'!$E$6,MATCH(RAB!C77,'HARGA SATUAN'!$C$7:$C$1495,0),0)))</f>
        <v>Bh</v>
      </c>
      <c r="F77" s="453">
        <f>F75*1</f>
        <v>2</v>
      </c>
      <c r="G77" s="307">
        <f ca="1">IF(ISERROR(OFFSET('HARGA SATUAN'!$I$6,MATCH(RAB!C77,'HARGA SATUAN'!$C$7:$C$1495,0),0)),0,OFFSET('HARGA SATUAN'!$I$6,MATCH(RAB!C77,'HARGA SATUAN'!$C$7:$C$1495,0),0))</f>
        <v>47459</v>
      </c>
      <c r="H77" s="308">
        <f t="shared" ca="1" si="14"/>
        <v>0</v>
      </c>
      <c r="I77" s="308">
        <f t="shared" ca="1" si="15"/>
        <v>94918</v>
      </c>
      <c r="J77" s="308">
        <f t="shared" ca="1" si="16"/>
        <v>0</v>
      </c>
      <c r="K77" s="309">
        <f t="shared" ca="1" si="17"/>
        <v>94918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419">
        <v>3</v>
      </c>
      <c r="C78" s="422" t="s">
        <v>31</v>
      </c>
      <c r="D78" s="305" t="str">
        <f ca="1">IF(ISERROR(OFFSET('HARGA SATUAN'!$D$6,MATCH(RAB!C78,'HARGA SATUAN'!$C$7:$C$1495,0),0)),"",OFFSET('HARGA SATUAN'!$D$6,MATCH(RAB!C78,'HARGA SATUAN'!$C$7:$C$1495,0),0))</f>
        <v>HDW</v>
      </c>
      <c r="E78" s="306" t="str">
        <f ca="1">IF(B78="+","Unit",IF(ISERROR(OFFSET('HARGA SATUAN'!$E$6,MATCH(RAB!C78,'HARGA SATUAN'!$C$7:$C$1495,0),0)),"",OFFSET('HARGA SATUAN'!$E$6,MATCH(RAB!C78,'HARGA SATUAN'!$C$7:$C$1495,0),0)))</f>
        <v>Bh</v>
      </c>
      <c r="F78" s="453">
        <f>F75*1</f>
        <v>2</v>
      </c>
      <c r="G78" s="307">
        <f ca="1">IF(ISERROR(OFFSET('HARGA SATUAN'!$I$6,MATCH(RAB!C78,'HARGA SATUAN'!$C$7:$C$1495,0),0)),0,OFFSET('HARGA SATUAN'!$I$6,MATCH(RAB!C78,'HARGA SATUAN'!$C$7:$C$1495,0),0))</f>
        <v>4880</v>
      </c>
      <c r="H78" s="308">
        <f t="shared" ca="1" si="14"/>
        <v>0</v>
      </c>
      <c r="I78" s="308">
        <f t="shared" ca="1" si="15"/>
        <v>9760</v>
      </c>
      <c r="J78" s="308">
        <f t="shared" ca="1" si="16"/>
        <v>0</v>
      </c>
      <c r="K78" s="309">
        <f t="shared" ca="1" si="17"/>
        <v>9760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318">
        <v>4</v>
      </c>
      <c r="C79" s="319" t="s">
        <v>32</v>
      </c>
      <c r="D79" s="305" t="str">
        <f ca="1">IF(ISERROR(OFFSET('HARGA SATUAN'!$D$6,MATCH(RAB!C79,'HARGA SATUAN'!$C$7:$C$1495,0),0)),"",OFFSET('HARGA SATUAN'!$D$6,MATCH(RAB!C79,'HARGA SATUAN'!$C$7:$C$1495,0),0))</f>
        <v>HDW</v>
      </c>
      <c r="E79" s="306" t="str">
        <f ca="1">IF(B79="+","Unit",IF(ISERROR(OFFSET('HARGA SATUAN'!$E$6,MATCH(RAB!C79,'HARGA SATUAN'!$C$7:$C$1495,0),0)),"",OFFSET('HARGA SATUAN'!$E$6,MATCH(RAB!C79,'HARGA SATUAN'!$C$7:$C$1495,0),0)))</f>
        <v>Mtr</v>
      </c>
      <c r="F79" s="453">
        <f>F75*10</f>
        <v>20</v>
      </c>
      <c r="G79" s="307">
        <f ca="1">IF(ISERROR(OFFSET('HARGA SATUAN'!$I$6,MATCH(RAB!C79,'HARGA SATUAN'!$C$7:$C$1495,0),0)),0,OFFSET('HARGA SATUAN'!$I$6,MATCH(RAB!C79,'HARGA SATUAN'!$C$7:$C$1495,0),0))</f>
        <v>30000</v>
      </c>
      <c r="H79" s="308">
        <f t="shared" ca="1" si="14"/>
        <v>0</v>
      </c>
      <c r="I79" s="308">
        <f t="shared" ca="1" si="15"/>
        <v>600000</v>
      </c>
      <c r="J79" s="308">
        <f t="shared" ca="1" si="16"/>
        <v>0</v>
      </c>
      <c r="K79" s="309">
        <f t="shared" ca="1" si="17"/>
        <v>600000</v>
      </c>
      <c r="L79" s="316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318">
        <v>5</v>
      </c>
      <c r="C80" s="319" t="s">
        <v>33</v>
      </c>
      <c r="D80" s="305" t="str">
        <f ca="1">IF(ISERROR(OFFSET('HARGA SATUAN'!$D$6,MATCH(RAB!C80,'HARGA SATUAN'!$C$7:$C$1495,0),0)),"",OFFSET('HARGA SATUAN'!$D$6,MATCH(RAB!C80,'HARGA SATUAN'!$C$7:$C$1495,0),0))</f>
        <v>HDW</v>
      </c>
      <c r="E80" s="306" t="str">
        <f ca="1">IF(B80="+","Unit",IF(ISERROR(OFFSET('HARGA SATUAN'!$E$6,MATCH(RAB!C80,'HARGA SATUAN'!$C$7:$C$1495,0),0)),"",OFFSET('HARGA SATUAN'!$E$6,MATCH(RAB!C80,'HARGA SATUAN'!$C$7:$C$1495,0),0)))</f>
        <v>Bh</v>
      </c>
      <c r="F80" s="453">
        <f>F75*2</f>
        <v>4</v>
      </c>
      <c r="G80" s="307">
        <f ca="1">IF(ISERROR(OFFSET('HARGA SATUAN'!$I$6,MATCH(RAB!C80,'HARGA SATUAN'!$C$7:$C$1495,0),0)),0,OFFSET('HARGA SATUAN'!$I$6,MATCH(RAB!C80,'HARGA SATUAN'!$C$7:$C$1495,0),0))</f>
        <v>9500</v>
      </c>
      <c r="H80" s="308">
        <f t="shared" ca="1" si="14"/>
        <v>0</v>
      </c>
      <c r="I80" s="308">
        <f t="shared" ca="1" si="15"/>
        <v>38000</v>
      </c>
      <c r="J80" s="308">
        <f t="shared" ca="1" si="16"/>
        <v>0</v>
      </c>
      <c r="K80" s="309">
        <f t="shared" ca="1" si="17"/>
        <v>38000</v>
      </c>
      <c r="L80" s="316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318">
        <v>6</v>
      </c>
      <c r="C81" s="319" t="s">
        <v>34</v>
      </c>
      <c r="D81" s="305" t="str">
        <f ca="1">IF(ISERROR(OFFSET('HARGA SATUAN'!$D$6,MATCH(RAB!C81,'HARGA SATUAN'!$C$7:$C$1495,0),0)),"",OFFSET('HARGA SATUAN'!$D$6,MATCH(RAB!C81,'HARGA SATUAN'!$C$7:$C$1495,0),0))</f>
        <v>HDW</v>
      </c>
      <c r="E81" s="306" t="str">
        <f ca="1">IF(B81="+","Unit",IF(ISERROR(OFFSET('HARGA SATUAN'!$E$6,MATCH(RAB!C81,'HARGA SATUAN'!$C$7:$C$1495,0),0)),"",OFFSET('HARGA SATUAN'!$E$6,MATCH(RAB!C81,'HARGA SATUAN'!$C$7:$C$1495,0),0)))</f>
        <v>Bh</v>
      </c>
      <c r="F81" s="453">
        <f>F75*5.5</f>
        <v>11</v>
      </c>
      <c r="G81" s="307">
        <f ca="1">IF(ISERROR(OFFSET('HARGA SATUAN'!$I$6,MATCH(RAB!C81,'HARGA SATUAN'!$C$7:$C$1495,0),0)),0,OFFSET('HARGA SATUAN'!$I$6,MATCH(RAB!C81,'HARGA SATUAN'!$C$7:$C$1495,0),0))</f>
        <v>6100</v>
      </c>
      <c r="H81" s="308">
        <f t="shared" ca="1" si="14"/>
        <v>0</v>
      </c>
      <c r="I81" s="308">
        <f t="shared" ca="1" si="15"/>
        <v>67100</v>
      </c>
      <c r="J81" s="308">
        <f t="shared" ca="1" si="16"/>
        <v>0</v>
      </c>
      <c r="K81" s="309">
        <f t="shared" ca="1" si="17"/>
        <v>67100</v>
      </c>
      <c r="L81" s="316"/>
      <c r="M81" s="289"/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318">
        <v>7</v>
      </c>
      <c r="C82" s="319" t="s">
        <v>35</v>
      </c>
      <c r="D82" s="305" t="str">
        <f ca="1">IF(ISERROR(OFFSET('HARGA SATUAN'!$D$6,MATCH(RAB!C82,'HARGA SATUAN'!$C$7:$C$1495,0),0)),"",OFFSET('HARGA SATUAN'!$D$6,MATCH(RAB!C82,'HARGA SATUAN'!$C$7:$C$1495,0),0))</f>
        <v>HDW</v>
      </c>
      <c r="E82" s="306" t="str">
        <f ca="1">IF(B82="+","Unit",IF(ISERROR(OFFSET('HARGA SATUAN'!$E$6,MATCH(RAB!C82,'HARGA SATUAN'!$C$7:$C$1495,0),0)),"",OFFSET('HARGA SATUAN'!$E$6,MATCH(RAB!C82,'HARGA SATUAN'!$C$7:$C$1495,0),0)))</f>
        <v>Bh</v>
      </c>
      <c r="F82" s="453">
        <f>F75*6</f>
        <v>12</v>
      </c>
      <c r="G82" s="307">
        <f ca="1">IF(ISERROR(OFFSET('HARGA SATUAN'!$I$6,MATCH(RAB!C82,'HARGA SATUAN'!$C$7:$C$1495,0),0)),0,OFFSET('HARGA SATUAN'!$I$6,MATCH(RAB!C82,'HARGA SATUAN'!$C$7:$C$1495,0),0))</f>
        <v>2300</v>
      </c>
      <c r="H82" s="308">
        <f t="shared" ca="1" si="14"/>
        <v>0</v>
      </c>
      <c r="I82" s="308">
        <f t="shared" ca="1" si="15"/>
        <v>27600</v>
      </c>
      <c r="J82" s="308">
        <f t="shared" ca="1" si="16"/>
        <v>0</v>
      </c>
      <c r="K82" s="309">
        <f t="shared" ca="1" si="17"/>
        <v>27600</v>
      </c>
      <c r="L82" s="316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318">
        <v>8</v>
      </c>
      <c r="C83" s="319" t="s">
        <v>1618</v>
      </c>
      <c r="D83" s="305" t="str">
        <f ca="1">IF(ISERROR(OFFSET('HARGA SATUAN'!$D$6,MATCH(RAB!C83,'HARGA SATUAN'!$C$7:$C$1495,0),0)),"",OFFSET('HARGA SATUAN'!$D$6,MATCH(RAB!C83,'HARGA SATUAN'!$C$7:$C$1495,0),0))</f>
        <v>HDW</v>
      </c>
      <c r="E83" s="306" t="str">
        <f ca="1">IF(B83="+","Unit",IF(ISERROR(OFFSET('HARGA SATUAN'!$E$6,MATCH(RAB!C83,'HARGA SATUAN'!$C$7:$C$1495,0),0)),"",OFFSET('HARGA SATUAN'!$E$6,MATCH(RAB!C83,'HARGA SATUAN'!$C$7:$C$1495,0),0)))</f>
        <v>Mtr</v>
      </c>
      <c r="F83" s="453">
        <f>F75*4.8</f>
        <v>9.6</v>
      </c>
      <c r="G83" s="307">
        <f ca="1">IF(ISERROR(OFFSET('HARGA SATUAN'!$I$6,MATCH(RAB!C83,'HARGA SATUAN'!$C$7:$C$1495,0),0)),0,OFFSET('HARGA SATUAN'!$I$6,MATCH(RAB!C83,'HARGA SATUAN'!$C$7:$C$1495,0),0))</f>
        <v>23310</v>
      </c>
      <c r="H83" s="308">
        <f t="shared" ca="1" si="14"/>
        <v>0</v>
      </c>
      <c r="I83" s="308">
        <f t="shared" ca="1" si="15"/>
        <v>223776</v>
      </c>
      <c r="J83" s="308">
        <f t="shared" ca="1" si="16"/>
        <v>0</v>
      </c>
      <c r="K83" s="309">
        <f t="shared" ca="1" si="17"/>
        <v>223776</v>
      </c>
      <c r="L83" s="316"/>
      <c r="M83" s="289" t="e">
        <f>IF(AND(F83&gt;0,#REF!=0),"",IF(AND(ISBLANK(F83)=FALSE,K83=0),"WARNING",""))</f>
        <v>#REF!</v>
      </c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421">
        <v>9</v>
      </c>
      <c r="C84" s="418" t="s">
        <v>736</v>
      </c>
      <c r="D84" s="305" t="str">
        <f ca="1">IF(ISERROR(OFFSET('HARGA SATUAN'!$D$6,MATCH(RAB!C84,'HARGA SATUAN'!$C$7:$C$1495,0),0)),"",OFFSET('HARGA SATUAN'!$D$6,MATCH(RAB!C84,'HARGA SATUAN'!$C$7:$C$1495,0),0))</f>
        <v>JASA</v>
      </c>
      <c r="E84" s="306" t="str">
        <f ca="1">IF(B84="+","Unit",IF(ISERROR(OFFSET('HARGA SATUAN'!$E$6,MATCH(RAB!C84,'HARGA SATUAN'!$C$7:$C$1495,0),0)),"",OFFSET('HARGA SATUAN'!$E$6,MATCH(RAB!C84,'HARGA SATUAN'!$C$7:$C$1495,0),0)))</f>
        <v>Unit</v>
      </c>
      <c r="F84" s="453">
        <f>F75*1</f>
        <v>2</v>
      </c>
      <c r="G84" s="307">
        <f ca="1">IF(ISERROR(OFFSET('HARGA SATUAN'!$I$6,MATCH(RAB!C84,'HARGA SATUAN'!$C$7:$C$1495,0),0)),0,OFFSET('HARGA SATUAN'!$I$6,MATCH(RAB!C84,'HARGA SATUAN'!$C$7:$C$1495,0),0))</f>
        <v>65400</v>
      </c>
      <c r="H84" s="308">
        <f t="shared" ref="H84:H105" ca="1" si="18">IF(OR(D84="MDU",D84="MDU-KD"),(IF($O$3="RAB NON MDU","PLN KD",G84*F84)),0)</f>
        <v>0</v>
      </c>
      <c r="I84" s="308">
        <f t="shared" ref="I84:I105" ca="1" si="19">IF(D84="HDW",G84*F84,0)</f>
        <v>0</v>
      </c>
      <c r="J84" s="308">
        <f t="shared" ref="J84:J105" ca="1" si="20">IF(D84="JASA",G84*F84,0)</f>
        <v>130800</v>
      </c>
      <c r="K84" s="309">
        <f t="shared" ref="K84:K105" ca="1" si="21">SUM(H84:J84)</f>
        <v>130800</v>
      </c>
      <c r="L84" s="316"/>
      <c r="M84" s="289" t="e">
        <f>IF(AND(F84&gt;0,#REF!=0),"",IF(AND(ISBLANK(F84)=FALSE,K84=0),"WARNING",""))</f>
        <v>#REF!</v>
      </c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 hidden="1">
      <c r="A85" s="283"/>
      <c r="B85" s="421">
        <v>10</v>
      </c>
      <c r="C85" s="418" t="s">
        <v>1617</v>
      </c>
      <c r="D85" s="305" t="str">
        <f ca="1">IF(ISERROR(OFFSET('HARGA SATUAN'!$D$6,MATCH(RAB!C85,'HARGA SATUAN'!$C$7:$C$1495,0),0)),"",OFFSET('HARGA SATUAN'!$D$6,MATCH(RAB!C85,'HARGA SATUAN'!$C$7:$C$1495,0),0))</f>
        <v>HDW</v>
      </c>
      <c r="E85" s="306" t="str">
        <f ca="1">IF(B85="+","Unit",IF(ISERROR(OFFSET('HARGA SATUAN'!$E$6,MATCH(RAB!C85,'HARGA SATUAN'!$C$7:$C$1495,0),0)),"",OFFSET('HARGA SATUAN'!$E$6,MATCH(RAB!C85,'HARGA SATUAN'!$C$7:$C$1495,0),0)))</f>
        <v>Bh</v>
      </c>
      <c r="F85" s="455"/>
      <c r="G85" s="307">
        <f ca="1">IF(ISERROR(OFFSET('HARGA SATUAN'!$I$6,MATCH(RAB!C85,'HARGA SATUAN'!$C$7:$C$1495,0),0)),0,OFFSET('HARGA SATUAN'!$I$6,MATCH(RAB!C85,'HARGA SATUAN'!$C$7:$C$1495,0),0))</f>
        <v>49000</v>
      </c>
      <c r="H85" s="308">
        <f t="shared" ca="1" si="18"/>
        <v>0</v>
      </c>
      <c r="I85" s="308">
        <f t="shared" ca="1" si="19"/>
        <v>0</v>
      </c>
      <c r="J85" s="308">
        <f t="shared" ca="1" si="20"/>
        <v>0</v>
      </c>
      <c r="K85" s="309">
        <f t="shared" ca="1" si="21"/>
        <v>0</v>
      </c>
      <c r="L85" s="316"/>
      <c r="M85" s="289" t="str">
        <f t="shared" ref="M85:M126" ca="1" si="22">IF(AND(F85&gt;0,F84=0),"",IF(AND(ISBLANK(F85)=FALSE,K85=0),"WARNING",""))</f>
        <v/>
      </c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 hidden="1">
      <c r="A86" s="283"/>
      <c r="B86" s="450"/>
      <c r="C86" s="451"/>
      <c r="D86" s="305" t="str">
        <f ca="1">IF(ISERROR(OFFSET('HARGA SATUAN'!$D$6,MATCH(RAB!C86,'HARGA SATUAN'!$C$7:$C$1495,0),0)),"",OFFSET('HARGA SATUAN'!$D$6,MATCH(RAB!C86,'HARGA SATUAN'!$C$7:$C$1495,0),0))</f>
        <v/>
      </c>
      <c r="E86" s="306" t="str">
        <f ca="1">IF(B86="+","Unit",IF(ISERROR(OFFSET('HARGA SATUAN'!$E$6,MATCH(RAB!C86,'HARGA SATUAN'!$C$7:$C$1495,0),0)),"",OFFSET('HARGA SATUAN'!$E$6,MATCH(RAB!C86,'HARGA SATUAN'!$C$7:$C$1495,0),0)))</f>
        <v/>
      </c>
      <c r="F86" s="455"/>
      <c r="G86" s="307">
        <f ca="1">IF(ISERROR(OFFSET('HARGA SATUAN'!$I$6,MATCH(RAB!C86,'HARGA SATUAN'!$C$7:$C$1495,0),0)),0,OFFSET('HARGA SATUAN'!$I$6,MATCH(RAB!C86,'HARGA SATUAN'!$C$7:$C$1495,0),0))</f>
        <v>0</v>
      </c>
      <c r="H86" s="308">
        <f t="shared" ca="1" si="18"/>
        <v>0</v>
      </c>
      <c r="I86" s="308">
        <f t="shared" ca="1" si="19"/>
        <v>0</v>
      </c>
      <c r="J86" s="308">
        <f t="shared" ca="1" si="20"/>
        <v>0</v>
      </c>
      <c r="K86" s="309">
        <f t="shared" ca="1" si="21"/>
        <v>0</v>
      </c>
      <c r="L86" s="316"/>
      <c r="M86" s="289" t="str">
        <f t="shared" ca="1" si="22"/>
        <v/>
      </c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 hidden="1">
      <c r="A87" s="283"/>
      <c r="B87" s="450"/>
      <c r="C87" s="451"/>
      <c r="D87" s="305" t="str">
        <f ca="1">IF(ISERROR(OFFSET('HARGA SATUAN'!$D$6,MATCH(RAB!C87,'HARGA SATUAN'!$C$7:$C$1495,0),0)),"",OFFSET('HARGA SATUAN'!$D$6,MATCH(RAB!C87,'HARGA SATUAN'!$C$7:$C$1495,0),0))</f>
        <v/>
      </c>
      <c r="E87" s="306" t="str">
        <f ca="1">IF(B87="+","Unit",IF(ISERROR(OFFSET('HARGA SATUAN'!$E$6,MATCH(RAB!C87,'HARGA SATUAN'!$C$7:$C$1495,0),0)),"",OFFSET('HARGA SATUAN'!$E$6,MATCH(RAB!C87,'HARGA SATUAN'!$C$7:$C$1495,0),0)))</f>
        <v/>
      </c>
      <c r="F87" s="455"/>
      <c r="G87" s="307">
        <f ca="1">IF(ISERROR(OFFSET('HARGA SATUAN'!$I$6,MATCH(RAB!C87,'HARGA SATUAN'!$C$7:$C$1495,0),0)),0,OFFSET('HARGA SATUAN'!$I$6,MATCH(RAB!C87,'HARGA SATUAN'!$C$7:$C$1495,0),0))</f>
        <v>0</v>
      </c>
      <c r="H87" s="308">
        <f t="shared" ca="1" si="18"/>
        <v>0</v>
      </c>
      <c r="I87" s="308">
        <f t="shared" ca="1" si="19"/>
        <v>0</v>
      </c>
      <c r="J87" s="308">
        <f t="shared" ca="1" si="20"/>
        <v>0</v>
      </c>
      <c r="K87" s="309">
        <f t="shared" ca="1" si="21"/>
        <v>0</v>
      </c>
      <c r="L87" s="316"/>
      <c r="M87" s="289" t="str">
        <f t="shared" ca="1" si="22"/>
        <v/>
      </c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 hidden="1">
      <c r="A88" s="283"/>
      <c r="B88" s="450"/>
      <c r="C88" s="451"/>
      <c r="D88" s="305" t="str">
        <f ca="1">IF(ISERROR(OFFSET('HARGA SATUAN'!$D$6,MATCH(RAB!C88,'HARGA SATUAN'!$C$7:$C$1495,0),0)),"",OFFSET('HARGA SATUAN'!$D$6,MATCH(RAB!C88,'HARGA SATUAN'!$C$7:$C$1495,0),0))</f>
        <v/>
      </c>
      <c r="E88" s="306" t="str">
        <f ca="1">IF(B88="+","Unit",IF(ISERROR(OFFSET('HARGA SATUAN'!$E$6,MATCH(RAB!C88,'HARGA SATUAN'!$C$7:$C$1495,0),0)),"",OFFSET('HARGA SATUAN'!$E$6,MATCH(RAB!C88,'HARGA SATUAN'!$C$7:$C$1495,0),0)))</f>
        <v/>
      </c>
      <c r="F88" s="455"/>
      <c r="G88" s="307">
        <f ca="1">IF(ISERROR(OFFSET('HARGA SATUAN'!$I$6,MATCH(RAB!C88,'HARGA SATUAN'!$C$7:$C$1495,0),0)),0,OFFSET('HARGA SATUAN'!$I$6,MATCH(RAB!C88,'HARGA SATUAN'!$C$7:$C$1495,0),0))</f>
        <v>0</v>
      </c>
      <c r="H88" s="308">
        <f t="shared" ca="1" si="18"/>
        <v>0</v>
      </c>
      <c r="I88" s="308">
        <f t="shared" ca="1" si="19"/>
        <v>0</v>
      </c>
      <c r="J88" s="308">
        <f t="shared" ca="1" si="20"/>
        <v>0</v>
      </c>
      <c r="K88" s="309">
        <f t="shared" ca="1" si="21"/>
        <v>0</v>
      </c>
      <c r="L88" s="316"/>
      <c r="M88" s="289" t="str">
        <f t="shared" ca="1" si="22"/>
        <v/>
      </c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 hidden="1">
      <c r="A89" s="283"/>
      <c r="B89" s="450"/>
      <c r="C89" s="451"/>
      <c r="D89" s="305" t="str">
        <f ca="1">IF(ISERROR(OFFSET('HARGA SATUAN'!$D$6,MATCH(RAB!C89,'HARGA SATUAN'!$C$7:$C$1495,0),0)),"",OFFSET('HARGA SATUAN'!$D$6,MATCH(RAB!C89,'HARGA SATUAN'!$C$7:$C$1495,0),0))</f>
        <v/>
      </c>
      <c r="E89" s="306" t="str">
        <f ca="1">IF(B89="+","Unit",IF(ISERROR(OFFSET('HARGA SATUAN'!$E$6,MATCH(RAB!C89,'HARGA SATUAN'!$C$7:$C$1495,0),0)),"",OFFSET('HARGA SATUAN'!$E$6,MATCH(RAB!C89,'HARGA SATUAN'!$C$7:$C$1495,0),0)))</f>
        <v/>
      </c>
      <c r="F89" s="455"/>
      <c r="G89" s="307">
        <f ca="1">IF(ISERROR(OFFSET('HARGA SATUAN'!$I$6,MATCH(RAB!C89,'HARGA SATUAN'!$C$7:$C$1495,0),0)),0,OFFSET('HARGA SATUAN'!$I$6,MATCH(RAB!C89,'HARGA SATUAN'!$C$7:$C$1495,0),0))</f>
        <v>0</v>
      </c>
      <c r="H89" s="308">
        <f t="shared" ca="1" si="18"/>
        <v>0</v>
      </c>
      <c r="I89" s="308">
        <f t="shared" ca="1" si="19"/>
        <v>0</v>
      </c>
      <c r="J89" s="308">
        <f t="shared" ca="1" si="20"/>
        <v>0</v>
      </c>
      <c r="K89" s="309">
        <f t="shared" ca="1" si="21"/>
        <v>0</v>
      </c>
      <c r="L89" s="316"/>
      <c r="M89" s="289" t="str">
        <f t="shared" ca="1" si="22"/>
        <v/>
      </c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 hidden="1">
      <c r="A90" s="283"/>
      <c r="B90" s="450"/>
      <c r="C90" s="451"/>
      <c r="D90" s="305" t="str">
        <f ca="1">IF(ISERROR(OFFSET('HARGA SATUAN'!$D$6,MATCH(RAB!C90,'HARGA SATUAN'!$C$7:$C$1495,0),0)),"",OFFSET('HARGA SATUAN'!$D$6,MATCH(RAB!C90,'HARGA SATUAN'!$C$7:$C$1495,0),0))</f>
        <v/>
      </c>
      <c r="E90" s="306" t="str">
        <f ca="1">IF(B90="+","Unit",IF(ISERROR(OFFSET('HARGA SATUAN'!$E$6,MATCH(RAB!C90,'HARGA SATUAN'!$C$7:$C$1495,0),0)),"",OFFSET('HARGA SATUAN'!$E$6,MATCH(RAB!C90,'HARGA SATUAN'!$C$7:$C$1495,0),0)))</f>
        <v/>
      </c>
      <c r="F90" s="455"/>
      <c r="G90" s="307">
        <f ca="1">IF(ISERROR(OFFSET('HARGA SATUAN'!$I$6,MATCH(RAB!C90,'HARGA SATUAN'!$C$7:$C$1495,0),0)),0,OFFSET('HARGA SATUAN'!$I$6,MATCH(RAB!C90,'HARGA SATUAN'!$C$7:$C$1495,0),0))</f>
        <v>0</v>
      </c>
      <c r="H90" s="308">
        <f t="shared" ca="1" si="18"/>
        <v>0</v>
      </c>
      <c r="I90" s="308">
        <f t="shared" ca="1" si="19"/>
        <v>0</v>
      </c>
      <c r="J90" s="308">
        <f t="shared" ca="1" si="20"/>
        <v>0</v>
      </c>
      <c r="K90" s="309">
        <f t="shared" ca="1" si="21"/>
        <v>0</v>
      </c>
      <c r="L90" s="316"/>
      <c r="M90" s="289" t="str">
        <f t="shared" ca="1" si="22"/>
        <v/>
      </c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 hidden="1">
      <c r="A91" s="283"/>
      <c r="B91" s="450"/>
      <c r="C91" s="451"/>
      <c r="D91" s="305" t="str">
        <f ca="1">IF(ISERROR(OFFSET('HARGA SATUAN'!$D$6,MATCH(RAB!C91,'HARGA SATUAN'!$C$7:$C$1495,0),0)),"",OFFSET('HARGA SATUAN'!$D$6,MATCH(RAB!C91,'HARGA SATUAN'!$C$7:$C$1495,0),0))</f>
        <v/>
      </c>
      <c r="E91" s="306" t="str">
        <f ca="1">IF(B91="+","Unit",IF(ISERROR(OFFSET('HARGA SATUAN'!$E$6,MATCH(RAB!C91,'HARGA SATUAN'!$C$7:$C$1495,0),0)),"",OFFSET('HARGA SATUAN'!$E$6,MATCH(RAB!C91,'HARGA SATUAN'!$C$7:$C$1495,0),0)))</f>
        <v/>
      </c>
      <c r="F91" s="455"/>
      <c r="G91" s="307">
        <f ca="1">IF(ISERROR(OFFSET('HARGA SATUAN'!$I$6,MATCH(RAB!C91,'HARGA SATUAN'!$C$7:$C$1495,0),0)),0,OFFSET('HARGA SATUAN'!$I$6,MATCH(RAB!C91,'HARGA SATUAN'!$C$7:$C$1495,0),0))</f>
        <v>0</v>
      </c>
      <c r="H91" s="308">
        <f t="shared" ca="1" si="18"/>
        <v>0</v>
      </c>
      <c r="I91" s="308">
        <f t="shared" ca="1" si="19"/>
        <v>0</v>
      </c>
      <c r="J91" s="308">
        <f t="shared" ca="1" si="20"/>
        <v>0</v>
      </c>
      <c r="K91" s="309">
        <f t="shared" ca="1" si="21"/>
        <v>0</v>
      </c>
      <c r="L91" s="316"/>
      <c r="M91" s="289" t="str">
        <f t="shared" ca="1" si="22"/>
        <v/>
      </c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 hidden="1">
      <c r="A92" s="283"/>
      <c r="B92" s="450"/>
      <c r="C92" s="451"/>
      <c r="D92" s="305" t="str">
        <f ca="1">IF(ISERROR(OFFSET('HARGA SATUAN'!$D$6,MATCH(RAB!C92,'HARGA SATUAN'!$C$7:$C$1495,0),0)),"",OFFSET('HARGA SATUAN'!$D$6,MATCH(RAB!C92,'HARGA SATUAN'!$C$7:$C$1495,0),0))</f>
        <v/>
      </c>
      <c r="E92" s="306" t="str">
        <f ca="1">IF(B92="+","Unit",IF(ISERROR(OFFSET('HARGA SATUAN'!$E$6,MATCH(RAB!C92,'HARGA SATUAN'!$C$7:$C$1495,0),0)),"",OFFSET('HARGA SATUAN'!$E$6,MATCH(RAB!C92,'HARGA SATUAN'!$C$7:$C$1495,0),0)))</f>
        <v/>
      </c>
      <c r="F92" s="455"/>
      <c r="G92" s="307">
        <f ca="1">IF(ISERROR(OFFSET('HARGA SATUAN'!$I$6,MATCH(RAB!C92,'HARGA SATUAN'!$C$7:$C$1495,0),0)),0,OFFSET('HARGA SATUAN'!$I$6,MATCH(RAB!C92,'HARGA SATUAN'!$C$7:$C$1495,0),0))</f>
        <v>0</v>
      </c>
      <c r="H92" s="308">
        <f t="shared" ca="1" si="18"/>
        <v>0</v>
      </c>
      <c r="I92" s="308">
        <f t="shared" ca="1" si="19"/>
        <v>0</v>
      </c>
      <c r="J92" s="308">
        <f t="shared" ca="1" si="20"/>
        <v>0</v>
      </c>
      <c r="K92" s="309">
        <f t="shared" ca="1" si="21"/>
        <v>0</v>
      </c>
      <c r="L92" s="316"/>
      <c r="M92" s="289" t="str">
        <f t="shared" ca="1" si="22"/>
        <v/>
      </c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 hidden="1">
      <c r="A93" s="283"/>
      <c r="B93" s="450"/>
      <c r="C93" s="451"/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IF(B93="+","Unit",IF(ISERROR(OFFSET('HARGA SATUAN'!$E$6,MATCH(RAB!C93,'HARGA SATUAN'!$C$7:$C$1495,0),0)),"",OFFSET('HARGA SATUAN'!$E$6,MATCH(RAB!C93,'HARGA SATUAN'!$C$7:$C$1495,0),0)))</f>
        <v/>
      </c>
      <c r="F93" s="455"/>
      <c r="G93" s="307">
        <f ca="1">IF(ISERROR(OFFSET('HARGA SATUAN'!$I$6,MATCH(RAB!C93,'HARGA SATUAN'!$C$7:$C$1495,0),0)),0,OFFSET('HARGA SATUAN'!$I$6,MATCH(RAB!C93,'HARGA SATUAN'!$C$7:$C$1495,0),0))</f>
        <v>0</v>
      </c>
      <c r="H93" s="308">
        <f t="shared" ca="1" si="18"/>
        <v>0</v>
      </c>
      <c r="I93" s="308">
        <f t="shared" ca="1" si="19"/>
        <v>0</v>
      </c>
      <c r="J93" s="308">
        <f t="shared" ca="1" si="20"/>
        <v>0</v>
      </c>
      <c r="K93" s="309">
        <f t="shared" ca="1" si="21"/>
        <v>0</v>
      </c>
      <c r="L93" s="316"/>
      <c r="M93" s="289" t="str">
        <f t="shared" ca="1" si="22"/>
        <v/>
      </c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 hidden="1">
      <c r="A94" s="283"/>
      <c r="B94" s="450"/>
      <c r="C94" s="451"/>
      <c r="D94" s="305" t="str">
        <f ca="1">IF(ISERROR(OFFSET('HARGA SATUAN'!$D$6,MATCH(RAB!C94,'HARGA SATUAN'!$C$7:$C$1495,0),0)),"",OFFSET('HARGA SATUAN'!$D$6,MATCH(RAB!C94,'HARGA SATUAN'!$C$7:$C$1495,0),0))</f>
        <v/>
      </c>
      <c r="E94" s="306" t="str">
        <f ca="1">IF(B94="+","Unit",IF(ISERROR(OFFSET('HARGA SATUAN'!$E$6,MATCH(RAB!C94,'HARGA SATUAN'!$C$7:$C$1495,0),0)),"",OFFSET('HARGA SATUAN'!$E$6,MATCH(RAB!C94,'HARGA SATUAN'!$C$7:$C$1495,0),0)))</f>
        <v/>
      </c>
      <c r="F94" s="455"/>
      <c r="G94" s="307">
        <f ca="1">IF(ISERROR(OFFSET('HARGA SATUAN'!$I$6,MATCH(RAB!C94,'HARGA SATUAN'!$C$7:$C$1495,0),0)),0,OFFSET('HARGA SATUAN'!$I$6,MATCH(RAB!C94,'HARGA SATUAN'!$C$7:$C$1495,0),0))</f>
        <v>0</v>
      </c>
      <c r="H94" s="308">
        <f t="shared" ca="1" si="18"/>
        <v>0</v>
      </c>
      <c r="I94" s="308">
        <f t="shared" ca="1" si="19"/>
        <v>0</v>
      </c>
      <c r="J94" s="308">
        <f t="shared" ca="1" si="20"/>
        <v>0</v>
      </c>
      <c r="K94" s="309">
        <f t="shared" ca="1" si="21"/>
        <v>0</v>
      </c>
      <c r="L94" s="316"/>
      <c r="M94" s="289" t="str">
        <f t="shared" ca="1" si="22"/>
        <v/>
      </c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 hidden="1">
      <c r="A95" s="283"/>
      <c r="B95" s="450"/>
      <c r="C95" s="451"/>
      <c r="D95" s="305" t="str">
        <f ca="1">IF(ISERROR(OFFSET('HARGA SATUAN'!$D$6,MATCH(RAB!C95,'HARGA SATUAN'!$C$7:$C$1495,0),0)),"",OFFSET('HARGA SATUAN'!$D$6,MATCH(RAB!C95,'HARGA SATUAN'!$C$7:$C$1495,0),0))</f>
        <v/>
      </c>
      <c r="E95" s="306" t="str">
        <f ca="1">IF(B95="+","Unit",IF(ISERROR(OFFSET('HARGA SATUAN'!$E$6,MATCH(RAB!C95,'HARGA SATUAN'!$C$7:$C$1495,0),0)),"",OFFSET('HARGA SATUAN'!$E$6,MATCH(RAB!C95,'HARGA SATUAN'!$C$7:$C$1495,0),0)))</f>
        <v/>
      </c>
      <c r="F95" s="455"/>
      <c r="G95" s="307">
        <f ca="1">IF(ISERROR(OFFSET('HARGA SATUAN'!$I$6,MATCH(RAB!C95,'HARGA SATUAN'!$C$7:$C$1495,0),0)),0,OFFSET('HARGA SATUAN'!$I$6,MATCH(RAB!C95,'HARGA SATUAN'!$C$7:$C$1495,0),0))</f>
        <v>0</v>
      </c>
      <c r="H95" s="308">
        <f t="shared" ca="1" si="18"/>
        <v>0</v>
      </c>
      <c r="I95" s="308">
        <f t="shared" ca="1" si="19"/>
        <v>0</v>
      </c>
      <c r="J95" s="308">
        <f t="shared" ca="1" si="20"/>
        <v>0</v>
      </c>
      <c r="K95" s="309">
        <f t="shared" ca="1" si="21"/>
        <v>0</v>
      </c>
      <c r="L95" s="316"/>
      <c r="M95" s="289" t="str">
        <f t="shared" ca="1" si="22"/>
        <v/>
      </c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 hidden="1">
      <c r="A96" s="283"/>
      <c r="B96" s="450"/>
      <c r="C96" s="451"/>
      <c r="D96" s="305" t="str">
        <f ca="1">IF(ISERROR(OFFSET('HARGA SATUAN'!$D$6,MATCH(RAB!C96,'HARGA SATUAN'!$C$7:$C$1495,0),0)),"",OFFSET('HARGA SATUAN'!$D$6,MATCH(RAB!C96,'HARGA SATUAN'!$C$7:$C$1495,0),0))</f>
        <v/>
      </c>
      <c r="E96" s="306" t="str">
        <f ca="1">IF(B96="+","Unit",IF(ISERROR(OFFSET('HARGA SATUAN'!$E$6,MATCH(RAB!C96,'HARGA SATUAN'!$C$7:$C$1495,0),0)),"",OFFSET('HARGA SATUAN'!$E$6,MATCH(RAB!C96,'HARGA SATUAN'!$C$7:$C$1495,0),0)))</f>
        <v/>
      </c>
      <c r="F96" s="455"/>
      <c r="G96" s="307">
        <f ca="1">IF(ISERROR(OFFSET('HARGA SATUAN'!$I$6,MATCH(RAB!C96,'HARGA SATUAN'!$C$7:$C$1495,0),0)),0,OFFSET('HARGA SATUAN'!$I$6,MATCH(RAB!C96,'HARGA SATUAN'!$C$7:$C$1495,0),0))</f>
        <v>0</v>
      </c>
      <c r="H96" s="308">
        <f t="shared" ca="1" si="18"/>
        <v>0</v>
      </c>
      <c r="I96" s="308">
        <f t="shared" ca="1" si="19"/>
        <v>0</v>
      </c>
      <c r="J96" s="308">
        <f t="shared" ca="1" si="20"/>
        <v>0</v>
      </c>
      <c r="K96" s="309">
        <f t="shared" ca="1" si="21"/>
        <v>0</v>
      </c>
      <c r="L96" s="316"/>
      <c r="M96" s="289" t="str">
        <f t="shared" ca="1" si="22"/>
        <v/>
      </c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 hidden="1">
      <c r="A97" s="283"/>
      <c r="B97" s="450"/>
      <c r="C97" s="451"/>
      <c r="D97" s="305" t="str">
        <f ca="1">IF(ISERROR(OFFSET('HARGA SATUAN'!$D$6,MATCH(RAB!C97,'HARGA SATUAN'!$C$7:$C$1495,0),0)),"",OFFSET('HARGA SATUAN'!$D$6,MATCH(RAB!C97,'HARGA SATUAN'!$C$7:$C$1495,0),0))</f>
        <v/>
      </c>
      <c r="E97" s="306" t="str">
        <f ca="1">IF(B97="+","Unit",IF(ISERROR(OFFSET('HARGA SATUAN'!$E$6,MATCH(RAB!C97,'HARGA SATUAN'!$C$7:$C$1495,0),0)),"",OFFSET('HARGA SATUAN'!$E$6,MATCH(RAB!C97,'HARGA SATUAN'!$C$7:$C$1495,0),0)))</f>
        <v/>
      </c>
      <c r="F97" s="455"/>
      <c r="G97" s="307">
        <f ca="1">IF(ISERROR(OFFSET('HARGA SATUAN'!$I$6,MATCH(RAB!C97,'HARGA SATUAN'!$C$7:$C$1495,0),0)),0,OFFSET('HARGA SATUAN'!$I$6,MATCH(RAB!C97,'HARGA SATUAN'!$C$7:$C$1495,0),0))</f>
        <v>0</v>
      </c>
      <c r="H97" s="308">
        <f t="shared" ca="1" si="18"/>
        <v>0</v>
      </c>
      <c r="I97" s="308">
        <f t="shared" ca="1" si="19"/>
        <v>0</v>
      </c>
      <c r="J97" s="308">
        <f t="shared" ca="1" si="20"/>
        <v>0</v>
      </c>
      <c r="K97" s="309">
        <f t="shared" ca="1" si="21"/>
        <v>0</v>
      </c>
      <c r="L97" s="316"/>
      <c r="M97" s="289" t="str">
        <f t="shared" ca="1" si="22"/>
        <v/>
      </c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 hidden="1">
      <c r="A98" s="283"/>
      <c r="B98" s="450"/>
      <c r="C98" s="451"/>
      <c r="D98" s="305" t="str">
        <f ca="1">IF(ISERROR(OFFSET('HARGA SATUAN'!$D$6,MATCH(RAB!C98,'HARGA SATUAN'!$C$7:$C$1495,0),0)),"",OFFSET('HARGA SATUAN'!$D$6,MATCH(RAB!C98,'HARGA SATUAN'!$C$7:$C$1495,0),0))</f>
        <v/>
      </c>
      <c r="E98" s="306" t="str">
        <f ca="1">IF(B98="+","Unit",IF(ISERROR(OFFSET('HARGA SATUAN'!$E$6,MATCH(RAB!C98,'HARGA SATUAN'!$C$7:$C$1495,0),0)),"",OFFSET('HARGA SATUAN'!$E$6,MATCH(RAB!C98,'HARGA SATUAN'!$C$7:$C$1495,0),0)))</f>
        <v/>
      </c>
      <c r="F98" s="455"/>
      <c r="G98" s="307">
        <f ca="1">IF(ISERROR(OFFSET('HARGA SATUAN'!$I$6,MATCH(RAB!C98,'HARGA SATUAN'!$C$7:$C$1495,0),0)),0,OFFSET('HARGA SATUAN'!$I$6,MATCH(RAB!C98,'HARGA SATUAN'!$C$7:$C$1495,0),0))</f>
        <v>0</v>
      </c>
      <c r="H98" s="308">
        <f t="shared" ca="1" si="18"/>
        <v>0</v>
      </c>
      <c r="I98" s="308">
        <f t="shared" ca="1" si="19"/>
        <v>0</v>
      </c>
      <c r="J98" s="308">
        <f t="shared" ca="1" si="20"/>
        <v>0</v>
      </c>
      <c r="K98" s="309">
        <f t="shared" ca="1" si="21"/>
        <v>0</v>
      </c>
      <c r="L98" s="316"/>
      <c r="M98" s="289" t="str">
        <f t="shared" ca="1" si="22"/>
        <v/>
      </c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 s="317" customFormat="1" hidden="1">
      <c r="A99" s="283"/>
      <c r="B99" s="450"/>
      <c r="C99" s="451"/>
      <c r="D99" s="305" t="str">
        <f ca="1">IF(ISERROR(OFFSET('HARGA SATUAN'!$D$6,MATCH(RAB!C99,'HARGA SATUAN'!$C$7:$C$1495,0),0)),"",OFFSET('HARGA SATUAN'!$D$6,MATCH(RAB!C99,'HARGA SATUAN'!$C$7:$C$1495,0),0))</f>
        <v/>
      </c>
      <c r="E99" s="306" t="str">
        <f ca="1">IF(B99="+","Unit",IF(ISERROR(OFFSET('HARGA SATUAN'!$E$6,MATCH(RAB!C99,'HARGA SATUAN'!$C$7:$C$1495,0),0)),"",OFFSET('HARGA SATUAN'!$E$6,MATCH(RAB!C99,'HARGA SATUAN'!$C$7:$C$1495,0),0)))</f>
        <v/>
      </c>
      <c r="F99" s="455"/>
      <c r="G99" s="307">
        <f ca="1">IF(ISERROR(OFFSET('HARGA SATUAN'!$I$6,MATCH(RAB!C99,'HARGA SATUAN'!$C$7:$C$1495,0),0)),0,OFFSET('HARGA SATUAN'!$I$6,MATCH(RAB!C99,'HARGA SATUAN'!$C$7:$C$1495,0),0))</f>
        <v>0</v>
      </c>
      <c r="H99" s="308">
        <f t="shared" ca="1" si="18"/>
        <v>0</v>
      </c>
      <c r="I99" s="308">
        <f t="shared" ca="1" si="19"/>
        <v>0</v>
      </c>
      <c r="J99" s="308">
        <f t="shared" ca="1" si="20"/>
        <v>0</v>
      </c>
      <c r="K99" s="309">
        <f t="shared" ca="1" si="21"/>
        <v>0</v>
      </c>
      <c r="L99" s="316"/>
      <c r="M99" s="289" t="str">
        <f t="shared" ca="1" si="22"/>
        <v/>
      </c>
      <c r="N99" s="316"/>
      <c r="O99" s="310"/>
      <c r="P99" s="310"/>
      <c r="Q99" s="291"/>
      <c r="R99" s="283"/>
      <c r="S99" s="311"/>
      <c r="T99" s="288"/>
      <c r="U99" s="288"/>
      <c r="V99" s="288"/>
    </row>
    <row r="100" spans="1:22" s="317" customFormat="1" hidden="1">
      <c r="A100" s="283"/>
      <c r="B100" s="450"/>
      <c r="C100" s="451"/>
      <c r="D100" s="305" t="str">
        <f ca="1">IF(ISERROR(OFFSET('HARGA SATUAN'!$D$6,MATCH(RAB!C100,'HARGA SATUAN'!$C$7:$C$1495,0),0)),"",OFFSET('HARGA SATUAN'!$D$6,MATCH(RAB!C100,'HARGA SATUAN'!$C$7:$C$1495,0),0))</f>
        <v/>
      </c>
      <c r="E100" s="306" t="str">
        <f ca="1">IF(B100="+","Unit",IF(ISERROR(OFFSET('HARGA SATUAN'!$E$6,MATCH(RAB!C100,'HARGA SATUAN'!$C$7:$C$1495,0),0)),"",OFFSET('HARGA SATUAN'!$E$6,MATCH(RAB!C100,'HARGA SATUAN'!$C$7:$C$1495,0),0)))</f>
        <v/>
      </c>
      <c r="F100" s="455"/>
      <c r="G100" s="307">
        <f ca="1">IF(ISERROR(OFFSET('HARGA SATUAN'!$I$6,MATCH(RAB!C100,'HARGA SATUAN'!$C$7:$C$1495,0),0)),0,OFFSET('HARGA SATUAN'!$I$6,MATCH(RAB!C100,'HARGA SATUAN'!$C$7:$C$1495,0),0))</f>
        <v>0</v>
      </c>
      <c r="H100" s="308">
        <f t="shared" ca="1" si="18"/>
        <v>0</v>
      </c>
      <c r="I100" s="308">
        <f t="shared" ca="1" si="19"/>
        <v>0</v>
      </c>
      <c r="J100" s="308">
        <f t="shared" ca="1" si="20"/>
        <v>0</v>
      </c>
      <c r="K100" s="309">
        <f t="shared" ca="1" si="21"/>
        <v>0</v>
      </c>
      <c r="L100" s="316"/>
      <c r="M100" s="289" t="str">
        <f t="shared" ca="1" si="22"/>
        <v/>
      </c>
      <c r="N100" s="316"/>
      <c r="O100" s="310"/>
      <c r="P100" s="310"/>
      <c r="Q100" s="291"/>
      <c r="R100" s="283"/>
      <c r="S100" s="311"/>
      <c r="T100" s="288"/>
      <c r="U100" s="288"/>
      <c r="V100" s="288"/>
    </row>
    <row r="101" spans="1:22" s="317" customFormat="1" hidden="1">
      <c r="A101" s="283"/>
      <c r="B101" s="450"/>
      <c r="C101" s="451"/>
      <c r="D101" s="305" t="str">
        <f ca="1">IF(ISERROR(OFFSET('HARGA SATUAN'!$D$6,MATCH(RAB!C101,'HARGA SATUAN'!$C$7:$C$1495,0),0)),"",OFFSET('HARGA SATUAN'!$D$6,MATCH(RAB!C101,'HARGA SATUAN'!$C$7:$C$1495,0),0))</f>
        <v/>
      </c>
      <c r="E101" s="306" t="str">
        <f ca="1">IF(B101="+","Unit",IF(ISERROR(OFFSET('HARGA SATUAN'!$E$6,MATCH(RAB!C101,'HARGA SATUAN'!$C$7:$C$1495,0),0)),"",OFFSET('HARGA SATUAN'!$E$6,MATCH(RAB!C101,'HARGA SATUAN'!$C$7:$C$1495,0),0)))</f>
        <v/>
      </c>
      <c r="F101" s="455"/>
      <c r="G101" s="307">
        <f ca="1">IF(ISERROR(OFFSET('HARGA SATUAN'!$I$6,MATCH(RAB!C101,'HARGA SATUAN'!$C$7:$C$1495,0),0)),0,OFFSET('HARGA SATUAN'!$I$6,MATCH(RAB!C101,'HARGA SATUAN'!$C$7:$C$1495,0),0))</f>
        <v>0</v>
      </c>
      <c r="H101" s="308">
        <f t="shared" ca="1" si="18"/>
        <v>0</v>
      </c>
      <c r="I101" s="308">
        <f t="shared" ca="1" si="19"/>
        <v>0</v>
      </c>
      <c r="J101" s="308">
        <f t="shared" ca="1" si="20"/>
        <v>0</v>
      </c>
      <c r="K101" s="309">
        <f t="shared" ca="1" si="21"/>
        <v>0</v>
      </c>
      <c r="L101" s="316"/>
      <c r="M101" s="289" t="str">
        <f t="shared" ca="1" si="22"/>
        <v/>
      </c>
      <c r="N101" s="316"/>
      <c r="O101" s="310"/>
      <c r="P101" s="310"/>
      <c r="Q101" s="291"/>
      <c r="R101" s="283"/>
      <c r="S101" s="311"/>
      <c r="T101" s="288"/>
      <c r="U101" s="288"/>
      <c r="V101" s="288"/>
    </row>
    <row r="102" spans="1:22" s="317" customFormat="1" hidden="1">
      <c r="A102" s="283"/>
      <c r="B102" s="450"/>
      <c r="C102" s="451"/>
      <c r="D102" s="305" t="str">
        <f ca="1">IF(ISERROR(OFFSET('HARGA SATUAN'!$D$6,MATCH(RAB!C102,'HARGA SATUAN'!$C$7:$C$1495,0),0)),"",OFFSET('HARGA SATUAN'!$D$6,MATCH(RAB!C102,'HARGA SATUAN'!$C$7:$C$1495,0),0))</f>
        <v/>
      </c>
      <c r="E102" s="306" t="str">
        <f ca="1">IF(B102="+","Unit",IF(ISERROR(OFFSET('HARGA SATUAN'!$E$6,MATCH(RAB!C102,'HARGA SATUAN'!$C$7:$C$1495,0),0)),"",OFFSET('HARGA SATUAN'!$E$6,MATCH(RAB!C102,'HARGA SATUAN'!$C$7:$C$1495,0),0)))</f>
        <v/>
      </c>
      <c r="F102" s="455"/>
      <c r="G102" s="307">
        <f ca="1">IF(ISERROR(OFFSET('HARGA SATUAN'!$I$6,MATCH(RAB!C102,'HARGA SATUAN'!$C$7:$C$1495,0),0)),0,OFFSET('HARGA SATUAN'!$I$6,MATCH(RAB!C102,'HARGA SATUAN'!$C$7:$C$1495,0),0))</f>
        <v>0</v>
      </c>
      <c r="H102" s="308">
        <f t="shared" ca="1" si="18"/>
        <v>0</v>
      </c>
      <c r="I102" s="308">
        <f t="shared" ca="1" si="19"/>
        <v>0</v>
      </c>
      <c r="J102" s="308">
        <f t="shared" ca="1" si="20"/>
        <v>0</v>
      </c>
      <c r="K102" s="309">
        <f t="shared" ca="1" si="21"/>
        <v>0</v>
      </c>
      <c r="L102" s="316"/>
      <c r="M102" s="289" t="str">
        <f t="shared" ca="1" si="22"/>
        <v/>
      </c>
      <c r="N102" s="316"/>
      <c r="O102" s="310"/>
      <c r="P102" s="310"/>
      <c r="Q102" s="291"/>
      <c r="R102" s="283"/>
      <c r="S102" s="311"/>
      <c r="T102" s="288"/>
      <c r="U102" s="288"/>
      <c r="V102" s="288"/>
    </row>
    <row r="103" spans="1:22" s="317" customFormat="1" hidden="1">
      <c r="A103" s="283"/>
      <c r="B103" s="450"/>
      <c r="C103" s="451"/>
      <c r="D103" s="305" t="str">
        <f ca="1">IF(ISERROR(OFFSET('HARGA SATUAN'!$D$6,MATCH(RAB!C103,'HARGA SATUAN'!$C$7:$C$1495,0),0)),"",OFFSET('HARGA SATUAN'!$D$6,MATCH(RAB!C103,'HARGA SATUAN'!$C$7:$C$1495,0),0))</f>
        <v/>
      </c>
      <c r="E103" s="306" t="str">
        <f ca="1">IF(B103="+","Unit",IF(ISERROR(OFFSET('HARGA SATUAN'!$E$6,MATCH(RAB!C103,'HARGA SATUAN'!$C$7:$C$1495,0),0)),"",OFFSET('HARGA SATUAN'!$E$6,MATCH(RAB!C103,'HARGA SATUAN'!$C$7:$C$1495,0),0)))</f>
        <v/>
      </c>
      <c r="F103" s="455"/>
      <c r="G103" s="307">
        <f ca="1">IF(ISERROR(OFFSET('HARGA SATUAN'!$I$6,MATCH(RAB!C103,'HARGA SATUAN'!$C$7:$C$1495,0),0)),0,OFFSET('HARGA SATUAN'!$I$6,MATCH(RAB!C103,'HARGA SATUAN'!$C$7:$C$1495,0),0))</f>
        <v>0</v>
      </c>
      <c r="H103" s="308">
        <f t="shared" ca="1" si="18"/>
        <v>0</v>
      </c>
      <c r="I103" s="308">
        <f t="shared" ca="1" si="19"/>
        <v>0</v>
      </c>
      <c r="J103" s="308">
        <f t="shared" ca="1" si="20"/>
        <v>0</v>
      </c>
      <c r="K103" s="309">
        <f t="shared" ca="1" si="21"/>
        <v>0</v>
      </c>
      <c r="L103" s="316"/>
      <c r="M103" s="289" t="str">
        <f t="shared" ca="1" si="22"/>
        <v/>
      </c>
      <c r="N103" s="316"/>
      <c r="O103" s="310"/>
      <c r="P103" s="310"/>
      <c r="Q103" s="291"/>
      <c r="R103" s="283"/>
      <c r="S103" s="311"/>
      <c r="T103" s="288"/>
      <c r="U103" s="288"/>
      <c r="V103" s="288"/>
    </row>
    <row r="104" spans="1:22" s="317" customFormat="1" hidden="1">
      <c r="A104" s="283"/>
      <c r="B104" s="450"/>
      <c r="C104" s="451"/>
      <c r="D104" s="305" t="str">
        <f ca="1">IF(ISERROR(OFFSET('HARGA SATUAN'!$D$6,MATCH(RAB!C104,'HARGA SATUAN'!$C$7:$C$1495,0),0)),"",OFFSET('HARGA SATUAN'!$D$6,MATCH(RAB!C104,'HARGA SATUAN'!$C$7:$C$1495,0),0))</f>
        <v/>
      </c>
      <c r="E104" s="306" t="str">
        <f ca="1">IF(B104="+","Unit",IF(ISERROR(OFFSET('HARGA SATUAN'!$E$6,MATCH(RAB!C104,'HARGA SATUAN'!$C$7:$C$1495,0),0)),"",OFFSET('HARGA SATUAN'!$E$6,MATCH(RAB!C104,'HARGA SATUAN'!$C$7:$C$1495,0),0)))</f>
        <v/>
      </c>
      <c r="F104" s="455"/>
      <c r="G104" s="307">
        <f ca="1">IF(ISERROR(OFFSET('HARGA SATUAN'!$I$6,MATCH(RAB!C104,'HARGA SATUAN'!$C$7:$C$1495,0),0)),0,OFFSET('HARGA SATUAN'!$I$6,MATCH(RAB!C104,'HARGA SATUAN'!$C$7:$C$1495,0),0))</f>
        <v>0</v>
      </c>
      <c r="H104" s="308">
        <f t="shared" ca="1" si="18"/>
        <v>0</v>
      </c>
      <c r="I104" s="308">
        <f t="shared" ca="1" si="19"/>
        <v>0</v>
      </c>
      <c r="J104" s="308">
        <f t="shared" ca="1" si="20"/>
        <v>0</v>
      </c>
      <c r="K104" s="309">
        <f t="shared" ca="1" si="21"/>
        <v>0</v>
      </c>
      <c r="L104" s="316"/>
      <c r="M104" s="289" t="str">
        <f t="shared" ca="1" si="22"/>
        <v/>
      </c>
      <c r="N104" s="316"/>
      <c r="O104" s="310"/>
      <c r="P104" s="310"/>
      <c r="Q104" s="291"/>
      <c r="R104" s="283"/>
      <c r="S104" s="311"/>
      <c r="T104" s="288"/>
      <c r="U104" s="288"/>
      <c r="V104" s="288"/>
    </row>
    <row r="105" spans="1:22" s="317" customFormat="1" hidden="1">
      <c r="A105" s="283"/>
      <c r="B105" s="450"/>
      <c r="C105" s="451"/>
      <c r="D105" s="305" t="str">
        <f ca="1">IF(ISERROR(OFFSET('HARGA SATUAN'!$D$6,MATCH(RAB!C105,'HARGA SATUAN'!$C$7:$C$1495,0),0)),"",OFFSET('HARGA SATUAN'!$D$6,MATCH(RAB!C105,'HARGA SATUAN'!$C$7:$C$1495,0),0))</f>
        <v/>
      </c>
      <c r="E105" s="306" t="str">
        <f ca="1">IF(B105="+","Unit",IF(ISERROR(OFFSET('HARGA SATUAN'!$E$6,MATCH(RAB!C105,'HARGA SATUAN'!$C$7:$C$1495,0),0)),"",OFFSET('HARGA SATUAN'!$E$6,MATCH(RAB!C105,'HARGA SATUAN'!$C$7:$C$1495,0),0)))</f>
        <v/>
      </c>
      <c r="F105" s="455"/>
      <c r="G105" s="307">
        <f ca="1">IF(ISERROR(OFFSET('HARGA SATUAN'!$I$6,MATCH(RAB!C105,'HARGA SATUAN'!$C$7:$C$1495,0),0)),0,OFFSET('HARGA SATUAN'!$I$6,MATCH(RAB!C105,'HARGA SATUAN'!$C$7:$C$1495,0),0))</f>
        <v>0</v>
      </c>
      <c r="H105" s="308">
        <f t="shared" ca="1" si="18"/>
        <v>0</v>
      </c>
      <c r="I105" s="308">
        <f t="shared" ca="1" si="19"/>
        <v>0</v>
      </c>
      <c r="J105" s="308">
        <f t="shared" ca="1" si="20"/>
        <v>0</v>
      </c>
      <c r="K105" s="309">
        <f t="shared" ca="1" si="21"/>
        <v>0</v>
      </c>
      <c r="L105" s="316"/>
      <c r="M105" s="289" t="str">
        <f t="shared" ca="1" si="22"/>
        <v/>
      </c>
      <c r="N105" s="316"/>
      <c r="O105" s="310"/>
      <c r="P105" s="310"/>
      <c r="Q105" s="291"/>
      <c r="R105" s="283"/>
      <c r="S105" s="311"/>
      <c r="T105" s="288"/>
      <c r="U105" s="288"/>
      <c r="V105" s="288"/>
    </row>
    <row r="106" spans="1:22" s="317" customFormat="1">
      <c r="A106" s="283"/>
      <c r="B106" s="419" t="s">
        <v>1602</v>
      </c>
      <c r="C106" s="422" t="s">
        <v>1604</v>
      </c>
      <c r="D106" s="305" t="str">
        <f ca="1">IF(ISERROR(OFFSET('HARGA SATUAN'!$D$6,MATCH(RAB!C106,'HARGA SATUAN'!$C$7:$C$1495,0),0)),"",OFFSET('HARGA SATUAN'!$D$6,MATCH(RAB!C106,'HARGA SATUAN'!$C$7:$C$1495,0),0))</f>
        <v/>
      </c>
      <c r="E106" s="306" t="str">
        <f ca="1">IF(B106="+","Unit",IF(ISERROR(OFFSET('HARGA SATUAN'!$E$6,MATCH(RAB!C106,'HARGA SATUAN'!$C$7:$C$1495,0),0)),"",OFFSET('HARGA SATUAN'!$E$6,MATCH(RAB!C106,'HARGA SATUAN'!$C$7:$C$1495,0),0)))</f>
        <v/>
      </c>
      <c r="F106" s="456"/>
      <c r="G106" s="307">
        <f ca="1">IF(ISERROR(OFFSET('HARGA SATUAN'!$I$6,MATCH(RAB!C106,'HARGA SATUAN'!$C$7:$C$1495,0),0)),0,OFFSET('HARGA SATUAN'!$I$6,MATCH(RAB!C106,'HARGA SATUAN'!$C$7:$C$1495,0),0))</f>
        <v>0</v>
      </c>
      <c r="H106" s="308">
        <f t="shared" ref="H106:H107" ca="1" si="23">IF(OR(D106="MDU",D106="MDU-KD"),(IF($O$3="RAB NON MDU","PLN KD",G106*F106)),0)</f>
        <v>0</v>
      </c>
      <c r="I106" s="308">
        <f t="shared" ref="I106:I107" ca="1" si="24">IF(D106="HDW",G106*F106,0)</f>
        <v>0</v>
      </c>
      <c r="J106" s="308">
        <f t="shared" ref="J106:J107" ca="1" si="25">IF(D106="JASA",G106*F106,0)</f>
        <v>0</v>
      </c>
      <c r="K106" s="309">
        <f t="shared" ref="K106:K107" ca="1" si="26">SUM(H106:J106)</f>
        <v>0</v>
      </c>
      <c r="L106" s="316"/>
      <c r="M106" s="289" t="str">
        <f t="shared" ca="1" si="22"/>
        <v/>
      </c>
      <c r="N106" s="316"/>
      <c r="O106" s="310"/>
      <c r="P106" s="310"/>
      <c r="Q106" s="291"/>
      <c r="R106" s="283"/>
      <c r="S106" s="311"/>
      <c r="T106" s="288"/>
      <c r="U106" s="288"/>
      <c r="V106" s="288"/>
    </row>
    <row r="107" spans="1:22" s="317" customFormat="1">
      <c r="A107" s="283"/>
      <c r="B107" s="318">
        <v>1</v>
      </c>
      <c r="C107" s="109" t="s">
        <v>1401</v>
      </c>
      <c r="D107" s="305" t="str">
        <f ca="1">IF(ISERROR(OFFSET('HARGA SATUAN'!$D$6,MATCH(RAB!C107,'HARGA SATUAN'!$C$7:$C$1495,0),0)),"",OFFSET('HARGA SATUAN'!$D$6,MATCH(RAB!C107,'HARGA SATUAN'!$C$7:$C$1495,0),0))</f>
        <v>MDU-KD</v>
      </c>
      <c r="E107" s="306" t="str">
        <f ca="1">IF(B107="+","Unit",IF(ISERROR(OFFSET('HARGA SATUAN'!$E$6,MATCH(RAB!C107,'HARGA SATUAN'!$C$7:$C$1495,0),0)),"",OFFSET('HARGA SATUAN'!$E$6,MATCH(RAB!C107,'HARGA SATUAN'!$C$7:$C$1495,0),0)))</f>
        <v>Mtr</v>
      </c>
      <c r="F107" s="420">
        <v>350</v>
      </c>
      <c r="G107" s="307">
        <f ca="1">IF(ISERROR(OFFSET('HARGA SATUAN'!$I$6,MATCH(RAB!C107,'HARGA SATUAN'!$C$7:$C$1495,0),0)),0,OFFSET('HARGA SATUAN'!$I$6,MATCH(RAB!C107,'HARGA SATUAN'!$C$7:$C$1495,0),0))</f>
        <v>53300</v>
      </c>
      <c r="H107" s="308">
        <f t="shared" ca="1" si="23"/>
        <v>18655000</v>
      </c>
      <c r="I107" s="308">
        <f t="shared" ca="1" si="24"/>
        <v>0</v>
      </c>
      <c r="J107" s="308">
        <f t="shared" ca="1" si="25"/>
        <v>0</v>
      </c>
      <c r="K107" s="309">
        <f t="shared" ca="1" si="26"/>
        <v>18655000</v>
      </c>
      <c r="L107" s="316"/>
      <c r="M107" s="289" t="str">
        <f t="shared" si="22"/>
        <v/>
      </c>
      <c r="N107" s="316"/>
      <c r="O107" s="310"/>
      <c r="P107" s="310"/>
      <c r="Q107" s="291"/>
      <c r="R107" s="283"/>
      <c r="S107" s="311"/>
      <c r="T107" s="288"/>
      <c r="U107" s="288"/>
      <c r="V107" s="288"/>
    </row>
    <row r="108" spans="1:22" s="317" customFormat="1">
      <c r="A108" s="283"/>
      <c r="B108" s="318">
        <v>2</v>
      </c>
      <c r="C108" s="109" t="s">
        <v>347</v>
      </c>
      <c r="D108" s="305" t="str">
        <f ca="1">IF(ISERROR(OFFSET('HARGA SATUAN'!$D$6,MATCH(RAB!C108,'HARGA SATUAN'!$C$7:$C$1495,0),0)),"",OFFSET('HARGA SATUAN'!$D$6,MATCH(RAB!C108,'HARGA SATUAN'!$C$7:$C$1495,0),0))</f>
        <v>JASA</v>
      </c>
      <c r="E108" s="306" t="str">
        <f ca="1">IF(B108="+","Unit",IF(ISERROR(OFFSET('HARGA SATUAN'!$E$6,MATCH(RAB!C108,'HARGA SATUAN'!$C$7:$C$1495,0),0)),"",OFFSET('HARGA SATUAN'!$E$6,MATCH(RAB!C108,'HARGA SATUAN'!$C$7:$C$1495,0),0)))</f>
        <v>Per 50 m</v>
      </c>
      <c r="F108" s="420">
        <v>7</v>
      </c>
      <c r="G108" s="307">
        <f ca="1">IF(ISERROR(OFFSET('HARGA SATUAN'!$I$6,MATCH(RAB!C108,'HARGA SATUAN'!$C$7:$C$1495,0),0)),0,OFFSET('HARGA SATUAN'!$I$6,MATCH(RAB!C108,'HARGA SATUAN'!$C$7:$C$1495,0),0))</f>
        <v>179000</v>
      </c>
      <c r="H108" s="308">
        <f t="shared" ref="H108:H110" ca="1" si="27">IF(OR(D108="MDU",D108="MDU-KD"),(IF($O$3="RAB NON MDU","PLN KD",G108*F108)),0)</f>
        <v>0</v>
      </c>
      <c r="I108" s="308">
        <f t="shared" ref="I108:I110" ca="1" si="28">IF(D108="HDW",G108*F108,0)</f>
        <v>0</v>
      </c>
      <c r="J108" s="308">
        <f t="shared" ref="J108:J110" ca="1" si="29">IF(D108="JASA",G108*F108,0)</f>
        <v>1253000</v>
      </c>
      <c r="K108" s="309">
        <f t="shared" ref="K108:K110" ca="1" si="30">SUM(H108:J108)</f>
        <v>1253000</v>
      </c>
      <c r="L108" s="316"/>
      <c r="M108" s="289" t="str">
        <f t="shared" ca="1" si="22"/>
        <v/>
      </c>
      <c r="N108" s="316"/>
      <c r="O108" s="310"/>
      <c r="P108" s="310"/>
      <c r="Q108" s="291"/>
      <c r="R108" s="283"/>
      <c r="S108" s="311"/>
      <c r="T108" s="288"/>
      <c r="U108" s="288"/>
      <c r="V108" s="288"/>
    </row>
    <row r="109" spans="1:22" s="317" customFormat="1">
      <c r="A109" s="283"/>
      <c r="B109" s="318"/>
      <c r="C109" s="319"/>
      <c r="D109" s="305" t="str">
        <f ca="1">IF(ISERROR(OFFSET('HARGA SATUAN'!$D$6,MATCH(RAB!C109,'HARGA SATUAN'!$C$7:$C$1495,0),0)),"",OFFSET('HARGA SATUAN'!$D$6,MATCH(RAB!C109,'HARGA SATUAN'!$C$7:$C$1495,0),0))</f>
        <v/>
      </c>
      <c r="E109" s="306" t="str">
        <f ca="1">IF(B109="+","Unit",IF(ISERROR(OFFSET('HARGA SATUAN'!$E$6,MATCH(RAB!C109,'HARGA SATUAN'!$C$7:$C$1495,0),0)),"",OFFSET('HARGA SATUAN'!$E$6,MATCH(RAB!C109,'HARGA SATUAN'!$C$7:$C$1495,0),0)))</f>
        <v/>
      </c>
      <c r="F109" s="420"/>
      <c r="G109" s="307">
        <f ca="1">IF(ISERROR(OFFSET('HARGA SATUAN'!$I$6,MATCH(RAB!C109,'HARGA SATUAN'!$C$7:$C$1495,0),0)),0,OFFSET('HARGA SATUAN'!$I$6,MATCH(RAB!C109,'HARGA SATUAN'!$C$7:$C$1495,0),0))</f>
        <v>0</v>
      </c>
      <c r="H109" s="308">
        <f t="shared" ca="1" si="27"/>
        <v>0</v>
      </c>
      <c r="I109" s="308">
        <f t="shared" ca="1" si="28"/>
        <v>0</v>
      </c>
      <c r="J109" s="308">
        <f t="shared" ca="1" si="29"/>
        <v>0</v>
      </c>
      <c r="K109" s="309">
        <f t="shared" ca="1" si="30"/>
        <v>0</v>
      </c>
      <c r="L109" s="316"/>
      <c r="M109" s="289"/>
      <c r="N109" s="316"/>
      <c r="O109" s="310"/>
      <c r="P109" s="310"/>
      <c r="Q109" s="291"/>
      <c r="R109" s="283"/>
      <c r="S109" s="311"/>
      <c r="T109" s="288"/>
      <c r="U109" s="288"/>
      <c r="V109" s="288"/>
    </row>
    <row r="110" spans="1:22" s="317" customFormat="1">
      <c r="A110" s="283"/>
      <c r="B110" s="318"/>
      <c r="C110" s="319"/>
      <c r="D110" s="305" t="str">
        <f ca="1">IF(ISERROR(OFFSET('HARGA SATUAN'!$D$6,MATCH(RAB!C110,'HARGA SATUAN'!$C$7:$C$1495,0),0)),"",OFFSET('HARGA SATUAN'!$D$6,MATCH(RAB!C110,'HARGA SATUAN'!$C$7:$C$1495,0),0))</f>
        <v/>
      </c>
      <c r="E110" s="306" t="str">
        <f ca="1">IF(B110="+","Unit",IF(ISERROR(OFFSET('HARGA SATUAN'!$E$6,MATCH(RAB!C110,'HARGA SATUAN'!$C$7:$C$1495,0),0)),"",OFFSET('HARGA SATUAN'!$E$6,MATCH(RAB!C110,'HARGA SATUAN'!$C$7:$C$1495,0),0)))</f>
        <v/>
      </c>
      <c r="F110" s="420"/>
      <c r="G110" s="307">
        <f ca="1">IF(ISERROR(OFFSET('HARGA SATUAN'!$I$6,MATCH(RAB!C110,'HARGA SATUAN'!$C$7:$C$1495,0),0)),0,OFFSET('HARGA SATUAN'!$I$6,MATCH(RAB!C110,'HARGA SATUAN'!$C$7:$C$1495,0),0))</f>
        <v>0</v>
      </c>
      <c r="H110" s="308">
        <f t="shared" ca="1" si="27"/>
        <v>0</v>
      </c>
      <c r="I110" s="308">
        <f t="shared" ca="1" si="28"/>
        <v>0</v>
      </c>
      <c r="J110" s="308">
        <f t="shared" ca="1" si="29"/>
        <v>0</v>
      </c>
      <c r="K110" s="309">
        <f t="shared" ca="1" si="30"/>
        <v>0</v>
      </c>
      <c r="L110" s="316"/>
      <c r="M110" s="289"/>
      <c r="N110" s="316"/>
      <c r="O110" s="310"/>
      <c r="P110" s="310"/>
      <c r="Q110" s="291"/>
      <c r="R110" s="283"/>
      <c r="S110" s="311"/>
      <c r="T110" s="288"/>
      <c r="U110" s="288"/>
      <c r="V110" s="288"/>
    </row>
    <row r="111" spans="1:22" s="317" customFormat="1">
      <c r="A111" s="283"/>
      <c r="B111" s="318"/>
      <c r="C111" s="319"/>
      <c r="D111" s="305" t="str">
        <f ca="1">IF(ISERROR(OFFSET('HARGA SATUAN'!$D$6,MATCH(RAB!C111,'HARGA SATUAN'!$C$7:$C$1495,0),0)),"",OFFSET('HARGA SATUAN'!$D$6,MATCH(RAB!C111,'HARGA SATUAN'!$C$7:$C$1495,0),0))</f>
        <v/>
      </c>
      <c r="E111" s="306" t="str">
        <f ca="1">IF(B111="+","Unit",IF(ISERROR(OFFSET('HARGA SATUAN'!$E$6,MATCH(RAB!C111,'HARGA SATUAN'!$C$7:$C$1495,0),0)),"",OFFSET('HARGA SATUAN'!$E$6,MATCH(RAB!C111,'HARGA SATUAN'!$C$7:$C$1495,0),0)))</f>
        <v/>
      </c>
      <c r="F111" s="420"/>
      <c r="G111" s="307">
        <f ca="1">IF(ISERROR(OFFSET('HARGA SATUAN'!$I$6,MATCH(RAB!C111,'HARGA SATUAN'!$C$7:$C$1495,0),0)),0,OFFSET('HARGA SATUAN'!$I$6,MATCH(RAB!C111,'HARGA SATUAN'!$C$7:$C$1495,0),0))</f>
        <v>0</v>
      </c>
      <c r="H111" s="308">
        <f t="shared" ref="H111:H127" ca="1" si="31">IF(OR(D111="MDU",D111="MDU-KD"),(IF($O$3="RAB NON MDU","PLN KD",G111*F111)),0)</f>
        <v>0</v>
      </c>
      <c r="I111" s="308">
        <f t="shared" ref="I111:I127" ca="1" si="32">IF(D111="HDW",G111*F111,0)</f>
        <v>0</v>
      </c>
      <c r="J111" s="308">
        <f t="shared" ref="J111:J127" ca="1" si="33">IF(D111="JASA",G111*F111,0)</f>
        <v>0</v>
      </c>
      <c r="K111" s="309">
        <f t="shared" ref="K111:K127" ca="1" si="34">SUM(H111:J111)</f>
        <v>0</v>
      </c>
      <c r="L111" s="316"/>
      <c r="M111" s="289" t="e">
        <f>IF(AND(F111&gt;0,#REF!=0),"",IF(AND(ISBLANK(F111)=FALSE,K111=0),"WARNING",""))</f>
        <v>#REF!</v>
      </c>
      <c r="N111" s="316"/>
      <c r="O111" s="310"/>
      <c r="P111" s="310"/>
      <c r="Q111" s="291"/>
      <c r="R111" s="283"/>
      <c r="S111" s="311"/>
      <c r="T111" s="288"/>
      <c r="U111" s="288"/>
      <c r="V111" s="288"/>
    </row>
    <row r="112" spans="1:22" s="317" customFormat="1">
      <c r="A112" s="283"/>
      <c r="B112" s="419" t="s">
        <v>1610</v>
      </c>
      <c r="C112" s="422" t="s">
        <v>1606</v>
      </c>
      <c r="D112" s="305" t="str">
        <f ca="1">IF(ISERROR(OFFSET('HARGA SATUAN'!$D$6,MATCH(RAB!C112,'HARGA SATUAN'!$C$7:$C$1495,0),0)),"",OFFSET('HARGA SATUAN'!$D$6,MATCH(RAB!C112,'HARGA SATUAN'!$C$7:$C$1495,0),0))</f>
        <v/>
      </c>
      <c r="E112" s="306" t="str">
        <f ca="1">IF(B112="+","Unit",IF(ISERROR(OFFSET('HARGA SATUAN'!$E$6,MATCH(RAB!C112,'HARGA SATUAN'!$C$7:$C$1495,0),0)),"",OFFSET('HARGA SATUAN'!$E$6,MATCH(RAB!C112,'HARGA SATUAN'!$C$7:$C$1495,0),0)))</f>
        <v/>
      </c>
      <c r="F112" s="457"/>
      <c r="G112" s="307">
        <f ca="1">IF(ISERROR(OFFSET('HARGA SATUAN'!$I$6,MATCH(RAB!C112,'HARGA SATUAN'!$C$7:$C$1495,0),0)),0,OFFSET('HARGA SATUAN'!$I$6,MATCH(RAB!C112,'HARGA SATUAN'!$C$7:$C$1495,0),0))</f>
        <v>0</v>
      </c>
      <c r="H112" s="308">
        <f t="shared" ref="H112:H126" ca="1" si="35">IF(OR(D112="MDU",D112="MDU-KD"),(IF($O$3="RAB NON MDU","PLN KD",G112*F112)),0)</f>
        <v>0</v>
      </c>
      <c r="I112" s="308">
        <f t="shared" ref="I112:I126" ca="1" si="36">IF(D112="HDW",G112*F112,0)</f>
        <v>0</v>
      </c>
      <c r="J112" s="308">
        <f t="shared" ref="J112:J126" ca="1" si="37">IF(D112="JASA",G112*F112,0)</f>
        <v>0</v>
      </c>
      <c r="K112" s="309">
        <f t="shared" ref="K112:K126" ca="1" si="38">SUM(H112:J112)</f>
        <v>0</v>
      </c>
      <c r="L112" s="316"/>
      <c r="M112" s="289" t="str">
        <f t="shared" ca="1" si="22"/>
        <v/>
      </c>
      <c r="N112" s="316"/>
      <c r="O112" s="310"/>
      <c r="P112" s="310"/>
      <c r="Q112" s="291"/>
      <c r="R112" s="283"/>
      <c r="S112" s="311"/>
      <c r="T112" s="288"/>
      <c r="U112" s="288"/>
      <c r="V112" s="288"/>
    </row>
    <row r="113" spans="1:22" s="317" customFormat="1">
      <c r="A113" s="283"/>
      <c r="B113" s="466" t="s">
        <v>1035</v>
      </c>
      <c r="C113" s="467" t="s">
        <v>1646</v>
      </c>
      <c r="D113" s="305" t="str">
        <f ca="1">IF(ISERROR(OFFSET('HARGA SATUAN'!$D$6,MATCH(RAB!C113,'HARGA SATUAN'!$C$7:$C$1495,0),0)),"",OFFSET('HARGA SATUAN'!$D$6,MATCH(RAB!C113,'HARGA SATUAN'!$C$7:$C$1495,0),0))</f>
        <v/>
      </c>
      <c r="E113" s="306" t="str">
        <f ca="1">IF(B113="+","Unit",IF(ISERROR(OFFSET('HARGA SATUAN'!$E$6,MATCH(RAB!C113,'HARGA SATUAN'!$C$7:$C$1495,0),0)),"",OFFSET('HARGA SATUAN'!$E$6,MATCH(RAB!C113,'HARGA SATUAN'!$C$7:$C$1495,0),0)))</f>
        <v>Unit</v>
      </c>
      <c r="F113" s="723">
        <v>1</v>
      </c>
      <c r="G113" s="307">
        <f ca="1">IF(ISERROR(OFFSET('HARGA SATUAN'!$I$6,MATCH(RAB!C113,'HARGA SATUAN'!$C$7:$C$1495,0),0)),0,OFFSET('HARGA SATUAN'!$I$6,MATCH(RAB!C113,'HARGA SATUAN'!$C$7:$C$1495,0),0))</f>
        <v>0</v>
      </c>
      <c r="H113" s="308">
        <f t="shared" ca="1" si="35"/>
        <v>0</v>
      </c>
      <c r="I113" s="308">
        <f t="shared" ca="1" si="36"/>
        <v>0</v>
      </c>
      <c r="J113" s="308">
        <f t="shared" ca="1" si="37"/>
        <v>0</v>
      </c>
      <c r="K113" s="309">
        <f t="shared" ca="1" si="38"/>
        <v>0</v>
      </c>
      <c r="L113" s="316"/>
      <c r="M113" s="289"/>
      <c r="N113" s="316"/>
      <c r="O113" s="310"/>
      <c r="P113" s="310"/>
      <c r="Q113" s="291"/>
      <c r="R113" s="283"/>
      <c r="S113" s="311"/>
      <c r="T113" s="288"/>
      <c r="U113" s="288"/>
      <c r="V113" s="288"/>
    </row>
    <row r="114" spans="1:22" s="317" customFormat="1">
      <c r="A114" s="283"/>
      <c r="B114" s="720">
        <v>1</v>
      </c>
      <c r="C114" s="109" t="s">
        <v>482</v>
      </c>
      <c r="D114" s="305" t="str">
        <f ca="1">IF(ISERROR(OFFSET('HARGA SATUAN'!$D$6,MATCH(RAB!C114,'HARGA SATUAN'!$C$7:$C$1495,0),0)),"",OFFSET('HARGA SATUAN'!$D$6,MATCH(RAB!C114,'HARGA SATUAN'!$C$7:$C$1495,0),0))</f>
        <v>MDU-KD</v>
      </c>
      <c r="E114" s="306" t="str">
        <f ca="1">IF(B114="+","Unit",IF(ISERROR(OFFSET('HARGA SATUAN'!$E$6,MATCH(RAB!C114,'HARGA SATUAN'!$C$7:$C$1495,0),0)),"",OFFSET('HARGA SATUAN'!$E$6,MATCH(RAB!C114,'HARGA SATUAN'!$C$7:$C$1495,0),0)))</f>
        <v>Bh</v>
      </c>
      <c r="F114" s="723">
        <f>F113*1</f>
        <v>1</v>
      </c>
      <c r="G114" s="307">
        <f ca="1">IF(ISERROR(OFFSET('HARGA SATUAN'!$I$6,MATCH(RAB!C114,'HARGA SATUAN'!$C$7:$C$1495,0),0)),0,OFFSET('HARGA SATUAN'!$I$6,MATCH(RAB!C114,'HARGA SATUAN'!$C$7:$C$1495,0),0))</f>
        <v>327600</v>
      </c>
      <c r="H114" s="308">
        <f t="shared" ca="1" si="35"/>
        <v>327600</v>
      </c>
      <c r="I114" s="308">
        <f t="shared" ca="1" si="36"/>
        <v>0</v>
      </c>
      <c r="J114" s="308">
        <f t="shared" ca="1" si="37"/>
        <v>0</v>
      </c>
      <c r="K114" s="309">
        <f t="shared" ca="1" si="38"/>
        <v>327600</v>
      </c>
      <c r="L114" s="316"/>
      <c r="M114" s="289"/>
      <c r="N114" s="316"/>
      <c r="O114" s="310"/>
      <c r="P114" s="310"/>
      <c r="Q114" s="291"/>
      <c r="R114" s="283"/>
      <c r="S114" s="311"/>
      <c r="T114" s="288"/>
      <c r="U114" s="288"/>
      <c r="V114" s="288"/>
    </row>
    <row r="115" spans="1:22" s="317" customFormat="1">
      <c r="A115" s="283"/>
      <c r="B115" s="720">
        <v>2</v>
      </c>
      <c r="C115" s="724" t="s">
        <v>493</v>
      </c>
      <c r="D115" s="305" t="str">
        <f ca="1">IF(ISERROR(OFFSET('HARGA SATUAN'!$D$6,MATCH(RAB!C115,'HARGA SATUAN'!$C$7:$C$1495,0),0)),"",OFFSET('HARGA SATUAN'!$D$6,MATCH(RAB!C115,'HARGA SATUAN'!$C$7:$C$1495,0),0))</f>
        <v>MDU-KD</v>
      </c>
      <c r="E115" s="306" t="str">
        <f ca="1">IF(B115="+","Unit",IF(ISERROR(OFFSET('HARGA SATUAN'!$E$6,MATCH(RAB!C115,'HARGA SATUAN'!$C$7:$C$1495,0),0)),"",OFFSET('HARGA SATUAN'!$E$6,MATCH(RAB!C115,'HARGA SATUAN'!$C$7:$C$1495,0),0)))</f>
        <v>Bh</v>
      </c>
      <c r="F115" s="723">
        <f>F113*1</f>
        <v>1</v>
      </c>
      <c r="G115" s="307">
        <f ca="1">IF(ISERROR(OFFSET('HARGA SATUAN'!$I$6,MATCH(RAB!C115,'HARGA SATUAN'!$C$7:$C$1495,0),0)),0,OFFSET('HARGA SATUAN'!$I$6,MATCH(RAB!C115,'HARGA SATUAN'!$C$7:$C$1495,0),0))</f>
        <v>39000</v>
      </c>
      <c r="H115" s="308">
        <f t="shared" ca="1" si="35"/>
        <v>39000</v>
      </c>
      <c r="I115" s="308">
        <f t="shared" ca="1" si="36"/>
        <v>0</v>
      </c>
      <c r="J115" s="308">
        <f t="shared" ca="1" si="37"/>
        <v>0</v>
      </c>
      <c r="K115" s="309">
        <f t="shared" ca="1" si="38"/>
        <v>39000</v>
      </c>
      <c r="L115" s="316"/>
      <c r="M115" s="289"/>
      <c r="N115" s="316"/>
      <c r="O115" s="310"/>
      <c r="P115" s="310"/>
      <c r="Q115" s="291"/>
      <c r="R115" s="283"/>
      <c r="S115" s="311"/>
      <c r="T115" s="288"/>
      <c r="U115" s="288"/>
      <c r="V115" s="288"/>
    </row>
    <row r="116" spans="1:22" s="317" customFormat="1">
      <c r="A116" s="283"/>
      <c r="B116" s="720">
        <v>3</v>
      </c>
      <c r="C116" s="724" t="s">
        <v>74</v>
      </c>
      <c r="D116" s="305" t="str">
        <f ca="1">IF(ISERROR(OFFSET('HARGA SATUAN'!$D$6,MATCH(RAB!C116,'HARGA SATUAN'!$C$7:$C$1495,0),0)),"",OFFSET('HARGA SATUAN'!$D$6,MATCH(RAB!C116,'HARGA SATUAN'!$C$7:$C$1495,0),0))</f>
        <v>MDU-KD</v>
      </c>
      <c r="E116" s="306" t="str">
        <f ca="1">IF(B116="+","Unit",IF(ISERROR(OFFSET('HARGA SATUAN'!$E$6,MATCH(RAB!C116,'HARGA SATUAN'!$C$7:$C$1495,0),0)),"",OFFSET('HARGA SATUAN'!$E$6,MATCH(RAB!C116,'HARGA SATUAN'!$C$7:$C$1495,0),0)))</f>
        <v>Mtr</v>
      </c>
      <c r="F116" s="723">
        <f>F113*35</f>
        <v>35</v>
      </c>
      <c r="G116" s="307">
        <f ca="1">IF(ISERROR(OFFSET('HARGA SATUAN'!$I$6,MATCH(RAB!C116,'HARGA SATUAN'!$C$7:$C$1495,0),0)),0,OFFSET('HARGA SATUAN'!$I$6,MATCH(RAB!C116,'HARGA SATUAN'!$C$7:$C$1495,0),0))</f>
        <v>6600</v>
      </c>
      <c r="H116" s="308">
        <f t="shared" ca="1" si="35"/>
        <v>231000</v>
      </c>
      <c r="I116" s="308">
        <f t="shared" ca="1" si="36"/>
        <v>0</v>
      </c>
      <c r="J116" s="308">
        <f t="shared" ca="1" si="37"/>
        <v>0</v>
      </c>
      <c r="K116" s="309">
        <f t="shared" ca="1" si="38"/>
        <v>231000</v>
      </c>
      <c r="L116" s="316"/>
      <c r="M116" s="289"/>
      <c r="N116" s="316"/>
      <c r="O116" s="310"/>
      <c r="P116" s="310"/>
      <c r="Q116" s="291"/>
      <c r="R116" s="283"/>
      <c r="S116" s="311"/>
      <c r="T116" s="288"/>
      <c r="U116" s="288"/>
      <c r="V116" s="288"/>
    </row>
    <row r="117" spans="1:22" s="317" customFormat="1">
      <c r="A117" s="283"/>
      <c r="B117" s="720">
        <v>4</v>
      </c>
      <c r="C117" s="724" t="s">
        <v>798</v>
      </c>
      <c r="D117" s="305" t="str">
        <f ca="1">IF(ISERROR(OFFSET('HARGA SATUAN'!$D$6,MATCH(RAB!C117,'HARGA SATUAN'!$C$7:$C$1495,0),0)),"",OFFSET('HARGA SATUAN'!$D$6,MATCH(RAB!C117,'HARGA SATUAN'!$C$7:$C$1495,0),0))</f>
        <v>JASA</v>
      </c>
      <c r="E117" s="306" t="str">
        <f ca="1">IF(B117="+","Unit",IF(ISERROR(OFFSET('HARGA SATUAN'!$E$6,MATCH(RAB!C117,'HARGA SATUAN'!$C$7:$C$1495,0),0)),"",OFFSET('HARGA SATUAN'!$E$6,MATCH(RAB!C117,'HARGA SATUAN'!$C$7:$C$1495,0),0)))</f>
        <v>Unit</v>
      </c>
      <c r="F117" s="723">
        <f>F113*1</f>
        <v>1</v>
      </c>
      <c r="G117" s="307">
        <f ca="1">IF(ISERROR(OFFSET('HARGA SATUAN'!$I$6,MATCH(RAB!C117,'HARGA SATUAN'!$C$7:$C$1495,0),0)),0,OFFSET('HARGA SATUAN'!$I$6,MATCH(RAB!C117,'HARGA SATUAN'!$C$7:$C$1495,0),0))</f>
        <v>54400</v>
      </c>
      <c r="H117" s="308">
        <f t="shared" ca="1" si="35"/>
        <v>0</v>
      </c>
      <c r="I117" s="308">
        <f t="shared" ca="1" si="36"/>
        <v>0</v>
      </c>
      <c r="J117" s="308">
        <f t="shared" ca="1" si="37"/>
        <v>54400</v>
      </c>
      <c r="K117" s="309">
        <f t="shared" ca="1" si="38"/>
        <v>54400</v>
      </c>
      <c r="L117" s="316"/>
      <c r="M117" s="289"/>
      <c r="N117" s="316"/>
      <c r="O117" s="310"/>
      <c r="P117" s="310"/>
      <c r="Q117" s="291"/>
      <c r="R117" s="283"/>
      <c r="S117" s="311"/>
      <c r="T117" s="288"/>
      <c r="U117" s="288"/>
      <c r="V117" s="288"/>
    </row>
    <row r="118" spans="1:22" s="317" customFormat="1">
      <c r="A118" s="283"/>
      <c r="B118" s="462"/>
      <c r="C118" s="468"/>
      <c r="D118" s="305" t="str">
        <f ca="1">IF(ISERROR(OFFSET('HARGA SATUAN'!$D$6,MATCH(RAB!C118,'HARGA SATUAN'!$C$7:$C$1495,0),0)),"",OFFSET('HARGA SATUAN'!$D$6,MATCH(RAB!C118,'HARGA SATUAN'!$C$7:$C$1495,0),0))</f>
        <v/>
      </c>
      <c r="E118" s="306" t="str">
        <f ca="1">IF(B118="+","Unit",IF(ISERROR(OFFSET('HARGA SATUAN'!$E$6,MATCH(RAB!C118,'HARGA SATUAN'!$C$7:$C$1495,0),0)),"",OFFSET('HARGA SATUAN'!$E$6,MATCH(RAB!C118,'HARGA SATUAN'!$C$7:$C$1495,0),0)))</f>
        <v/>
      </c>
      <c r="F118" s="465"/>
      <c r="G118" s="307">
        <f ca="1">IF(ISERROR(OFFSET('HARGA SATUAN'!$I$6,MATCH(RAB!C118,'HARGA SATUAN'!$C$7:$C$1495,0),0)),0,OFFSET('HARGA SATUAN'!$I$6,MATCH(RAB!C118,'HARGA SATUAN'!$C$7:$C$1495,0),0))</f>
        <v>0</v>
      </c>
      <c r="H118" s="308">
        <f t="shared" ref="H118" ca="1" si="39">IF(OR(D118="MDU",D118="MDU-KD"),(IF($O$3="RAB NON MDU","PLN KD",G118*F118)),0)</f>
        <v>0</v>
      </c>
      <c r="I118" s="308">
        <f t="shared" ref="I118" ca="1" si="40">IF(D118="HDW",G118*F118,0)</f>
        <v>0</v>
      </c>
      <c r="J118" s="308">
        <f t="shared" ref="J118" ca="1" si="41">IF(D118="JASA",G118*F118,0)</f>
        <v>0</v>
      </c>
      <c r="K118" s="309">
        <f t="shared" ref="K118" ca="1" si="42">SUM(H118:J118)</f>
        <v>0</v>
      </c>
      <c r="L118" s="316"/>
      <c r="M118" s="289"/>
      <c r="N118" s="316"/>
      <c r="O118" s="310"/>
      <c r="P118" s="310"/>
      <c r="Q118" s="291"/>
      <c r="R118" s="283"/>
      <c r="S118" s="311"/>
      <c r="T118" s="288"/>
      <c r="U118" s="288"/>
      <c r="V118" s="288"/>
    </row>
    <row r="119" spans="1:22" s="317" customFormat="1">
      <c r="A119" s="283"/>
      <c r="B119" s="318"/>
      <c r="C119" s="319"/>
      <c r="D119" s="305" t="str">
        <f ca="1">IF(ISERROR(OFFSET('HARGA SATUAN'!$D$6,MATCH(RAB!C119,'HARGA SATUAN'!$C$7:$C$1495,0),0)),"",OFFSET('HARGA SATUAN'!$D$6,MATCH(RAB!C119,'HARGA SATUAN'!$C$7:$C$1495,0),0))</f>
        <v/>
      </c>
      <c r="E119" s="306" t="str">
        <f ca="1">IF(B119="+","Unit",IF(ISERROR(OFFSET('HARGA SATUAN'!$E$6,MATCH(RAB!C119,'HARGA SATUAN'!$C$7:$C$1495,0),0)),"",OFFSET('HARGA SATUAN'!$E$6,MATCH(RAB!C119,'HARGA SATUAN'!$C$7:$C$1495,0),0)))</f>
        <v/>
      </c>
      <c r="F119" s="454"/>
      <c r="G119" s="307">
        <f ca="1">IF(ISERROR(OFFSET('HARGA SATUAN'!$I$6,MATCH(RAB!C119,'HARGA SATUAN'!$C$7:$C$1495,0),0)),0,OFFSET('HARGA SATUAN'!$I$6,MATCH(RAB!C119,'HARGA SATUAN'!$C$7:$C$1495,0),0))</f>
        <v>0</v>
      </c>
      <c r="H119" s="308">
        <f t="shared" ca="1" si="35"/>
        <v>0</v>
      </c>
      <c r="I119" s="308">
        <f t="shared" ca="1" si="36"/>
        <v>0</v>
      </c>
      <c r="J119" s="308">
        <f t="shared" ca="1" si="37"/>
        <v>0</v>
      </c>
      <c r="K119" s="309">
        <f t="shared" ca="1" si="38"/>
        <v>0</v>
      </c>
      <c r="L119" s="316"/>
      <c r="M119" s="289" t="str">
        <f ca="1">IF(AND(F119&gt;0,F112=0),"",IF(AND(ISBLANK(F119)=FALSE,K119=0),"WARNING",""))</f>
        <v/>
      </c>
      <c r="N119" s="316"/>
      <c r="O119" s="310"/>
      <c r="P119" s="310"/>
      <c r="Q119" s="291"/>
      <c r="R119" s="283"/>
      <c r="S119" s="311"/>
      <c r="T119" s="288"/>
      <c r="U119" s="288"/>
      <c r="V119" s="288"/>
    </row>
    <row r="120" spans="1:22" s="317" customFormat="1">
      <c r="A120" s="283"/>
      <c r="B120" s="318" t="s">
        <v>1035</v>
      </c>
      <c r="C120" s="319" t="s">
        <v>1621</v>
      </c>
      <c r="D120" s="305" t="str">
        <f ca="1">IF(ISERROR(OFFSET('HARGA SATUAN'!$D$6,MATCH(RAB!C120,'HARGA SATUAN'!$C$7:$C$1495,0),0)),"",OFFSET('HARGA SATUAN'!$D$6,MATCH(RAB!C120,'HARGA SATUAN'!$C$7:$C$1495,0),0))</f>
        <v/>
      </c>
      <c r="E120" s="306" t="str">
        <f ca="1">IF(B120="+","Unit",IF(ISERROR(OFFSET('HARGA SATUAN'!$E$6,MATCH(RAB!C120,'HARGA SATUAN'!$C$7:$C$1495,0),0)),"",OFFSET('HARGA SATUAN'!$E$6,MATCH(RAB!C120,'HARGA SATUAN'!$C$7:$C$1495,0),0)))</f>
        <v>Unit</v>
      </c>
      <c r="F120" s="453">
        <v>1</v>
      </c>
      <c r="G120" s="307">
        <f ca="1">IF(ISERROR(OFFSET('HARGA SATUAN'!$I$6,MATCH(RAB!C120,'HARGA SATUAN'!$C$7:$C$1495,0),0)),0,OFFSET('HARGA SATUAN'!$I$6,MATCH(RAB!C120,'HARGA SATUAN'!$C$7:$C$1495,0),0))</f>
        <v>0</v>
      </c>
      <c r="H120" s="308">
        <f t="shared" ca="1" si="35"/>
        <v>0</v>
      </c>
      <c r="I120" s="308">
        <f t="shared" ca="1" si="36"/>
        <v>0</v>
      </c>
      <c r="J120" s="308">
        <f t="shared" ca="1" si="37"/>
        <v>0</v>
      </c>
      <c r="K120" s="309">
        <f t="shared" ca="1" si="38"/>
        <v>0</v>
      </c>
      <c r="L120" s="316"/>
      <c r="M120" s="289" t="str">
        <f t="shared" si="22"/>
        <v/>
      </c>
      <c r="N120" s="316"/>
      <c r="O120" s="310"/>
      <c r="P120" s="310"/>
      <c r="Q120" s="291"/>
      <c r="R120" s="283"/>
      <c r="S120" s="311"/>
      <c r="T120" s="288"/>
      <c r="U120" s="288"/>
      <c r="V120" s="288"/>
    </row>
    <row r="121" spans="1:22" s="317" customFormat="1">
      <c r="A121" s="283"/>
      <c r="B121" s="318">
        <v>1</v>
      </c>
      <c r="C121" s="319" t="s">
        <v>29</v>
      </c>
      <c r="D121" s="305" t="str">
        <f ca="1">IF(ISERROR(OFFSET('HARGA SATUAN'!$D$6,MATCH(RAB!C121,'HARGA SATUAN'!$C$7:$C$1495,0),0)),"",OFFSET('HARGA SATUAN'!$D$6,MATCH(RAB!C121,'HARGA SATUAN'!$C$7:$C$1495,0),0))</f>
        <v>HDW</v>
      </c>
      <c r="E121" s="306" t="str">
        <f ca="1">IF(B121="+","Unit",IF(ISERROR(OFFSET('HARGA SATUAN'!$E$6,MATCH(RAB!C121,'HARGA SATUAN'!$C$7:$C$1495,0),0)),"",OFFSET('HARGA SATUAN'!$E$6,MATCH(RAB!C121,'HARGA SATUAN'!$C$7:$C$1495,0),0)))</f>
        <v>Bh</v>
      </c>
      <c r="F121" s="453">
        <f>F120*1</f>
        <v>1</v>
      </c>
      <c r="G121" s="307">
        <f ca="1">IF(ISERROR(OFFSET('HARGA SATUAN'!$I$6,MATCH(RAB!C121,'HARGA SATUAN'!$C$7:$C$1495,0),0)),0,OFFSET('HARGA SATUAN'!$I$6,MATCH(RAB!C121,'HARGA SATUAN'!$C$7:$C$1495,0),0))</f>
        <v>185200</v>
      </c>
      <c r="H121" s="308">
        <f t="shared" ca="1" si="35"/>
        <v>0</v>
      </c>
      <c r="I121" s="308">
        <f t="shared" ca="1" si="36"/>
        <v>185200</v>
      </c>
      <c r="J121" s="308">
        <f t="shared" ca="1" si="37"/>
        <v>0</v>
      </c>
      <c r="K121" s="309">
        <f t="shared" ca="1" si="38"/>
        <v>185200</v>
      </c>
      <c r="L121" s="316"/>
      <c r="M121" s="289" t="str">
        <f t="shared" ca="1" si="22"/>
        <v/>
      </c>
      <c r="N121" s="316"/>
      <c r="O121" s="310"/>
      <c r="P121" s="310"/>
      <c r="Q121" s="291"/>
      <c r="R121" s="283"/>
      <c r="S121" s="311"/>
      <c r="T121" s="288"/>
      <c r="U121" s="288"/>
      <c r="V121" s="288"/>
    </row>
    <row r="122" spans="1:22" s="317" customFormat="1">
      <c r="A122" s="283"/>
      <c r="B122" s="318">
        <v>2</v>
      </c>
      <c r="C122" s="319" t="s">
        <v>30</v>
      </c>
      <c r="D122" s="305" t="str">
        <f ca="1">IF(ISERROR(OFFSET('HARGA SATUAN'!$D$6,MATCH(RAB!C122,'HARGA SATUAN'!$C$7:$C$1495,0),0)),"",OFFSET('HARGA SATUAN'!$D$6,MATCH(RAB!C122,'HARGA SATUAN'!$C$7:$C$1495,0),0))</f>
        <v>HDW</v>
      </c>
      <c r="E122" s="306" t="str">
        <f ca="1">IF(B122="+","Unit",IF(ISERROR(OFFSET('HARGA SATUAN'!$E$6,MATCH(RAB!C122,'HARGA SATUAN'!$C$7:$C$1495,0),0)),"",OFFSET('HARGA SATUAN'!$E$6,MATCH(RAB!C122,'HARGA SATUAN'!$C$7:$C$1495,0),0)))</f>
        <v>Bh</v>
      </c>
      <c r="F122" s="453">
        <f>F120*1</f>
        <v>1</v>
      </c>
      <c r="G122" s="307">
        <f ca="1">IF(ISERROR(OFFSET('HARGA SATUAN'!$I$6,MATCH(RAB!C122,'HARGA SATUAN'!$C$7:$C$1495,0),0)),0,OFFSET('HARGA SATUAN'!$I$6,MATCH(RAB!C122,'HARGA SATUAN'!$C$7:$C$1495,0),0))</f>
        <v>47459</v>
      </c>
      <c r="H122" s="308">
        <f t="shared" ca="1" si="35"/>
        <v>0</v>
      </c>
      <c r="I122" s="308">
        <f t="shared" ca="1" si="36"/>
        <v>47459</v>
      </c>
      <c r="J122" s="308">
        <f t="shared" ca="1" si="37"/>
        <v>0</v>
      </c>
      <c r="K122" s="309">
        <f t="shared" ca="1" si="38"/>
        <v>47459</v>
      </c>
      <c r="L122" s="316"/>
      <c r="M122" s="289" t="str">
        <f t="shared" ca="1" si="22"/>
        <v/>
      </c>
      <c r="N122" s="316"/>
      <c r="O122" s="310"/>
      <c r="P122" s="310"/>
      <c r="Q122" s="291"/>
      <c r="R122" s="283"/>
      <c r="S122" s="311"/>
      <c r="T122" s="288"/>
      <c r="U122" s="288"/>
      <c r="V122" s="288"/>
    </row>
    <row r="123" spans="1:22" s="317" customFormat="1">
      <c r="A123" s="283"/>
      <c r="B123" s="318">
        <v>3</v>
      </c>
      <c r="C123" s="319" t="s">
        <v>32</v>
      </c>
      <c r="D123" s="305" t="str">
        <f ca="1">IF(ISERROR(OFFSET('HARGA SATUAN'!$D$6,MATCH(RAB!C123,'HARGA SATUAN'!$C$7:$C$1495,0),0)),"",OFFSET('HARGA SATUAN'!$D$6,MATCH(RAB!C123,'HARGA SATUAN'!$C$7:$C$1495,0),0))</f>
        <v>HDW</v>
      </c>
      <c r="E123" s="306" t="str">
        <f ca="1">IF(B123="+","Unit",IF(ISERROR(OFFSET('HARGA SATUAN'!$E$6,MATCH(RAB!C123,'HARGA SATUAN'!$C$7:$C$1495,0),0)),"",OFFSET('HARGA SATUAN'!$E$6,MATCH(RAB!C123,'HARGA SATUAN'!$C$7:$C$1495,0),0)))</f>
        <v>Mtr</v>
      </c>
      <c r="F123" s="453">
        <f>F120*1.5</f>
        <v>1.5</v>
      </c>
      <c r="G123" s="307">
        <f ca="1">IF(ISERROR(OFFSET('HARGA SATUAN'!$I$6,MATCH(RAB!C123,'HARGA SATUAN'!$C$7:$C$1495,0),0)),0,OFFSET('HARGA SATUAN'!$I$6,MATCH(RAB!C123,'HARGA SATUAN'!$C$7:$C$1495,0),0))</f>
        <v>30000</v>
      </c>
      <c r="H123" s="308">
        <f t="shared" ca="1" si="35"/>
        <v>0</v>
      </c>
      <c r="I123" s="308">
        <f t="shared" ca="1" si="36"/>
        <v>45000</v>
      </c>
      <c r="J123" s="308">
        <f t="shared" ca="1" si="37"/>
        <v>0</v>
      </c>
      <c r="K123" s="309">
        <f t="shared" ca="1" si="38"/>
        <v>45000</v>
      </c>
      <c r="L123" s="316"/>
      <c r="M123" s="289" t="str">
        <f t="shared" ca="1" si="22"/>
        <v/>
      </c>
      <c r="N123" s="316"/>
      <c r="O123" s="310"/>
      <c r="P123" s="310"/>
      <c r="Q123" s="291"/>
      <c r="R123" s="283"/>
      <c r="S123" s="311"/>
      <c r="T123" s="288"/>
      <c r="U123" s="288"/>
      <c r="V123" s="288"/>
    </row>
    <row r="124" spans="1:22" s="317" customFormat="1">
      <c r="A124" s="283"/>
      <c r="B124" s="318">
        <v>4</v>
      </c>
      <c r="C124" s="319" t="s">
        <v>33</v>
      </c>
      <c r="D124" s="305" t="str">
        <f ca="1">IF(ISERROR(OFFSET('HARGA SATUAN'!$D$6,MATCH(RAB!C124,'HARGA SATUAN'!$C$7:$C$1495,0),0)),"",OFFSET('HARGA SATUAN'!$D$6,MATCH(RAB!C124,'HARGA SATUAN'!$C$7:$C$1495,0),0))</f>
        <v>HDW</v>
      </c>
      <c r="E124" s="306" t="str">
        <f ca="1">IF(B124="+","Unit",IF(ISERROR(OFFSET('HARGA SATUAN'!$E$6,MATCH(RAB!C124,'HARGA SATUAN'!$C$7:$C$1495,0),0)),"",OFFSET('HARGA SATUAN'!$E$6,MATCH(RAB!C124,'HARGA SATUAN'!$C$7:$C$1495,0),0)))</f>
        <v>Bh</v>
      </c>
      <c r="F124" s="453">
        <f>F120*2</f>
        <v>2</v>
      </c>
      <c r="G124" s="307">
        <f ca="1">IF(ISERROR(OFFSET('HARGA SATUAN'!$I$6,MATCH(RAB!C124,'HARGA SATUAN'!$C$7:$C$1495,0),0)),0,OFFSET('HARGA SATUAN'!$I$6,MATCH(RAB!C124,'HARGA SATUAN'!$C$7:$C$1495,0),0))</f>
        <v>9500</v>
      </c>
      <c r="H124" s="308">
        <f t="shared" ca="1" si="35"/>
        <v>0</v>
      </c>
      <c r="I124" s="308">
        <f t="shared" ca="1" si="36"/>
        <v>19000</v>
      </c>
      <c r="J124" s="308">
        <f t="shared" ca="1" si="37"/>
        <v>0</v>
      </c>
      <c r="K124" s="309">
        <f t="shared" ca="1" si="38"/>
        <v>19000</v>
      </c>
      <c r="L124" s="316"/>
      <c r="M124" s="289" t="str">
        <f t="shared" ca="1" si="22"/>
        <v/>
      </c>
      <c r="N124" s="316"/>
      <c r="O124" s="310"/>
      <c r="P124" s="310"/>
      <c r="Q124" s="291"/>
      <c r="R124" s="283"/>
      <c r="S124" s="311"/>
      <c r="T124" s="288"/>
      <c r="U124" s="288"/>
      <c r="V124" s="288"/>
    </row>
    <row r="125" spans="1:22" s="317" customFormat="1">
      <c r="A125" s="283"/>
      <c r="B125" s="318">
        <v>5</v>
      </c>
      <c r="C125" s="319" t="s">
        <v>735</v>
      </c>
      <c r="D125" s="305" t="str">
        <f ca="1">IF(ISERROR(OFFSET('HARGA SATUAN'!$D$6,MATCH(RAB!C125,'HARGA SATUAN'!$C$7:$C$1495,0),0)),"",OFFSET('HARGA SATUAN'!$D$6,MATCH(RAB!C125,'HARGA SATUAN'!$C$7:$C$1495,0),0))</f>
        <v>JASA</v>
      </c>
      <c r="E125" s="306" t="str">
        <f ca="1">IF(B125="+","Unit",IF(ISERROR(OFFSET('HARGA SATUAN'!$E$6,MATCH(RAB!C125,'HARGA SATUAN'!$C$7:$C$1495,0),0)),"",OFFSET('HARGA SATUAN'!$E$6,MATCH(RAB!C125,'HARGA SATUAN'!$C$7:$C$1495,0),0)))</f>
        <v>Unit</v>
      </c>
      <c r="F125" s="453">
        <f>F120*1</f>
        <v>1</v>
      </c>
      <c r="G125" s="307">
        <f ca="1">IF(ISERROR(OFFSET('HARGA SATUAN'!$I$6,MATCH(RAB!C125,'HARGA SATUAN'!$C$7:$C$1495,0),0)),0,OFFSET('HARGA SATUAN'!$I$6,MATCH(RAB!C125,'HARGA SATUAN'!$C$7:$C$1495,0),0))</f>
        <v>56400</v>
      </c>
      <c r="H125" s="308">
        <f t="shared" ca="1" si="35"/>
        <v>0</v>
      </c>
      <c r="I125" s="308">
        <f t="shared" ca="1" si="36"/>
        <v>0</v>
      </c>
      <c r="J125" s="308">
        <f t="shared" ca="1" si="37"/>
        <v>56400</v>
      </c>
      <c r="K125" s="309">
        <f t="shared" ca="1" si="38"/>
        <v>56400</v>
      </c>
      <c r="L125" s="316"/>
      <c r="M125" s="289" t="str">
        <f t="shared" ca="1" si="22"/>
        <v/>
      </c>
      <c r="N125" s="316"/>
      <c r="O125" s="310"/>
      <c r="P125" s="310"/>
      <c r="Q125" s="291"/>
      <c r="R125" s="283"/>
      <c r="S125" s="311"/>
      <c r="T125" s="288"/>
      <c r="U125" s="288"/>
      <c r="V125" s="288"/>
    </row>
    <row r="126" spans="1:22">
      <c r="B126" s="321"/>
      <c r="C126" s="320"/>
      <c r="D126" s="305" t="str">
        <f ca="1">IF(ISERROR(OFFSET('HARGA SATUAN'!$D$6,MATCH(RAB!C126,'HARGA SATUAN'!$C$7:$C$1495,0),0)),"",OFFSET('HARGA SATUAN'!$D$6,MATCH(RAB!C126,'HARGA SATUAN'!$C$7:$C$1495,0),0))</f>
        <v/>
      </c>
      <c r="E126" s="306" t="str">
        <f ca="1">IF(B126="+","Unit",IF(ISERROR(OFFSET('HARGA SATUAN'!$E$6,MATCH(RAB!C126,'HARGA SATUAN'!$C$7:$C$1495,0),0)),"",OFFSET('HARGA SATUAN'!$E$6,MATCH(RAB!C126,'HARGA SATUAN'!$C$7:$C$1495,0),0)))</f>
        <v/>
      </c>
      <c r="F126" s="315"/>
      <c r="G126" s="307">
        <f ca="1">IF(ISERROR(OFFSET('HARGA SATUAN'!$I$6,MATCH(RAB!C126,'HARGA SATUAN'!$C$7:$C$1495,0),0)),0,OFFSET('HARGA SATUAN'!$I$6,MATCH(RAB!C126,'HARGA SATUAN'!$C$7:$C$1495,0),0))</f>
        <v>0</v>
      </c>
      <c r="H126" s="308">
        <f t="shared" ca="1" si="35"/>
        <v>0</v>
      </c>
      <c r="I126" s="308">
        <f t="shared" ca="1" si="36"/>
        <v>0</v>
      </c>
      <c r="J126" s="308">
        <f t="shared" ca="1" si="37"/>
        <v>0</v>
      </c>
      <c r="K126" s="309">
        <f t="shared" ca="1" si="38"/>
        <v>0</v>
      </c>
      <c r="M126" s="289" t="str">
        <f t="shared" ca="1" si="22"/>
        <v/>
      </c>
    </row>
    <row r="127" spans="1:22">
      <c r="B127" s="322"/>
      <c r="C127" s="323" t="s">
        <v>475</v>
      </c>
      <c r="D127" s="305" t="str">
        <f ca="1">IF(ISERROR(OFFSET('HARGA SATUAN'!$D$6,MATCH(RAB!C127,'HARGA SATUAN'!$C$7:$C$1495,0),0)),"",OFFSET('HARGA SATUAN'!$D$6,MATCH(RAB!C127,'HARGA SATUAN'!$C$7:$C$1495,0),0))</f>
        <v/>
      </c>
      <c r="E127" s="306" t="str">
        <f ca="1">IF(B127="+","Unit",IF(ISERROR(OFFSET('HARGA SATUAN'!$E$6,MATCH(RAB!C127,'HARGA SATUAN'!$C$7:$C$1495,0),0)),"",OFFSET('HARGA SATUAN'!$E$6,MATCH(RAB!C127,'HARGA SATUAN'!$C$7:$C$1495,0),0)))</f>
        <v/>
      </c>
      <c r="F127" s="315"/>
      <c r="G127" s="307">
        <f ca="1">IF(ISERROR(OFFSET('HARGA SATUAN'!$I$6,MATCH(RAB!C127,'HARGA SATUAN'!$C$7:$C$1495,0),0)),0,OFFSET('HARGA SATUAN'!$I$6,MATCH(RAB!C127,'HARGA SATUAN'!$C$7:$C$1495,0),0))</f>
        <v>0</v>
      </c>
      <c r="H127" s="308">
        <f t="shared" ca="1" si="31"/>
        <v>0</v>
      </c>
      <c r="I127" s="308">
        <f t="shared" ca="1" si="32"/>
        <v>0</v>
      </c>
      <c r="J127" s="308">
        <f t="shared" ca="1" si="33"/>
        <v>0</v>
      </c>
      <c r="K127" s="309">
        <f t="shared" ca="1" si="34"/>
        <v>0</v>
      </c>
      <c r="M127" s="289" t="e">
        <f>IF(AND(F127&gt;0,#REF!=0),"",IF(AND(ISBLANK(F127)=FALSE,K127=0),"WARNING",""))</f>
        <v>#REF!</v>
      </c>
    </row>
    <row r="128" spans="1:22">
      <c r="B128" s="325">
        <v>1</v>
      </c>
      <c r="C128" s="326" t="s">
        <v>1091</v>
      </c>
      <c r="D128" s="327" t="str">
        <f ca="1">IF(ISERROR(OFFSET('HARGA SATUAN'!$D$6,MATCH(RAB!C128,'HARGA SATUAN'!$C$7:$C$1495,0),0)),"",OFFSET('HARGA SATUAN'!$D$6,MATCH(RAB!C128,'HARGA SATUAN'!$C$7:$C$1495,0),0))</f>
        <v>JASA</v>
      </c>
      <c r="E128" s="328" t="str">
        <f ca="1">IF(ISERROR(OFFSET('HARGA SATUAN'!$E$6,MATCH(RAB!C128,'HARGA SATUAN'!$C$7:$C$1495,0),0)),"",OFFSET('HARGA SATUAN'!$E$6,MATCH(RAB!C128,'HARGA SATUAN'!$C$7:$C$1495,0),0))</f>
        <v>Lot</v>
      </c>
      <c r="F128" s="329">
        <v>1</v>
      </c>
      <c r="G128" s="330">
        <f ca="1">IF(ISERROR(OFFSET('HARGA SATUAN'!$I$6,MATCH(RAB!C128,'HARGA SATUAN'!$C$7:$C$1495,0),0)),0,OFFSET('HARGA SATUAN'!$I$6,MATCH(RAB!C128,'HARGA SATUAN'!$C$7:$C$1495,0),0))</f>
        <v>2.5000000000000001E-2</v>
      </c>
      <c r="H128" s="331">
        <f ca="1">SUM(H14:H127)*G128</f>
        <v>1184642.5</v>
      </c>
      <c r="I128" s="331">
        <f ca="1">SUM(I14:I127)*G128</f>
        <v>532994.125</v>
      </c>
      <c r="J128" s="331">
        <f ca="1">SUM(J14:J127)*G128</f>
        <v>96546.666666666686</v>
      </c>
      <c r="K128" s="331">
        <f ca="1">SUM(K14:K127)*G128</f>
        <v>1814183.2916666665</v>
      </c>
      <c r="M128" s="289" t="str">
        <f t="shared" ref="M128" si="43">IF(AND(F128&gt;0,F127=0),"",IF(AND(ISBLANK(F128)=FALSE,K128=0),"WARNING",""))</f>
        <v/>
      </c>
    </row>
    <row r="129" spans="2:13">
      <c r="B129" s="332"/>
      <c r="C129" s="333"/>
      <c r="D129" s="305" t="str">
        <f ca="1">IF(ISERROR(OFFSET('HARGA SATUAN'!$D$6,MATCH(RAB!C129,'HARGA SATUAN'!$C$7:$C$1495,0),0)),"",OFFSET('HARGA SATUAN'!$D$6,MATCH(RAB!C129,'HARGA SATUAN'!$C$7:$C$1495,0),0))</f>
        <v/>
      </c>
      <c r="E129" s="306" t="str">
        <f ca="1">IF(ISERROR(OFFSET('HARGA SATUAN'!$E$6,MATCH(RAB!C129,'HARGA SATUAN'!$C$7:$C$1495,0),0)),"",OFFSET('HARGA SATUAN'!$E$6,MATCH(RAB!C129,'HARGA SATUAN'!$C$7:$C$1495,0),0))</f>
        <v/>
      </c>
      <c r="F129" s="324"/>
      <c r="G129" s="307" t="str">
        <f ca="1">IF(ISERROR(OFFSET('HARGA SATUAN'!$I$6,MATCH(RAB!C129,'HARGA SATUAN'!$C$7:$C$1495,0),0)),"",OFFSET('HARGA SATUAN'!$I$6,MATCH(RAB!C129,'HARGA SATUAN'!$C$7:$C$1495,0),0))</f>
        <v/>
      </c>
      <c r="H129" s="308">
        <f ca="1">IF(OR(D129="MDU",D129="MDU-KD"),IF(G129="PLN",0,G129*F129),0)</f>
        <v>0</v>
      </c>
      <c r="I129" s="308">
        <f ca="1">IF(D129="HDW",IF(G129="PLN",0,G129*F129),0)</f>
        <v>0</v>
      </c>
      <c r="J129" s="308">
        <f ca="1">IF(D129="JASA",IF(G129="PLN",0,G129*F129),0)</f>
        <v>0</v>
      </c>
      <c r="K129" s="309">
        <f ca="1">SUM(H129:J129)</f>
        <v>0</v>
      </c>
    </row>
    <row r="130" spans="2:13" ht="15.75" thickBot="1">
      <c r="B130" s="334"/>
      <c r="C130" s="335"/>
      <c r="D130" s="336"/>
      <c r="E130" s="337"/>
      <c r="F130" s="337"/>
      <c r="G130" s="337"/>
      <c r="H130" s="338"/>
      <c r="I130" s="338"/>
      <c r="J130" s="338"/>
      <c r="K130" s="339"/>
    </row>
    <row r="131" spans="2:13">
      <c r="B131" s="340"/>
      <c r="C131" s="619" t="s">
        <v>1008</v>
      </c>
      <c r="D131" s="619"/>
      <c r="E131" s="619"/>
      <c r="F131" s="619"/>
      <c r="G131" s="341" t="s">
        <v>9</v>
      </c>
      <c r="H131" s="342">
        <f ca="1">SUM(H14:H129)</f>
        <v>48570342.5</v>
      </c>
      <c r="I131" s="342">
        <f ca="1">SUM(I14:I129)</f>
        <v>21852759.125</v>
      </c>
      <c r="J131" s="342">
        <f ca="1">SUM(J14:J129)</f>
        <v>3958413.3333333335</v>
      </c>
      <c r="K131" s="342">
        <f ca="1">SUM(K14:K129)</f>
        <v>74381514.958333328</v>
      </c>
    </row>
    <row r="132" spans="2:13">
      <c r="B132" s="343"/>
      <c r="C132" s="636" t="s">
        <v>1455</v>
      </c>
      <c r="D132" s="636"/>
      <c r="E132" s="636"/>
      <c r="F132" s="636"/>
      <c r="G132" s="344" t="s">
        <v>9</v>
      </c>
      <c r="H132" s="345">
        <f ca="1">H131*0.11</f>
        <v>5342737.6749999998</v>
      </c>
      <c r="I132" s="345">
        <f ca="1">I131*0.11</f>
        <v>2403803.5037500001</v>
      </c>
      <c r="J132" s="345">
        <f ca="1">J131*0.11</f>
        <v>435425.46666666667</v>
      </c>
      <c r="K132" s="345">
        <f ca="1">K131*0.11</f>
        <v>8181966.6454166658</v>
      </c>
    </row>
    <row r="133" spans="2:13" ht="15.75" thickBot="1">
      <c r="B133" s="343"/>
      <c r="C133" s="633" t="s">
        <v>463</v>
      </c>
      <c r="D133" s="633"/>
      <c r="E133" s="633"/>
      <c r="F133" s="633"/>
      <c r="G133" s="346" t="s">
        <v>9</v>
      </c>
      <c r="H133" s="347">
        <f ca="1">SUM(H131:H132)</f>
        <v>53913080.174999997</v>
      </c>
      <c r="I133" s="347">
        <f ca="1">SUM(I131:I132)</f>
        <v>24256562.62875</v>
      </c>
      <c r="J133" s="346">
        <f ca="1">SUM(J131:J132)</f>
        <v>4393838.8</v>
      </c>
      <c r="K133" s="346">
        <f ca="1">SUM(K131:K132)</f>
        <v>82563481.60374999</v>
      </c>
      <c r="M133" s="411">
        <v>201265205.30690998</v>
      </c>
    </row>
    <row r="134" spans="2:13">
      <c r="B134" s="637" t="str">
        <f ca="1">"Terbilang : "&amp;PROPER(IF(K133=0,"nol",IF(K133&lt;0,"minus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IF(--MID(TEXT(ABS(K133),"000000000000000"),1,3)=0,"",MID(TEXT(ABS(K133),"000000000000000"),1,1)&amp;" ratus "&amp;MID(TEXT(ABS(K133),"000000000000000"),2,1)&amp;" puluh "&amp;MID(TEXT(ABS(K133),"000000000000000"),3,1)&amp;" trilyun ")&amp; IF(--MID(TEXT(ABS(K133),"000000000000000"),4,3)=0,"",MID(TEXT(ABS(K133),"000000000000000"),4,1)&amp;" ratus "&amp;MID(TEXT(ABS(K133),"000000000000000"),5,1)&amp;" puluh "&amp;MID(TEXT(ABS(K133),"000000000000000"),6,1)&amp;" milyar ")&amp; IF(--MID(TEXT(ABS(K133),"000000000000000"),7,3)=0,"",MID(TEXT(ABS(K133),"000000000000000"),7,1)&amp;" ratus "&amp;MID(TEXT(ABS(K133),"000000000000000"),8,1)&amp;" puluh "&amp;MID(TEXT(ABS(K133),"000000000000000"),9,1)&amp;" juta ")&amp; IF(--MID(TEXT(ABS(K133),"000000000000000"),10,3)=0,"",IF(--MID(TEXT(ABS(K133),"000000000000000"),10,3)=1,"*",MID(TEXT(ABS(K133),"000000000000000"),10,1)&amp;" ratus "&amp;MID(TEXT(ABS(K133),"000000000000000"),11,1)&amp;" puluh ")&amp;MID(TEXT(ABS(K133),"000000000000000"),12,1)&amp;" ribu ")&amp; IF(--MID(TEXT(ABS(K133),"000000000000000"),13,3)=0,"",MID(TEXT(ABS(K133),"000000000000000"),13,1)&amp;" ratus "&amp;MID(TEXT(ABS(K133),"000000000000000"),14,1)&amp;" puluh "&amp;MID(TEXT(ABS(K133),"000000000000000"),15,1)),1,"satu"),2,"dua"),3,"tiga"),4,"empat"),5,"lima"),6,"enam"),7,"tujuh"),8,"delapan"),9,"sembilan"),"0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Delapan Puluh Dua Juta Lima Ratus Enam Puluh Tiga Ribu Empat Ratus Delapan Puluh Dua Rupiah</v>
      </c>
      <c r="C134" s="638"/>
      <c r="D134" s="638"/>
      <c r="E134" s="638"/>
      <c r="F134" s="638"/>
      <c r="G134" s="638"/>
      <c r="H134" s="638"/>
      <c r="I134" s="638"/>
      <c r="J134" s="638"/>
      <c r="K134" s="639"/>
    </row>
    <row r="135" spans="2:13">
      <c r="B135" s="640"/>
      <c r="C135" s="641"/>
      <c r="D135" s="641"/>
      <c r="E135" s="641"/>
      <c r="F135" s="641"/>
      <c r="G135" s="641"/>
      <c r="H135" s="641"/>
      <c r="I135" s="641"/>
      <c r="J135" s="641"/>
      <c r="K135" s="642"/>
    </row>
    <row r="136" spans="2:13" ht="15.75" thickBot="1">
      <c r="B136" s="348" t="str">
        <f>"Harga yang dipakai adalah "&amp;'HARGA SATUAN'!I5&amp;""</f>
        <v>Harga yang dipakai adalah RAB HSS 2023</v>
      </c>
      <c r="C136" s="349"/>
      <c r="D136" s="350"/>
      <c r="E136" s="350"/>
      <c r="F136" s="350"/>
      <c r="G136" s="351"/>
      <c r="H136" s="351"/>
      <c r="I136" s="351"/>
      <c r="J136" s="351"/>
      <c r="K136" s="352"/>
    </row>
    <row r="137" spans="2:13">
      <c r="C137" s="353"/>
      <c r="E137" s="355"/>
      <c r="F137" s="355"/>
      <c r="G137" s="355"/>
    </row>
    <row r="138" spans="2:13">
      <c r="C138" s="284"/>
      <c r="E138" s="355"/>
      <c r="F138" s="355"/>
      <c r="G138" s="355"/>
      <c r="H138" s="643"/>
      <c r="I138" s="643"/>
      <c r="J138" s="644"/>
      <c r="K138" s="644"/>
    </row>
    <row r="139" spans="2:13">
      <c r="C139" s="284"/>
      <c r="E139" s="355"/>
      <c r="F139" s="355"/>
      <c r="G139" s="355"/>
      <c r="H139" s="356"/>
      <c r="I139" s="632" t="s">
        <v>1619</v>
      </c>
      <c r="J139" s="632"/>
      <c r="K139" s="632"/>
    </row>
    <row r="140" spans="2:13">
      <c r="C140" s="284"/>
      <c r="E140" s="355"/>
      <c r="F140" s="355"/>
      <c r="G140" s="355"/>
      <c r="H140" s="356"/>
      <c r="I140" s="632" t="s">
        <v>1611</v>
      </c>
      <c r="J140" s="632"/>
      <c r="K140" s="632"/>
    </row>
    <row r="141" spans="2:13">
      <c r="C141" s="284"/>
      <c r="E141" s="355"/>
      <c r="F141" s="355"/>
      <c r="G141" s="355"/>
      <c r="H141" s="357"/>
      <c r="I141" s="358"/>
      <c r="J141" s="358"/>
      <c r="K141" s="358"/>
    </row>
    <row r="142" spans="2:13">
      <c r="C142" s="284"/>
      <c r="E142" s="355"/>
      <c r="F142" s="355"/>
      <c r="G142" s="355"/>
      <c r="H142" s="357"/>
      <c r="I142" s="357"/>
      <c r="J142" s="357"/>
      <c r="K142" s="357"/>
    </row>
    <row r="143" spans="2:13">
      <c r="C143" s="284"/>
      <c r="E143" s="355"/>
      <c r="F143" s="355"/>
      <c r="G143" s="355"/>
      <c r="H143" s="357"/>
      <c r="I143" s="357"/>
      <c r="J143" s="357"/>
      <c r="K143" s="357"/>
    </row>
    <row r="144" spans="2:13">
      <c r="C144" s="284"/>
      <c r="E144" s="355"/>
      <c r="F144" s="355"/>
      <c r="G144" s="355"/>
      <c r="H144" s="357"/>
      <c r="I144" s="357"/>
      <c r="J144" s="357"/>
      <c r="K144" s="357"/>
    </row>
    <row r="145" spans="3:11">
      <c r="C145" s="284"/>
      <c r="E145" s="355"/>
      <c r="F145" s="355"/>
      <c r="G145" s="355"/>
      <c r="H145" s="359"/>
      <c r="I145" s="632" t="s">
        <v>1612</v>
      </c>
      <c r="J145" s="632"/>
      <c r="K145" s="632"/>
    </row>
    <row r="146" spans="3:11">
      <c r="C146" s="353"/>
      <c r="E146" s="355"/>
      <c r="F146" s="355"/>
      <c r="G146" s="355"/>
      <c r="H146" s="357"/>
      <c r="I146" s="357"/>
      <c r="J146" s="357"/>
      <c r="K146" s="357"/>
    </row>
    <row r="147" spans="3:11">
      <c r="C147" s="353"/>
      <c r="E147" s="355"/>
      <c r="F147" s="355"/>
      <c r="G147" s="355"/>
      <c r="H147" s="357"/>
      <c r="I147" s="357"/>
      <c r="J147" s="357"/>
      <c r="K147" s="357"/>
    </row>
    <row r="148" spans="3:11">
      <c r="C148" s="353"/>
      <c r="E148" s="355"/>
      <c r="F148" s="355"/>
      <c r="G148" s="355"/>
      <c r="H148" s="357"/>
      <c r="I148" s="357"/>
      <c r="J148" s="357"/>
      <c r="K148" s="357"/>
    </row>
  </sheetData>
  <sheetProtection sort="0" autoFilter="0"/>
  <protectedRanges>
    <protectedRange sqref="B112:C112 B15 B16:C16 B19:C30 B107:B111 B86:C106 B17:B18" name="Range1_6_1"/>
    <protectedRange sqref="B71:C73" name="Range1_6_1_1_1"/>
    <protectedRange sqref="B31:C70" name="Range1_6_1_2"/>
    <protectedRange sqref="C111" name="Range1_6_1_10"/>
    <protectedRange sqref="B119:C125 B113:B118" name="Range1_6_1_11"/>
    <protectedRange sqref="B74:C85" name="Range1_6_1_15"/>
    <protectedRange sqref="C109:C110" name="Range1_6_1_17"/>
    <protectedRange sqref="C113:C116 C118" name="Range1_6_1_18"/>
    <protectedRange sqref="C117" name="Range1_1_3_2"/>
    <protectedRange sqref="C17" name="Range1_1_3"/>
    <protectedRange sqref="C18" name="Range1_1_3_1"/>
    <protectedRange sqref="C107" name="Range1_1_3_3"/>
    <protectedRange sqref="C108" name="Range1_1_3_4"/>
  </protectedRanges>
  <mergeCells count="22">
    <mergeCell ref="I140:K140"/>
    <mergeCell ref="I145:K145"/>
    <mergeCell ref="C133:F133"/>
    <mergeCell ref="G6:K6"/>
    <mergeCell ref="I139:K139"/>
    <mergeCell ref="C132:F132"/>
    <mergeCell ref="B134:K135"/>
    <mergeCell ref="H138:K138"/>
    <mergeCell ref="H11:K11"/>
    <mergeCell ref="H12:H13"/>
    <mergeCell ref="J12:J13"/>
    <mergeCell ref="K12:K13"/>
    <mergeCell ref="O3:P4"/>
    <mergeCell ref="B4:K4"/>
    <mergeCell ref="C131:F131"/>
    <mergeCell ref="B11:B13"/>
    <mergeCell ref="C11:C13"/>
    <mergeCell ref="D11:D13"/>
    <mergeCell ref="E11:E13"/>
    <mergeCell ref="F11:F13"/>
    <mergeCell ref="G11:G13"/>
    <mergeCell ref="I12:I13"/>
  </mergeCells>
  <phoneticPr fontId="133" type="noConversion"/>
  <conditionalFormatting sqref="C15">
    <cfRule type="cellIs" dxfId="18" priority="88" operator="equal">
      <formula>0</formula>
    </cfRule>
  </conditionalFormatting>
  <conditionalFormatting sqref="E1:E3 E5:E13 H12:I12 O13 E128:G128 H128:K130 E129:H129 E130:F130 S14:V125 E14:K33">
    <cfRule type="cellIs" dxfId="15" priority="1132" stopIfTrue="1" operator="equal">
      <formula>0</formula>
    </cfRule>
  </conditionalFormatting>
  <conditionalFormatting sqref="E40:K40 E34:E39 G34:K39 E47:K47 E41:E46 G41:K46 E53:K53 E48:E52 G48:K52 E59:K59 E54:E58 G54:K58 E67:K67 E60:E66 G60:K66 E73:K112 E68:E72 G68:K72 E118:K127 E113:E117 G113:K117">
    <cfRule type="cellIs" dxfId="14" priority="16" stopIfTrue="1" operator="equal">
      <formula>0</formula>
    </cfRule>
  </conditionalFormatting>
  <conditionalFormatting sqref="G1:G13">
    <cfRule type="cellIs" dxfId="13" priority="57" stopIfTrue="1" operator="equal">
      <formula>0</formula>
    </cfRule>
  </conditionalFormatting>
  <conditionalFormatting sqref="G129:G65595 E134:E65595">
    <cfRule type="cellIs" dxfId="12" priority="266" stopIfTrue="1" operator="equal">
      <formula>0</formula>
    </cfRule>
  </conditionalFormatting>
  <conditionalFormatting sqref="F34:F39">
    <cfRule type="cellIs" dxfId="11" priority="12" stopIfTrue="1" operator="equal">
      <formula>0</formula>
    </cfRule>
  </conditionalFormatting>
  <conditionalFormatting sqref="F41:F46">
    <cfRule type="cellIs" dxfId="10" priority="11" stopIfTrue="1" operator="equal">
      <formula>0</formula>
    </cfRule>
  </conditionalFormatting>
  <conditionalFormatting sqref="F48:F52">
    <cfRule type="cellIs" dxfId="9" priority="10" stopIfTrue="1" operator="equal">
      <formula>0</formula>
    </cfRule>
  </conditionalFormatting>
  <conditionalFormatting sqref="F54:F58">
    <cfRule type="cellIs" dxfId="8" priority="9" stopIfTrue="1" operator="equal">
      <formula>0</formula>
    </cfRule>
  </conditionalFormatting>
  <conditionalFormatting sqref="F60:F66">
    <cfRule type="cellIs" dxfId="7" priority="8" stopIfTrue="1" operator="equal">
      <formula>0</formula>
    </cfRule>
  </conditionalFormatting>
  <conditionalFormatting sqref="F68:F72">
    <cfRule type="cellIs" dxfId="6" priority="7" stopIfTrue="1" operator="equal">
      <formula>0</formula>
    </cfRule>
  </conditionalFormatting>
  <conditionalFormatting sqref="C17">
    <cfRule type="cellIs" dxfId="5" priority="6" operator="equal">
      <formula>0</formula>
    </cfRule>
  </conditionalFormatting>
  <conditionalFormatting sqref="C18">
    <cfRule type="cellIs" dxfId="4" priority="5" operator="equal">
      <formula>0</formula>
    </cfRule>
  </conditionalFormatting>
  <conditionalFormatting sqref="C107">
    <cfRule type="cellIs" dxfId="3" priority="4" operator="equal">
      <formula>0</formula>
    </cfRule>
  </conditionalFormatting>
  <conditionalFormatting sqref="C108">
    <cfRule type="cellIs" dxfId="2" priority="3" operator="equal">
      <formula>0</formula>
    </cfRule>
  </conditionalFormatting>
  <conditionalFormatting sqref="C114">
    <cfRule type="cellIs" dxfId="1" priority="2" operator="equal">
      <formula>0</formula>
    </cfRule>
  </conditionalFormatting>
  <conditionalFormatting sqref="F113:F117">
    <cfRule type="cellIs" dxfId="0" priority="1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120:F125 F107:F111 C59 C22:C24 C29:C33 C40 C47 C53 F73:F105 F71 F16:F67 H14:K130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70" max="10" man="1"/>
  </rowBreaks>
  <ignoredErrors>
    <ignoredError sqref="K12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 lokasi </vt:lpstr>
      <vt:lpstr>SLD </vt:lpstr>
      <vt:lpstr>PDL</vt:lpstr>
      <vt:lpstr>'HARGA SATUAN'!Print_Area</vt:lpstr>
      <vt:lpstr>KKF!Print_Area</vt:lpstr>
      <vt:lpstr>KKO!Print_Area</vt:lpstr>
      <vt:lpstr>'Peta lokasi 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2023-10-24T03:10:14Z</dcterms:modified>
</cp:coreProperties>
</file>