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06162D20-7398-4C4B-BF73-E6EFCD4953F6}" xr6:coauthVersionLast="47" xr6:coauthVersionMax="47" xr10:uidLastSave="{00000000-0000-0000-0000-000000000000}"/>
  <bookViews>
    <workbookView xWindow="-120" yWindow="-120" windowWidth="20730" windowHeight="11160" tabRatio="859" firstSheet="1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RAB!$A$1:$K$134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8"/>
</workbook>
</file>

<file path=xl/calcChain.xml><?xml version="1.0" encoding="utf-8"?>
<calcChain xmlns="http://schemas.openxmlformats.org/spreadsheetml/2006/main">
  <c r="D16" i="60" l="1"/>
  <c r="F103" i="11"/>
  <c r="F101" i="11"/>
  <c r="F100" i="11"/>
  <c r="G112" i="11"/>
  <c r="D112" i="11"/>
  <c r="H112" i="11" s="1"/>
  <c r="E112" i="11"/>
  <c r="F38" i="11"/>
  <c r="F21" i="11"/>
  <c r="D24" i="11"/>
  <c r="F71" i="11"/>
  <c r="F70" i="11"/>
  <c r="F69" i="11"/>
  <c r="F68" i="11"/>
  <c r="G66" i="11"/>
  <c r="G67" i="11"/>
  <c r="G68" i="11"/>
  <c r="G69" i="11"/>
  <c r="G70" i="11"/>
  <c r="G71" i="11"/>
  <c r="D66" i="11"/>
  <c r="H66" i="11" s="1"/>
  <c r="E66" i="11"/>
  <c r="D67" i="11"/>
  <c r="J67" i="11" s="1"/>
  <c r="E67" i="11"/>
  <c r="D68" i="11"/>
  <c r="E68" i="11"/>
  <c r="D69" i="11"/>
  <c r="H69" i="11" s="1"/>
  <c r="E69" i="11"/>
  <c r="D70" i="11"/>
  <c r="H70" i="11" s="1"/>
  <c r="E70" i="11"/>
  <c r="D71" i="11"/>
  <c r="E71" i="11"/>
  <c r="F65" i="11"/>
  <c r="F64" i="11"/>
  <c r="F63" i="11"/>
  <c r="F62" i="11"/>
  <c r="F59" i="11"/>
  <c r="F58" i="11"/>
  <c r="F57" i="11"/>
  <c r="F56" i="11"/>
  <c r="F55" i="11"/>
  <c r="F54" i="11"/>
  <c r="F51" i="11"/>
  <c r="F50" i="11"/>
  <c r="F49" i="11"/>
  <c r="F48" i="11"/>
  <c r="F45" i="11"/>
  <c r="F44" i="11"/>
  <c r="F43" i="11"/>
  <c r="F42" i="11"/>
  <c r="F41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D39" i="11"/>
  <c r="H39" i="11" s="1"/>
  <c r="E39" i="11"/>
  <c r="D40" i="11"/>
  <c r="J40" i="11" s="1"/>
  <c r="E40" i="11"/>
  <c r="D41" i="11"/>
  <c r="E41" i="11"/>
  <c r="D42" i="11"/>
  <c r="H42" i="11" s="1"/>
  <c r="E42" i="11"/>
  <c r="D43" i="11"/>
  <c r="H43" i="11" s="1"/>
  <c r="E43" i="11"/>
  <c r="D44" i="11"/>
  <c r="J44" i="11" s="1"/>
  <c r="E44" i="11"/>
  <c r="D45" i="11"/>
  <c r="I45" i="11" s="1"/>
  <c r="E45" i="11"/>
  <c r="D46" i="11"/>
  <c r="H46" i="11" s="1"/>
  <c r="E46" i="11"/>
  <c r="D47" i="11"/>
  <c r="H47" i="11" s="1"/>
  <c r="E47" i="11"/>
  <c r="D48" i="11"/>
  <c r="J48" i="11" s="1"/>
  <c r="E48" i="11"/>
  <c r="D49" i="11"/>
  <c r="E49" i="11"/>
  <c r="D50" i="11"/>
  <c r="H50" i="11" s="1"/>
  <c r="E50" i="11"/>
  <c r="D51" i="11"/>
  <c r="H51" i="11" s="1"/>
  <c r="E51" i="11"/>
  <c r="D52" i="11"/>
  <c r="J52" i="11" s="1"/>
  <c r="E52" i="11"/>
  <c r="D53" i="11"/>
  <c r="I53" i="11" s="1"/>
  <c r="E53" i="11"/>
  <c r="D54" i="11"/>
  <c r="H54" i="11" s="1"/>
  <c r="E54" i="11"/>
  <c r="D55" i="11"/>
  <c r="H55" i="11" s="1"/>
  <c r="E55" i="11"/>
  <c r="D56" i="11"/>
  <c r="J56" i="11" s="1"/>
  <c r="E56" i="11"/>
  <c r="D57" i="11"/>
  <c r="E57" i="11"/>
  <c r="D58" i="11"/>
  <c r="H58" i="11" s="1"/>
  <c r="E58" i="11"/>
  <c r="D59" i="11"/>
  <c r="H59" i="11" s="1"/>
  <c r="E59" i="11"/>
  <c r="D60" i="11"/>
  <c r="J60" i="11" s="1"/>
  <c r="E60" i="11"/>
  <c r="D61" i="11"/>
  <c r="I61" i="11" s="1"/>
  <c r="E61" i="11"/>
  <c r="D62" i="11"/>
  <c r="H62" i="11" s="1"/>
  <c r="E62" i="11"/>
  <c r="D63" i="11"/>
  <c r="H63" i="11" s="1"/>
  <c r="E63" i="11"/>
  <c r="D64" i="11"/>
  <c r="J64" i="11" s="1"/>
  <c r="E64" i="11"/>
  <c r="D65" i="11"/>
  <c r="I65" i="11" s="1"/>
  <c r="E65" i="11"/>
  <c r="J112" i="11" l="1"/>
  <c r="I112" i="11"/>
  <c r="I67" i="11"/>
  <c r="I68" i="11"/>
  <c r="J71" i="11"/>
  <c r="I71" i="11"/>
  <c r="J69" i="11"/>
  <c r="H67" i="11"/>
  <c r="H71" i="11"/>
  <c r="J70" i="11"/>
  <c r="H68" i="11"/>
  <c r="J66" i="11"/>
  <c r="I70" i="11"/>
  <c r="I66" i="11"/>
  <c r="I69" i="11"/>
  <c r="K69" i="11" s="1"/>
  <c r="J68" i="11"/>
  <c r="I57" i="11"/>
  <c r="I49" i="11"/>
  <c r="I41" i="11"/>
  <c r="I44" i="11"/>
  <c r="I40" i="11"/>
  <c r="I52" i="11"/>
  <c r="I48" i="11"/>
  <c r="H65" i="11"/>
  <c r="I64" i="11"/>
  <c r="J63" i="11"/>
  <c r="H61" i="11"/>
  <c r="I60" i="11"/>
  <c r="J59" i="11"/>
  <c r="H57" i="11"/>
  <c r="I56" i="11"/>
  <c r="J55" i="11"/>
  <c r="H53" i="11"/>
  <c r="J51" i="11"/>
  <c r="H49" i="11"/>
  <c r="J47" i="11"/>
  <c r="H45" i="11"/>
  <c r="J43" i="11"/>
  <c r="H41" i="11"/>
  <c r="J39" i="11"/>
  <c r="H64" i="11"/>
  <c r="I63" i="11"/>
  <c r="J62" i="11"/>
  <c r="H60" i="11"/>
  <c r="I59" i="11"/>
  <c r="J58" i="11"/>
  <c r="H56" i="11"/>
  <c r="I55" i="11"/>
  <c r="J54" i="11"/>
  <c r="H52" i="11"/>
  <c r="I51" i="11"/>
  <c r="J50" i="11"/>
  <c r="H48" i="11"/>
  <c r="I47" i="11"/>
  <c r="J46" i="11"/>
  <c r="H44" i="11"/>
  <c r="I43" i="11"/>
  <c r="J42" i="11"/>
  <c r="H40" i="11"/>
  <c r="I39" i="11"/>
  <c r="J65" i="11"/>
  <c r="I62" i="11"/>
  <c r="J61" i="11"/>
  <c r="I58" i="11"/>
  <c r="J57" i="11"/>
  <c r="I54" i="11"/>
  <c r="J53" i="11"/>
  <c r="I50" i="11"/>
  <c r="J49" i="11"/>
  <c r="I46" i="11"/>
  <c r="J45" i="11"/>
  <c r="I42" i="11"/>
  <c r="J41" i="11"/>
  <c r="K112" i="11" l="1"/>
  <c r="K67" i="11"/>
  <c r="K70" i="11"/>
  <c r="K40" i="11"/>
  <c r="K71" i="11"/>
  <c r="K42" i="11"/>
  <c r="K58" i="11"/>
  <c r="K43" i="11"/>
  <c r="K48" i="11"/>
  <c r="K68" i="11"/>
  <c r="K66" i="11"/>
  <c r="K51" i="11"/>
  <c r="K46" i="11"/>
  <c r="K62" i="11"/>
  <c r="K59" i="11"/>
  <c r="K64" i="11"/>
  <c r="K44" i="11"/>
  <c r="K56" i="11"/>
  <c r="K50" i="11"/>
  <c r="K52" i="11"/>
  <c r="K63" i="11"/>
  <c r="K54" i="11"/>
  <c r="K39" i="11"/>
  <c r="K55" i="11"/>
  <c r="K60" i="11"/>
  <c r="K47" i="11"/>
  <c r="K45" i="11"/>
  <c r="K53" i="11"/>
  <c r="K65" i="11"/>
  <c r="K41" i="11"/>
  <c r="K49" i="11"/>
  <c r="K61" i="11"/>
  <c r="K57" i="11"/>
  <c r="G100" i="11" l="1"/>
  <c r="G101" i="11"/>
  <c r="G102" i="11"/>
  <c r="G103" i="11"/>
  <c r="G104" i="11"/>
  <c r="D16" i="11"/>
  <c r="D17" i="11"/>
  <c r="F111" i="11" l="1"/>
  <c r="F110" i="11"/>
  <c r="F109" i="11"/>
  <c r="F108" i="11"/>
  <c r="F107" i="11"/>
  <c r="D104" i="11"/>
  <c r="H104" i="11" s="1"/>
  <c r="E104" i="11"/>
  <c r="G98" i="11"/>
  <c r="G99" i="11"/>
  <c r="G105" i="11"/>
  <c r="G106" i="11"/>
  <c r="G107" i="11"/>
  <c r="G108" i="11"/>
  <c r="G109" i="11"/>
  <c r="G110" i="11"/>
  <c r="G111" i="11"/>
  <c r="G113" i="11"/>
  <c r="D98" i="11"/>
  <c r="H98" i="11" s="1"/>
  <c r="E98" i="11"/>
  <c r="D99" i="11"/>
  <c r="J99" i="11" s="1"/>
  <c r="E99" i="11"/>
  <c r="D100" i="11"/>
  <c r="I100" i="11" s="1"/>
  <c r="E100" i="11"/>
  <c r="D101" i="11"/>
  <c r="E101" i="11"/>
  <c r="D102" i="11"/>
  <c r="E102" i="11"/>
  <c r="D103" i="11"/>
  <c r="E103" i="11"/>
  <c r="D105" i="11"/>
  <c r="I105" i="11" s="1"/>
  <c r="E105" i="11"/>
  <c r="D106" i="11"/>
  <c r="H106" i="11" s="1"/>
  <c r="E106" i="11"/>
  <c r="D107" i="11"/>
  <c r="H107" i="11" s="1"/>
  <c r="E107" i="11"/>
  <c r="D108" i="11"/>
  <c r="J108" i="11" s="1"/>
  <c r="E108" i="11"/>
  <c r="D109" i="11"/>
  <c r="E109" i="11"/>
  <c r="D110" i="11"/>
  <c r="H110" i="11" s="1"/>
  <c r="E110" i="11"/>
  <c r="D111" i="11"/>
  <c r="H111" i="11" s="1"/>
  <c r="E111" i="11"/>
  <c r="D113" i="11"/>
  <c r="J113" i="11" s="1"/>
  <c r="E113" i="11"/>
  <c r="G15" i="11"/>
  <c r="G16" i="11"/>
  <c r="G17" i="11"/>
  <c r="G18" i="11"/>
  <c r="I109" i="11" l="1"/>
  <c r="J104" i="11"/>
  <c r="I104" i="11"/>
  <c r="H102" i="11"/>
  <c r="J103" i="11"/>
  <c r="H101" i="11"/>
  <c r="J107" i="11"/>
  <c r="H105" i="11"/>
  <c r="H99" i="11"/>
  <c r="I108" i="11"/>
  <c r="J102" i="11"/>
  <c r="H100" i="11"/>
  <c r="H108" i="11"/>
  <c r="J106" i="11"/>
  <c r="I103" i="11"/>
  <c r="J98" i="11"/>
  <c r="H109" i="11"/>
  <c r="H103" i="11"/>
  <c r="J101" i="11"/>
  <c r="I99" i="11"/>
  <c r="I113" i="11"/>
  <c r="J111" i="11"/>
  <c r="H113" i="11"/>
  <c r="I111" i="11"/>
  <c r="J110" i="11"/>
  <c r="I107" i="11"/>
  <c r="I102" i="11"/>
  <c r="I98" i="11"/>
  <c r="I110" i="11"/>
  <c r="K110" i="11" s="1"/>
  <c r="J109" i="11"/>
  <c r="I106" i="11"/>
  <c r="J105" i="11"/>
  <c r="I101" i="11"/>
  <c r="J100" i="11"/>
  <c r="K107" i="11" l="1"/>
  <c r="K104" i="11"/>
  <c r="K103" i="11"/>
  <c r="K101" i="11"/>
  <c r="K111" i="11"/>
  <c r="K109" i="11"/>
  <c r="K108" i="11"/>
  <c r="K106" i="11"/>
  <c r="K102" i="11"/>
  <c r="K100" i="11"/>
  <c r="K105" i="11"/>
  <c r="K98" i="11"/>
  <c r="K113" i="11"/>
  <c r="K99" i="11"/>
  <c r="D8" i="59" l="1"/>
  <c r="E16" i="11"/>
  <c r="E17" i="11"/>
  <c r="E18" i="11"/>
  <c r="H17" i="11" l="1"/>
  <c r="I17" i="11"/>
  <c r="J17" i="11"/>
  <c r="K17" i="11" l="1"/>
  <c r="D97" i="11" l="1"/>
  <c r="H97" i="11" s="1"/>
  <c r="D114" i="11"/>
  <c r="J114" i="11" s="1"/>
  <c r="G97" i="11"/>
  <c r="D15" i="11"/>
  <c r="D18" i="11"/>
  <c r="D19" i="11"/>
  <c r="H19" i="11" s="1"/>
  <c r="D20" i="11"/>
  <c r="H20" i="11" s="1"/>
  <c r="G19" i="11"/>
  <c r="G20" i="11"/>
  <c r="G21" i="11"/>
  <c r="K6" i="60"/>
  <c r="M115" i="11"/>
  <c r="M20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D29" i="11"/>
  <c r="H29" i="11" s="1"/>
  <c r="E29" i="11"/>
  <c r="D30" i="11"/>
  <c r="H30" i="11" s="1"/>
  <c r="E30" i="11"/>
  <c r="O217" i="10"/>
  <c r="P217" i="10"/>
  <c r="K217" i="10"/>
  <c r="M217" i="10"/>
  <c r="J217" i="10"/>
  <c r="I217" i="10"/>
  <c r="G93" i="11"/>
  <c r="E93" i="11"/>
  <c r="D93" i="11"/>
  <c r="G92" i="11"/>
  <c r="E92" i="11"/>
  <c r="D92" i="11"/>
  <c r="H92" i="11" s="1"/>
  <c r="G91" i="11"/>
  <c r="E91" i="11"/>
  <c r="D91" i="11"/>
  <c r="G90" i="11"/>
  <c r="E90" i="11"/>
  <c r="D90" i="11"/>
  <c r="J90" i="11" s="1"/>
  <c r="G89" i="11"/>
  <c r="E89" i="11"/>
  <c r="D89" i="11"/>
  <c r="I89" i="11" s="1"/>
  <c r="G88" i="11"/>
  <c r="E88" i="11"/>
  <c r="D88" i="11"/>
  <c r="G87" i="11"/>
  <c r="E87" i="11"/>
  <c r="D87" i="11"/>
  <c r="H87" i="11" s="1"/>
  <c r="G86" i="11"/>
  <c r="E86" i="11"/>
  <c r="D86" i="11"/>
  <c r="G85" i="11"/>
  <c r="E85" i="11"/>
  <c r="D85" i="11"/>
  <c r="G84" i="11"/>
  <c r="E84" i="11"/>
  <c r="D84" i="11"/>
  <c r="G83" i="11"/>
  <c r="E83" i="11"/>
  <c r="D83" i="11"/>
  <c r="J83" i="11" s="1"/>
  <c r="G82" i="11"/>
  <c r="E82" i="11"/>
  <c r="D82" i="11"/>
  <c r="J82" i="11" s="1"/>
  <c r="G81" i="11"/>
  <c r="E81" i="11"/>
  <c r="D81" i="11"/>
  <c r="G80" i="11"/>
  <c r="E80" i="11"/>
  <c r="D80" i="11"/>
  <c r="G79" i="11"/>
  <c r="E79" i="11"/>
  <c r="D79" i="11"/>
  <c r="G78" i="11"/>
  <c r="E78" i="11"/>
  <c r="D78" i="11"/>
  <c r="G77" i="11"/>
  <c r="E77" i="11"/>
  <c r="D77" i="11"/>
  <c r="J77" i="11" s="1"/>
  <c r="G76" i="11"/>
  <c r="E76" i="11"/>
  <c r="D76" i="11"/>
  <c r="G75" i="11"/>
  <c r="E75" i="11"/>
  <c r="D75" i="11"/>
  <c r="G74" i="11"/>
  <c r="E74" i="11"/>
  <c r="D74" i="11"/>
  <c r="G73" i="11"/>
  <c r="E73" i="11"/>
  <c r="D73" i="11"/>
  <c r="G72" i="11"/>
  <c r="E72" i="11"/>
  <c r="D72" i="11"/>
  <c r="M72" i="11"/>
  <c r="D14" i="59"/>
  <c r="D5" i="60" s="1"/>
  <c r="K5" i="60" s="1"/>
  <c r="E38" i="11"/>
  <c r="D38" i="11"/>
  <c r="E37" i="11"/>
  <c r="D37" i="11"/>
  <c r="H37" i="11" s="1"/>
  <c r="E36" i="11"/>
  <c r="D36" i="11"/>
  <c r="J36" i="11" s="1"/>
  <c r="E35" i="11"/>
  <c r="D35" i="11"/>
  <c r="H35" i="11" s="1"/>
  <c r="G34" i="11"/>
  <c r="E34" i="11"/>
  <c r="D34" i="11"/>
  <c r="H34" i="11" s="1"/>
  <c r="G33" i="11"/>
  <c r="E33" i="11"/>
  <c r="D33" i="11"/>
  <c r="J33" i="11" s="1"/>
  <c r="E32" i="11"/>
  <c r="D32" i="11"/>
  <c r="E31" i="11"/>
  <c r="D31" i="11"/>
  <c r="J31" i="11" s="1"/>
  <c r="G29" i="11"/>
  <c r="E28" i="11"/>
  <c r="D28" i="11"/>
  <c r="J28" i="11" s="1"/>
  <c r="E27" i="11"/>
  <c r="D27" i="11"/>
  <c r="J27" i="11" s="1"/>
  <c r="E26" i="11"/>
  <c r="D26" i="11"/>
  <c r="E25" i="11"/>
  <c r="D25" i="11"/>
  <c r="G24" i="11"/>
  <c r="E24" i="11"/>
  <c r="E23" i="11"/>
  <c r="D23" i="11"/>
  <c r="J23" i="11" s="1"/>
  <c r="G22" i="11"/>
  <c r="E22" i="11"/>
  <c r="D22" i="11"/>
  <c r="I22" i="11" s="1"/>
  <c r="E21" i="11"/>
  <c r="D21" i="11"/>
  <c r="E20" i="11"/>
  <c r="E19" i="11"/>
  <c r="E15" i="11"/>
  <c r="A15" i="11"/>
  <c r="D19" i="59"/>
  <c r="D18" i="59"/>
  <c r="M16" i="11"/>
  <c r="E97" i="11"/>
  <c r="D94" i="11"/>
  <c r="E94" i="11"/>
  <c r="D95" i="11"/>
  <c r="E95" i="11"/>
  <c r="M97" i="11"/>
  <c r="D96" i="11"/>
  <c r="E96" i="11"/>
  <c r="E114" i="11"/>
  <c r="G114" i="11"/>
  <c r="D14" i="11"/>
  <c r="H14" i="11" s="1"/>
  <c r="E14" i="11"/>
  <c r="G14" i="11"/>
  <c r="K19" i="60"/>
  <c r="D19" i="60"/>
  <c r="M114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K18" i="60"/>
  <c r="K17" i="60"/>
  <c r="D17" i="60"/>
  <c r="D18" i="60"/>
  <c r="D20" i="60"/>
  <c r="D6" i="60"/>
  <c r="D9" i="60"/>
  <c r="D115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115" i="11"/>
  <c r="D116" i="11"/>
  <c r="E116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116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35" i="1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G32" i="1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37" i="11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G26" i="11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96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5" i="1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30" i="11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28" i="1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G95" i="11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115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23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G38" i="11"/>
  <c r="G31" i="11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G36" i="11"/>
  <c r="G23" i="11"/>
  <c r="G27" i="11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94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M106" i="1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D346" i="29" s="1"/>
  <c r="C358" i="29"/>
  <c r="D358" i="29" s="1"/>
  <c r="E358" i="29" s="1"/>
  <c r="C371" i="29"/>
  <c r="D371" i="29" s="1"/>
  <c r="C351" i="29"/>
  <c r="D351" i="29" s="1"/>
  <c r="C340" i="29"/>
  <c r="D340" i="29" s="1"/>
  <c r="F340" i="29" s="1"/>
  <c r="C359" i="29"/>
  <c r="D359" i="29" s="1"/>
  <c r="F359" i="29" s="1"/>
  <c r="C330" i="29"/>
  <c r="D330" i="29" s="1"/>
  <c r="C356" i="29"/>
  <c r="D356" i="29" s="1"/>
  <c r="C355" i="29"/>
  <c r="D355" i="29" s="1"/>
  <c r="F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D836" i="41" s="1"/>
  <c r="E836" i="41" s="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F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I73" i="11" l="1"/>
  <c r="H26" i="11"/>
  <c r="J38" i="11"/>
  <c r="H15" i="11"/>
  <c r="I15" i="11"/>
  <c r="J15" i="11"/>
  <c r="H18" i="11"/>
  <c r="I18" i="11"/>
  <c r="J18" i="11"/>
  <c r="J16" i="11"/>
  <c r="H16" i="11"/>
  <c r="I16" i="11"/>
  <c r="H96" i="11"/>
  <c r="D312" i="29"/>
  <c r="E312" i="29" s="1"/>
  <c r="D802" i="41"/>
  <c r="E802" i="41" s="1"/>
  <c r="D22" i="59"/>
  <c r="K8" i="60" s="1"/>
  <c r="D21" i="59"/>
  <c r="M107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M108" i="11"/>
  <c r="M109" i="11"/>
  <c r="M111" i="11"/>
  <c r="M110" i="11"/>
  <c r="E776" i="41"/>
  <c r="E272" i="29"/>
  <c r="F717" i="41"/>
  <c r="F291" i="29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F324" i="29"/>
  <c r="E62" i="39"/>
  <c r="E1255" i="41"/>
  <c r="F792" i="41"/>
  <c r="E761" i="41"/>
  <c r="E1188" i="41"/>
  <c r="E945" i="41"/>
  <c r="E877" i="41"/>
  <c r="E733" i="41"/>
  <c r="E1155" i="41"/>
  <c r="E1254" i="41"/>
  <c r="E842" i="41"/>
  <c r="E834" i="41"/>
  <c r="F857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J29" i="11"/>
  <c r="E1048" i="41"/>
  <c r="E1170" i="41"/>
  <c r="E1130" i="41"/>
  <c r="E1136" i="41"/>
  <c r="E813" i="41"/>
  <c r="E1106" i="41"/>
  <c r="E895" i="41"/>
  <c r="F810" i="41"/>
  <c r="E1053" i="41"/>
  <c r="F769" i="41"/>
  <c r="E1080" i="41"/>
  <c r="E1303" i="41"/>
  <c r="E891" i="41"/>
  <c r="E955" i="41"/>
  <c r="E1306" i="41"/>
  <c r="E918" i="41"/>
  <c r="E1103" i="41"/>
  <c r="E986" i="41"/>
  <c r="F797" i="41"/>
  <c r="J30" i="1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I27" i="11"/>
  <c r="I25" i="11"/>
  <c r="H27" i="11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H36" i="39"/>
  <c r="J37" i="11"/>
  <c r="F866" i="41"/>
  <c r="E1029" i="41"/>
  <c r="E784" i="41"/>
  <c r="E973" i="41"/>
  <c r="F322" i="29"/>
  <c r="F250" i="29"/>
  <c r="E273" i="29"/>
  <c r="I30" i="11"/>
  <c r="E1292" i="41"/>
  <c r="E1132" i="41"/>
  <c r="E939" i="41"/>
  <c r="E781" i="41"/>
  <c r="E818" i="41"/>
  <c r="E1203" i="41"/>
  <c r="E952" i="41"/>
  <c r="E1090" i="41"/>
  <c r="F320" i="29"/>
  <c r="F229" i="29"/>
  <c r="F868" i="41"/>
  <c r="F790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727" i="41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I38" i="11"/>
  <c r="H22" i="11"/>
  <c r="F864" i="41"/>
  <c r="F845" i="41"/>
  <c r="E1199" i="41"/>
  <c r="E1035" i="41"/>
  <c r="E1182" i="41"/>
  <c r="E1016" i="41"/>
  <c r="E791" i="41"/>
  <c r="F849" i="41"/>
  <c r="F858" i="41"/>
  <c r="F774" i="41"/>
  <c r="E798" i="41"/>
  <c r="E735" i="41"/>
  <c r="E1114" i="41"/>
  <c r="I96" i="11"/>
  <c r="F860" i="41"/>
  <c r="F863" i="41"/>
  <c r="F862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38" i="29"/>
  <c r="F269" i="29"/>
  <c r="E269" i="29"/>
  <c r="F307" i="29"/>
  <c r="E307" i="29"/>
  <c r="E294" i="29"/>
  <c r="F294" i="29"/>
  <c r="E302" i="29"/>
  <c r="F302" i="29"/>
  <c r="E305" i="29"/>
  <c r="F305" i="29"/>
  <c r="E275" i="29"/>
  <c r="F275" i="29"/>
  <c r="E947" i="41"/>
  <c r="E787" i="41"/>
  <c r="E930" i="41"/>
  <c r="E1028" i="41"/>
  <c r="E1289" i="41"/>
  <c r="F728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E1200" i="41"/>
  <c r="F715" i="41"/>
  <c r="E715" i="41"/>
  <c r="E720" i="41"/>
  <c r="F231" i="29"/>
  <c r="E282" i="29"/>
  <c r="J94" i="11"/>
  <c r="I94" i="11"/>
  <c r="F806" i="41"/>
  <c r="E1081" i="41"/>
  <c r="E1027" i="41"/>
  <c r="F861" i="41"/>
  <c r="E861" i="41"/>
  <c r="E230" i="29"/>
  <c r="E346" i="29"/>
  <c r="E274" i="29"/>
  <c r="F274" i="29"/>
  <c r="H116" i="11"/>
  <c r="J116" i="11"/>
  <c r="I37" i="11"/>
  <c r="J35" i="11"/>
  <c r="J96" i="11"/>
  <c r="H33" i="11"/>
  <c r="I34" i="11"/>
  <c r="E340" i="29"/>
  <c r="H28" i="11"/>
  <c r="I33" i="11"/>
  <c r="I77" i="11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E266" i="29"/>
  <c r="F266" i="29"/>
  <c r="F306" i="29"/>
  <c r="E306" i="29"/>
  <c r="E246" i="29"/>
  <c r="F246" i="29"/>
  <c r="E293" i="29"/>
  <c r="F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I26" i="11"/>
  <c r="J14" i="11"/>
  <c r="J26" i="11"/>
  <c r="H36" i="11"/>
  <c r="E1149" i="41"/>
  <c r="F833" i="41"/>
  <c r="H77" i="11"/>
  <c r="F816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331" i="29"/>
  <c r="E267" i="29"/>
  <c r="H23" i="11"/>
  <c r="J34" i="11"/>
  <c r="I20" i="11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E1041" i="41"/>
  <c r="E1013" i="41"/>
  <c r="E742" i="41"/>
  <c r="F789" i="41"/>
  <c r="E749" i="41"/>
  <c r="F783" i="41"/>
  <c r="E1003" i="41"/>
  <c r="E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E327" i="29"/>
  <c r="E336" i="29"/>
  <c r="F336" i="29"/>
  <c r="E357" i="29"/>
  <c r="F329" i="29"/>
  <c r="E359" i="29"/>
  <c r="F342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I21" i="11"/>
  <c r="J21" i="11"/>
  <c r="H21" i="11"/>
  <c r="H32" i="11"/>
  <c r="J32" i="11"/>
  <c r="I29" i="11"/>
  <c r="E287" i="29"/>
  <c r="F287" i="29"/>
  <c r="J95" i="11"/>
  <c r="I95" i="11"/>
  <c r="E348" i="29"/>
  <c r="E59" i="39"/>
  <c r="E290" i="29"/>
  <c r="I28" i="11"/>
  <c r="F323" i="29"/>
  <c r="E260" i="29"/>
  <c r="E236" i="29"/>
  <c r="E73" i="39"/>
  <c r="E341" i="29"/>
  <c r="F341" i="29"/>
  <c r="F299" i="29"/>
  <c r="J93" i="11"/>
  <c r="H93" i="11"/>
  <c r="I93" i="11"/>
  <c r="F300" i="29"/>
  <c r="E284" i="29"/>
  <c r="J19" i="11"/>
  <c r="F233" i="29"/>
  <c r="E58" i="39"/>
  <c r="F319" i="29"/>
  <c r="F310" i="29"/>
  <c r="I36" i="11"/>
  <c r="I31" i="11"/>
  <c r="H95" i="11"/>
  <c r="I35" i="11"/>
  <c r="H94" i="11"/>
  <c r="J22" i="11"/>
  <c r="J20" i="11"/>
  <c r="M105" i="11"/>
  <c r="E725" i="41"/>
  <c r="F725" i="41"/>
  <c r="E777" i="41"/>
  <c r="F777" i="41"/>
  <c r="E1291" i="41"/>
  <c r="E1143" i="41"/>
  <c r="F814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E347" i="29"/>
  <c r="E371" i="29"/>
  <c r="E67" i="39"/>
  <c r="E714" i="4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88" i="29"/>
  <c r="E288" i="29"/>
  <c r="E256" i="29"/>
  <c r="F256" i="29"/>
  <c r="F247" i="29"/>
  <c r="E247" i="29"/>
  <c r="E75" i="39"/>
  <c r="E283" i="29"/>
  <c r="F283" i="29"/>
  <c r="E368" i="29"/>
  <c r="E72" i="39"/>
  <c r="F262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J72" i="11"/>
  <c r="H72" i="11"/>
  <c r="H76" i="11"/>
  <c r="J76" i="11"/>
  <c r="I76" i="11"/>
  <c r="J80" i="11"/>
  <c r="I80" i="11"/>
  <c r="H80" i="11"/>
  <c r="J84" i="11"/>
  <c r="H84" i="11"/>
  <c r="I88" i="11"/>
  <c r="J88" i="11"/>
  <c r="H88" i="11"/>
  <c r="J25" i="11"/>
  <c r="H25" i="11"/>
  <c r="I72" i="11"/>
  <c r="I75" i="11"/>
  <c r="H75" i="11"/>
  <c r="J75" i="11"/>
  <c r="I79" i="11"/>
  <c r="J79" i="11"/>
  <c r="H79" i="11"/>
  <c r="H83" i="11"/>
  <c r="I83" i="11"/>
  <c r="I87" i="11"/>
  <c r="J87" i="11"/>
  <c r="I91" i="11"/>
  <c r="H91" i="11"/>
  <c r="J91" i="11"/>
  <c r="I116" i="11"/>
  <c r="I32" i="11"/>
  <c r="J24" i="11"/>
  <c r="H24" i="11"/>
  <c r="I24" i="11"/>
  <c r="J74" i="11"/>
  <c r="H74" i="11"/>
  <c r="I74" i="11"/>
  <c r="J78" i="11"/>
  <c r="H78" i="11"/>
  <c r="I78" i="11"/>
  <c r="I82" i="11"/>
  <c r="H82" i="11"/>
  <c r="J86" i="11"/>
  <c r="H86" i="11"/>
  <c r="I86" i="11"/>
  <c r="H90" i="11"/>
  <c r="I90" i="11"/>
  <c r="I84" i="11"/>
  <c r="H73" i="11"/>
  <c r="J73" i="11"/>
  <c r="I81" i="11"/>
  <c r="H81" i="11"/>
  <c r="J81" i="11"/>
  <c r="J85" i="11"/>
  <c r="H85" i="11"/>
  <c r="I85" i="11"/>
  <c r="J89" i="11"/>
  <c r="H89" i="11"/>
  <c r="I92" i="11"/>
  <c r="I114" i="11"/>
  <c r="J97" i="11"/>
  <c r="H31" i="11"/>
  <c r="J92" i="11"/>
  <c r="I19" i="11"/>
  <c r="H114" i="11"/>
  <c r="I97" i="11"/>
  <c r="H38" i="11"/>
  <c r="I23" i="11"/>
  <c r="F779" i="41" l="1"/>
  <c r="F289" i="29"/>
  <c r="F805" i="41"/>
  <c r="F315" i="29"/>
  <c r="F838" i="41"/>
  <c r="F348" i="29"/>
  <c r="F718" i="41"/>
  <c r="F351" i="29"/>
  <c r="F841" i="41"/>
  <c r="F290" i="29"/>
  <c r="F780" i="41"/>
  <c r="F347" i="29"/>
  <c r="F782" i="41"/>
  <c r="F837" i="41"/>
  <c r="F292" i="29"/>
  <c r="F228" i="29"/>
  <c r="F803" i="41"/>
  <c r="F313" i="29"/>
  <c r="F847" i="41"/>
  <c r="F785" i="41"/>
  <c r="F854" i="41"/>
  <c r="F295" i="29"/>
  <c r="F357" i="29"/>
  <c r="F720" i="41"/>
  <c r="F230" i="29"/>
  <c r="F75" i="39"/>
  <c r="F71" i="39"/>
  <c r="F64" i="39"/>
  <c r="F824" i="41"/>
  <c r="F334" i="29"/>
  <c r="M98" i="11"/>
  <c r="F74" i="39"/>
  <c r="F961" i="41"/>
  <c r="F368" i="29"/>
  <c r="F76" i="39"/>
  <c r="F1279" i="41"/>
  <c r="F68" i="39"/>
  <c r="F69" i="39"/>
  <c r="F1063" i="41"/>
  <c r="F1311" i="41"/>
  <c r="F1138" i="41"/>
  <c r="F1133" i="41"/>
  <c r="F958" i="41"/>
  <c r="F1297" i="41"/>
  <c r="F1047" i="41"/>
  <c r="K15" i="11"/>
  <c r="K16" i="11"/>
  <c r="F817" i="41"/>
  <c r="F822" i="41"/>
  <c r="F332" i="29"/>
  <c r="F804" i="41"/>
  <c r="F314" i="29"/>
  <c r="K18" i="11"/>
  <c r="M18" i="11" s="1"/>
  <c r="F327" i="29"/>
  <c r="F59" i="39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K27" i="11"/>
  <c r="M27" i="11" s="1"/>
  <c r="F60" i="39"/>
  <c r="D9" i="59"/>
  <c r="K7" i="54" s="1"/>
  <c r="C7" i="54"/>
  <c r="C8" i="54"/>
  <c r="K14" i="11"/>
  <c r="M14" i="11" s="1"/>
  <c r="K97" i="11"/>
  <c r="K33" i="11"/>
  <c r="M33" i="11" s="1"/>
  <c r="K35" i="11"/>
  <c r="M35" i="11" s="1"/>
  <c r="K37" i="11"/>
  <c r="M37" i="11" s="1"/>
  <c r="K29" i="11"/>
  <c r="M29" i="11" s="1"/>
  <c r="K30" i="11"/>
  <c r="M30" i="11" s="1"/>
  <c r="K38" i="11"/>
  <c r="M38" i="11" s="1"/>
  <c r="K87" i="11"/>
  <c r="M87" i="11" s="1"/>
  <c r="K77" i="11"/>
  <c r="M77" i="11" s="1"/>
  <c r="K96" i="11"/>
  <c r="M96" i="11" s="1"/>
  <c r="K22" i="11"/>
  <c r="M22" i="11" s="1"/>
  <c r="K36" i="11"/>
  <c r="M36" i="11" s="1"/>
  <c r="K34" i="11"/>
  <c r="M34" i="11" s="1"/>
  <c r="K20" i="11"/>
  <c r="K26" i="11"/>
  <c r="M26" i="11" s="1"/>
  <c r="K19" i="11"/>
  <c r="M19" i="11" s="1"/>
  <c r="K25" i="11"/>
  <c r="M25" i="11" s="1"/>
  <c r="K28" i="11"/>
  <c r="M28" i="11" s="1"/>
  <c r="M113" i="11"/>
  <c r="K116" i="11"/>
  <c r="K93" i="11"/>
  <c r="M93" i="11" s="1"/>
  <c r="K94" i="11"/>
  <c r="M94" i="11" s="1"/>
  <c r="K23" i="11"/>
  <c r="M23" i="11" s="1"/>
  <c r="F350" i="29"/>
  <c r="K90" i="11"/>
  <c r="M90" i="11" s="1"/>
  <c r="K92" i="11"/>
  <c r="M92" i="11" s="1"/>
  <c r="K73" i="11"/>
  <c r="M73" i="11" s="1"/>
  <c r="K32" i="11"/>
  <c r="M32" i="11" s="1"/>
  <c r="K83" i="11"/>
  <c r="M83" i="11" s="1"/>
  <c r="K76" i="11"/>
  <c r="M76" i="11" s="1"/>
  <c r="K21" i="11"/>
  <c r="M21" i="11" s="1"/>
  <c r="K31" i="11"/>
  <c r="M31" i="11" s="1"/>
  <c r="K81" i="11"/>
  <c r="M81" i="11" s="1"/>
  <c r="K95" i="11"/>
  <c r="M95" i="11" s="1"/>
  <c r="K114" i="11"/>
  <c r="K78" i="11"/>
  <c r="M78" i="11" s="1"/>
  <c r="K24" i="11"/>
  <c r="M24" i="11" s="1"/>
  <c r="H115" i="11"/>
  <c r="H118" i="11" s="1"/>
  <c r="F312" i="29"/>
  <c r="F339" i="29"/>
  <c r="F226" i="29"/>
  <c r="F345" i="29"/>
  <c r="F239" i="29"/>
  <c r="I115" i="11"/>
  <c r="I118" i="11" s="1"/>
  <c r="J115" i="11"/>
  <c r="J118" i="11" s="1"/>
  <c r="K82" i="11"/>
  <c r="M82" i="11" s="1"/>
  <c r="K91" i="11"/>
  <c r="M91" i="11" s="1"/>
  <c r="K84" i="11"/>
  <c r="M84" i="11" s="1"/>
  <c r="K72" i="11"/>
  <c r="K85" i="11"/>
  <c r="M85" i="11" s="1"/>
  <c r="K88" i="11"/>
  <c r="M88" i="11" s="1"/>
  <c r="K89" i="11"/>
  <c r="M89" i="11" s="1"/>
  <c r="K86" i="11"/>
  <c r="M86" i="11" s="1"/>
  <c r="K74" i="11"/>
  <c r="M74" i="11" s="1"/>
  <c r="K79" i="11"/>
  <c r="M79" i="11" s="1"/>
  <c r="K75" i="11"/>
  <c r="M75" i="11" s="1"/>
  <c r="K80" i="11"/>
  <c r="M80" i="11" s="1"/>
  <c r="F716" i="41"/>
  <c r="F840" i="41"/>
  <c r="F835" i="41"/>
  <c r="F729" i="41"/>
  <c r="F802" i="41"/>
  <c r="F829" i="41"/>
  <c r="F17" i="39" l="1"/>
  <c r="C16" i="39"/>
  <c r="F16" i="39"/>
  <c r="C30" i="39"/>
  <c r="G30" i="39" s="1"/>
  <c r="C17" i="39"/>
  <c r="B17" i="39" s="1"/>
  <c r="E17" i="39" s="1"/>
  <c r="C21" i="39"/>
  <c r="B21" i="39" s="1"/>
  <c r="E21" i="39" s="1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B26" i="39" s="1"/>
  <c r="E26" i="39" s="1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D23" i="39" s="1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8" i="29"/>
  <c r="B18" i="29" s="1"/>
  <c r="E18" i="29" s="1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D133" i="29" s="1"/>
  <c r="F126" i="29"/>
  <c r="C87" i="29"/>
  <c r="B87" i="29" s="1"/>
  <c r="E87" i="29" s="1"/>
  <c r="F137" i="29"/>
  <c r="C33" i="29"/>
  <c r="D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B115" i="29" s="1"/>
  <c r="E115" i="29" s="1"/>
  <c r="F20" i="29"/>
  <c r="C17" i="29"/>
  <c r="G17" i="29" s="1"/>
  <c r="F139" i="29"/>
  <c r="C143" i="29"/>
  <c r="B143" i="29" s="1"/>
  <c r="E143" i="29" s="1"/>
  <c r="C132" i="29"/>
  <c r="G132" i="29" s="1"/>
  <c r="C163" i="29"/>
  <c r="G163" i="29" s="1"/>
  <c r="C79" i="29"/>
  <c r="G79" i="29" s="1"/>
  <c r="C58" i="29"/>
  <c r="B58" i="29" s="1"/>
  <c r="E58" i="29" s="1"/>
  <c r="F34" i="29"/>
  <c r="F144" i="29"/>
  <c r="C36" i="29"/>
  <c r="G36" i="29" s="1"/>
  <c r="C112" i="29"/>
  <c r="D112" i="29" s="1"/>
  <c r="C80" i="29"/>
  <c r="G80" i="29" s="1"/>
  <c r="F18" i="29"/>
  <c r="C68" i="29"/>
  <c r="B68" i="29" s="1"/>
  <c r="E68" i="29" s="1"/>
  <c r="C122" i="29"/>
  <c r="B122" i="29" s="1"/>
  <c r="E122" i="29" s="1"/>
  <c r="C94" i="29"/>
  <c r="B94" i="29" s="1"/>
  <c r="E94" i="29" s="1"/>
  <c r="F128" i="29"/>
  <c r="F28" i="29"/>
  <c r="C90" i="29"/>
  <c r="B90" i="29" s="1"/>
  <c r="E90" i="29" s="1"/>
  <c r="F59" i="29"/>
  <c r="F85" i="29"/>
  <c r="C37" i="29"/>
  <c r="G37" i="29" s="1"/>
  <c r="F165" i="29"/>
  <c r="F249" i="41"/>
  <c r="F133" i="29"/>
  <c r="C67" i="29"/>
  <c r="B67" i="29" s="1"/>
  <c r="E67" i="29" s="1"/>
  <c r="F29" i="29"/>
  <c r="C113" i="29"/>
  <c r="G113" i="29" s="1"/>
  <c r="C134" i="29"/>
  <c r="G134" i="29" s="1"/>
  <c r="F53" i="29"/>
  <c r="F2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C22" i="29"/>
  <c r="D22" i="29" s="1"/>
  <c r="C32" i="29"/>
  <c r="G32" i="29" s="1"/>
  <c r="C157" i="29"/>
  <c r="B157" i="29" s="1"/>
  <c r="E157" i="29" s="1"/>
  <c r="C124" i="29"/>
  <c r="G124" i="29" s="1"/>
  <c r="F130" i="29"/>
  <c r="C25" i="29"/>
  <c r="D25" i="29" s="1"/>
  <c r="F124" i="29"/>
  <c r="C160" i="29"/>
  <c r="D160" i="29" s="1"/>
  <c r="C100" i="29"/>
  <c r="D100" i="29" s="1"/>
  <c r="F58" i="29"/>
  <c r="F109" i="29"/>
  <c r="C65" i="29"/>
  <c r="D65" i="29" s="1"/>
  <c r="C66" i="29"/>
  <c r="B66" i="29" s="1"/>
  <c r="E66" i="29" s="1"/>
  <c r="F88" i="29"/>
  <c r="F19" i="29"/>
  <c r="C85" i="29"/>
  <c r="B85" i="29" s="1"/>
  <c r="E85" i="29" s="1"/>
  <c r="C111" i="29"/>
  <c r="B111" i="29" s="1"/>
  <c r="E111" i="29" s="1"/>
  <c r="C54" i="29"/>
  <c r="D54" i="29" s="1"/>
  <c r="F108" i="29"/>
  <c r="C77" i="29"/>
  <c r="D77" i="29" s="1"/>
  <c r="C23" i="29"/>
  <c r="D23" i="29" s="1"/>
  <c r="C69" i="29"/>
  <c r="D69" i="29" s="1"/>
  <c r="C137" i="29"/>
  <c r="B137" i="29" s="1"/>
  <c r="E137" i="29" s="1"/>
  <c r="C149" i="29"/>
  <c r="G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F22" i="29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C20" i="29"/>
  <c r="G20" i="29" s="1"/>
  <c r="C42" i="29"/>
  <c r="G42" i="29" s="1"/>
  <c r="C107" i="29"/>
  <c r="D107" i="29" s="1"/>
  <c r="F32" i="29"/>
  <c r="F44" i="29"/>
  <c r="C29" i="29"/>
  <c r="D29" i="29" s="1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C24" i="29"/>
  <c r="D24" i="29" s="1"/>
  <c r="F79" i="29"/>
  <c r="F26" i="29"/>
  <c r="F68" i="29"/>
  <c r="C35" i="29"/>
  <c r="G35" i="29" s="1"/>
  <c r="F66" i="29"/>
  <c r="C164" i="29"/>
  <c r="G164" i="29" s="1"/>
  <c r="C30" i="29"/>
  <c r="G30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34" i="29"/>
  <c r="G34" i="29" s="1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C26" i="29"/>
  <c r="B26" i="29" s="1"/>
  <c r="E26" i="29" s="1"/>
  <c r="F81" i="29"/>
  <c r="C55" i="29"/>
  <c r="D55" i="29" s="1"/>
  <c r="F153" i="29"/>
  <c r="F77" i="29"/>
  <c r="F24" i="29"/>
  <c r="C31" i="29"/>
  <c r="G31" i="29" s="1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C19" i="29"/>
  <c r="G19" i="29" s="1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F30" i="29"/>
  <c r="F33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31" i="29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F27" i="29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C27" i="29"/>
  <c r="B27" i="29" s="1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21" i="29"/>
  <c r="F25" i="29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C21" i="29"/>
  <c r="D21" i="29" s="1"/>
  <c r="C28" i="29"/>
  <c r="B28" i="29" s="1"/>
  <c r="E28" i="29" s="1"/>
  <c r="F70" i="29"/>
  <c r="C162" i="29"/>
  <c r="B162" i="29" s="1"/>
  <c r="E162" i="29" s="1"/>
  <c r="F120" i="29"/>
  <c r="F35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F17" i="29"/>
  <c r="J119" i="11"/>
  <c r="J120" i="11" s="1"/>
  <c r="H119" i="11"/>
  <c r="H120" i="11" s="1"/>
  <c r="I119" i="11"/>
  <c r="I120" i="11" s="1"/>
  <c r="D31" i="39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B23" i="39"/>
  <c r="E23" i="39" s="1"/>
  <c r="G23" i="39"/>
  <c r="G26" i="39"/>
  <c r="D26" i="39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D67" i="29"/>
  <c r="G21" i="3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M15" i="11"/>
  <c r="K115" i="11"/>
  <c r="K118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D106" i="29" l="1"/>
  <c r="D28" i="39"/>
  <c r="D21" i="39"/>
  <c r="I21" i="39" s="1"/>
  <c r="D68" i="29"/>
  <c r="G25" i="39"/>
  <c r="D92" i="29"/>
  <c r="I92" i="29" s="1"/>
  <c r="B124" i="29"/>
  <c r="E124" i="29" s="1"/>
  <c r="D148" i="29"/>
  <c r="I148" i="29" s="1"/>
  <c r="D90" i="29"/>
  <c r="H90" i="29" s="1"/>
  <c r="G18" i="39"/>
  <c r="G77" i="29"/>
  <c r="I30" i="39"/>
  <c r="G133" i="29"/>
  <c r="G29" i="39"/>
  <c r="G24" i="29"/>
  <c r="D124" i="29"/>
  <c r="H124" i="29" s="1"/>
  <c r="D33" i="39"/>
  <c r="I33" i="39" s="1"/>
  <c r="B112" i="29"/>
  <c r="E112" i="29" s="1"/>
  <c r="B149" i="29"/>
  <c r="E149" i="29" s="1"/>
  <c r="D85" i="29"/>
  <c r="I85" i="29" s="1"/>
  <c r="B33" i="39"/>
  <c r="E33" i="39" s="1"/>
  <c r="D115" i="29"/>
  <c r="J115" i="29" s="1"/>
  <c r="G112" i="29"/>
  <c r="D58" i="29"/>
  <c r="B33" i="29"/>
  <c r="E33" i="29" s="1"/>
  <c r="G143" i="29"/>
  <c r="B18" i="39"/>
  <c r="E18" i="39" s="1"/>
  <c r="D29" i="39"/>
  <c r="J29" i="39" s="1"/>
  <c r="B28" i="39"/>
  <c r="E28" i="39" s="1"/>
  <c r="D20" i="39"/>
  <c r="J20" i="39" s="1"/>
  <c r="B38" i="29"/>
  <c r="E38" i="29" s="1"/>
  <c r="G85" i="29"/>
  <c r="G115" i="29"/>
  <c r="G58" i="29"/>
  <c r="D122" i="29"/>
  <c r="J122" i="29" s="1"/>
  <c r="D143" i="29"/>
  <c r="G20" i="39"/>
  <c r="G74" i="29"/>
  <c r="D35" i="29"/>
  <c r="H35" i="29" s="1"/>
  <c r="B77" i="29"/>
  <c r="E77" i="29" s="1"/>
  <c r="B65" i="29"/>
  <c r="E65" i="29" s="1"/>
  <c r="B160" i="29"/>
  <c r="E160" i="29" s="1"/>
  <c r="B133" i="29"/>
  <c r="E133" i="29" s="1"/>
  <c r="G122" i="29"/>
  <c r="D132" i="29"/>
  <c r="H132" i="29" s="1"/>
  <c r="G32" i="39"/>
  <c r="D18" i="29"/>
  <c r="I18" i="29" s="1"/>
  <c r="G66" i="29"/>
  <c r="G105" i="29"/>
  <c r="D24" i="39"/>
  <c r="J24" i="39" s="1"/>
  <c r="G17" i="39"/>
  <c r="B97" i="29"/>
  <c r="E97" i="29" s="1"/>
  <c r="D19" i="29"/>
  <c r="I19" i="29" s="1"/>
  <c r="G104" i="29"/>
  <c r="D20" i="29"/>
  <c r="H20" i="29" s="1"/>
  <c r="G26" i="29"/>
  <c r="G24" i="39"/>
  <c r="G22" i="39"/>
  <c r="B114" i="29"/>
  <c r="E114" i="29" s="1"/>
  <c r="G22" i="29"/>
  <c r="H22" i="29" s="1"/>
  <c r="G19" i="39"/>
  <c r="D34" i="39"/>
  <c r="H34" i="39" s="1"/>
  <c r="D17" i="39"/>
  <c r="J17" i="39" s="1"/>
  <c r="D22" i="39"/>
  <c r="H22" i="39" s="1"/>
  <c r="G111" i="29"/>
  <c r="G18" i="29"/>
  <c r="B100" i="29"/>
  <c r="E100" i="29" s="1"/>
  <c r="D113" i="29"/>
  <c r="I113" i="29" s="1"/>
  <c r="B34" i="39"/>
  <c r="E34" i="39" s="1"/>
  <c r="B128" i="29"/>
  <c r="E128" i="29" s="1"/>
  <c r="G144" i="29"/>
  <c r="B72" i="29"/>
  <c r="E72" i="29" s="1"/>
  <c r="D81" i="29"/>
  <c r="J81" i="29" s="1"/>
  <c r="G23" i="29"/>
  <c r="D94" i="29"/>
  <c r="I94" i="29" s="1"/>
  <c r="B32" i="39"/>
  <c r="E32" i="39" s="1"/>
  <c r="B30" i="39"/>
  <c r="E30" i="39" s="1"/>
  <c r="D40" i="29"/>
  <c r="J40" i="29" s="1"/>
  <c r="G117" i="29"/>
  <c r="D57" i="29"/>
  <c r="I57" i="29" s="1"/>
  <c r="B109" i="29"/>
  <c r="E109" i="29" s="1"/>
  <c r="G131" i="29"/>
  <c r="D109" i="29"/>
  <c r="J109" i="29" s="1"/>
  <c r="B40" i="29"/>
  <c r="E40" i="29" s="1"/>
  <c r="G99" i="29"/>
  <c r="B148" i="29"/>
  <c r="E148" i="29" s="1"/>
  <c r="D149" i="29"/>
  <c r="J149" i="29" s="1"/>
  <c r="G38" i="29"/>
  <c r="G65" i="29"/>
  <c r="G160" i="29"/>
  <c r="G90" i="29"/>
  <c r="G33" i="29"/>
  <c r="B19" i="39"/>
  <c r="E19" i="39" s="1"/>
  <c r="D99" i="29"/>
  <c r="I99" i="29" s="1"/>
  <c r="G59" i="29"/>
  <c r="B89" i="29"/>
  <c r="E89" i="29" s="1"/>
  <c r="D86" i="29"/>
  <c r="H86" i="29" s="1"/>
  <c r="B131" i="29"/>
  <c r="E131" i="29" s="1"/>
  <c r="B55" i="29"/>
  <c r="E55" i="29" s="1"/>
  <c r="B121" i="29"/>
  <c r="E121" i="29" s="1"/>
  <c r="G16" i="39"/>
  <c r="B16" i="39"/>
  <c r="E16" i="39" s="1"/>
  <c r="D16" i="39"/>
  <c r="B64" i="29"/>
  <c r="E64" i="29" s="1"/>
  <c r="D154" i="29"/>
  <c r="I154" i="29" s="1"/>
  <c r="B48" i="29"/>
  <c r="E48" i="29" s="1"/>
  <c r="G120" i="29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I59" i="29" s="1"/>
  <c r="G48" i="29"/>
  <c r="G86" i="29"/>
  <c r="G27" i="39"/>
  <c r="D25" i="39"/>
  <c r="H25" i="39" s="1"/>
  <c r="B35" i="39"/>
  <c r="E35" i="39" s="1"/>
  <c r="B27" i="39"/>
  <c r="E27" i="39" s="1"/>
  <c r="G35" i="39"/>
  <c r="D120" i="29"/>
  <c r="H120" i="29" s="1"/>
  <c r="G64" i="29"/>
  <c r="G154" i="29"/>
  <c r="G31" i="39"/>
  <c r="D75" i="29"/>
  <c r="I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I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I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H42" i="29" s="1"/>
  <c r="D32" i="29"/>
  <c r="J32" i="29" s="1"/>
  <c r="G138" i="29"/>
  <c r="G25" i="29"/>
  <c r="H25" i="29" s="1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I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H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119" i="11"/>
  <c r="K120" i="11" s="1"/>
  <c r="H83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H148" i="29"/>
  <c r="H48" i="29"/>
  <c r="J48" i="29"/>
  <c r="I48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H138" i="29"/>
  <c r="J138" i="29"/>
  <c r="I138" i="29"/>
  <c r="I133" i="29"/>
  <c r="H133" i="29"/>
  <c r="J133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I26" i="39"/>
  <c r="J26" i="39"/>
  <c r="H26" i="39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H24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I124" i="29"/>
  <c r="J12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I27" i="39"/>
  <c r="H27" i="39"/>
  <c r="J27" i="39"/>
  <c r="H126" i="29"/>
  <c r="I126" i="29"/>
  <c r="J126" i="29"/>
  <c r="J85" i="2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I29" i="3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21" i="29"/>
  <c r="I21" i="29"/>
  <c r="I63" i="29"/>
  <c r="J63" i="29"/>
  <c r="H63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31" i="29"/>
  <c r="H131" i="29"/>
  <c r="J131" i="29"/>
  <c r="J62" i="29"/>
  <c r="I62" i="29"/>
  <c r="H62" i="29"/>
  <c r="H64" i="29"/>
  <c r="I64" i="29"/>
  <c r="J64" i="2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J22" i="29"/>
  <c r="I22" i="29"/>
  <c r="I65" i="29"/>
  <c r="H65" i="29"/>
  <c r="J65" i="29"/>
  <c r="I106" i="29"/>
  <c r="H106" i="29"/>
  <c r="J106" i="29"/>
  <c r="J100" i="29"/>
  <c r="I100" i="29"/>
  <c r="H100" i="29"/>
  <c r="I25" i="29"/>
  <c r="J25" i="29"/>
  <c r="H97" i="29"/>
  <c r="I97" i="29"/>
  <c r="J97" i="29"/>
  <c r="J158" i="29"/>
  <c r="H158" i="29"/>
  <c r="I158" i="29"/>
  <c r="I143" i="29"/>
  <c r="J143" i="29"/>
  <c r="H143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I77" i="29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I160" i="29"/>
  <c r="H160" i="29"/>
  <c r="J160" i="29"/>
  <c r="H58" i="29"/>
  <c r="J58" i="29"/>
  <c r="I58" i="29"/>
  <c r="H113" i="29"/>
  <c r="J113" i="29"/>
  <c r="I33" i="29"/>
  <c r="H33" i="29"/>
  <c r="J33" i="29"/>
  <c r="H67" i="29"/>
  <c r="J67" i="29"/>
  <c r="I67" i="29"/>
  <c r="H68" i="29"/>
  <c r="I68" i="29"/>
  <c r="J68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J28" i="39"/>
  <c r="H28" i="39"/>
  <c r="I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I31" i="39"/>
  <c r="H31" i="39"/>
  <c r="J31" i="39"/>
  <c r="J132" i="29" l="1"/>
  <c r="H33" i="39"/>
  <c r="H92" i="29"/>
  <c r="J21" i="39"/>
  <c r="H21" i="39"/>
  <c r="J148" i="29"/>
  <c r="H29" i="39"/>
  <c r="K29" i="39" s="1"/>
  <c r="H85" i="29"/>
  <c r="K85" i="29" s="1"/>
  <c r="I22" i="39"/>
  <c r="K30" i="39"/>
  <c r="H122" i="29"/>
  <c r="J20" i="29"/>
  <c r="J18" i="29"/>
  <c r="I17" i="39"/>
  <c r="I20" i="29"/>
  <c r="J92" i="29"/>
  <c r="J35" i="29"/>
  <c r="I122" i="29"/>
  <c r="I132" i="29"/>
  <c r="J33" i="39"/>
  <c r="I90" i="29"/>
  <c r="J90" i="29"/>
  <c r="I86" i="29"/>
  <c r="I81" i="29"/>
  <c r="I34" i="39"/>
  <c r="H115" i="29"/>
  <c r="H24" i="39"/>
  <c r="I20" i="39"/>
  <c r="I115" i="29"/>
  <c r="J34" i="39"/>
  <c r="J75" i="29"/>
  <c r="J88" i="29"/>
  <c r="J25" i="39"/>
  <c r="H30" i="29"/>
  <c r="H99" i="29"/>
  <c r="H155" i="29"/>
  <c r="J162" i="29"/>
  <c r="H88" i="29"/>
  <c r="H40" i="29"/>
  <c r="J99" i="29"/>
  <c r="I35" i="29"/>
  <c r="K35" i="29" s="1"/>
  <c r="H18" i="29"/>
  <c r="J42" i="29"/>
  <c r="I155" i="29"/>
  <c r="H20" i="39"/>
  <c r="I162" i="29"/>
  <c r="I42" i="29"/>
  <c r="K42" i="29" s="1"/>
  <c r="I25" i="39"/>
  <c r="I24" i="39"/>
  <c r="I40" i="29"/>
  <c r="J60" i="29"/>
  <c r="J120" i="29"/>
  <c r="J59" i="29"/>
  <c r="H157" i="29"/>
  <c r="J151" i="29"/>
  <c r="H28" i="29"/>
  <c r="H75" i="29"/>
  <c r="I120" i="29"/>
  <c r="J157" i="29"/>
  <c r="H59" i="29"/>
  <c r="J47" i="29"/>
  <c r="J57" i="29"/>
  <c r="I27" i="29"/>
  <c r="H57" i="29"/>
  <c r="J22" i="39"/>
  <c r="J154" i="29"/>
  <c r="H60" i="29"/>
  <c r="K60" i="29" s="1"/>
  <c r="J82" i="29"/>
  <c r="H145" i="29"/>
  <c r="I159" i="29"/>
  <c r="J19" i="29"/>
  <c r="H154" i="29"/>
  <c r="H19" i="29"/>
  <c r="H81" i="29"/>
  <c r="J86" i="29"/>
  <c r="I151" i="29"/>
  <c r="J159" i="29"/>
  <c r="H109" i="29"/>
  <c r="H149" i="29"/>
  <c r="H17" i="39"/>
  <c r="J74" i="29"/>
  <c r="I149" i="29"/>
  <c r="I109" i="29"/>
  <c r="J94" i="29"/>
  <c r="H94" i="29"/>
  <c r="I145" i="29"/>
  <c r="I87" i="29"/>
  <c r="I28" i="29"/>
  <c r="K28" i="29" s="1"/>
  <c r="H165" i="29"/>
  <c r="H16" i="39"/>
  <c r="J16" i="39"/>
  <c r="I16" i="39"/>
  <c r="H32" i="29"/>
  <c r="J3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K27" i="29" s="1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J41" i="29"/>
  <c r="J70" i="29"/>
  <c r="K70" i="29" s="1"/>
  <c r="J130" i="29"/>
  <c r="J153" i="29"/>
  <c r="I41" i="29"/>
  <c r="K41" i="29" s="1"/>
  <c r="I111" i="29"/>
  <c r="H111" i="29"/>
  <c r="H105" i="29"/>
  <c r="J156" i="29"/>
  <c r="H91" i="29"/>
  <c r="K133" i="29"/>
  <c r="H66" i="29"/>
  <c r="I91" i="29"/>
  <c r="J66" i="29"/>
  <c r="K22" i="39"/>
  <c r="K63" i="29"/>
  <c r="K112" i="29"/>
  <c r="K24" i="29"/>
  <c r="K116" i="29"/>
  <c r="K160" i="29"/>
  <c r="K78" i="29"/>
  <c r="K107" i="29"/>
  <c r="K142" i="29"/>
  <c r="K29" i="29"/>
  <c r="K23" i="29"/>
  <c r="K150" i="29"/>
  <c r="K136" i="29"/>
  <c r="K147" i="29"/>
  <c r="K32" i="39"/>
  <c r="K38" i="29"/>
  <c r="K23" i="39"/>
  <c r="K97" i="29"/>
  <c r="K100" i="29"/>
  <c r="K73" i="29"/>
  <c r="K21" i="29"/>
  <c r="K72" i="29"/>
  <c r="K124" i="29"/>
  <c r="K108" i="29"/>
  <c r="K26" i="3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K113" i="2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K67" i="29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48" i="29"/>
  <c r="K1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121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68" i="29"/>
  <c r="K33" i="29"/>
  <c r="K5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43" i="29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132" i="29" l="1"/>
  <c r="K33" i="39"/>
  <c r="K92" i="29"/>
  <c r="K21" i="39"/>
  <c r="K18" i="29"/>
  <c r="K81" i="29"/>
  <c r="K20" i="29"/>
  <c r="K90" i="29"/>
  <c r="K122" i="29"/>
  <c r="K17" i="39"/>
  <c r="K86" i="29"/>
  <c r="K157" i="29"/>
  <c r="K47" i="29"/>
  <c r="K162" i="29"/>
  <c r="K34" i="39"/>
  <c r="K115" i="29"/>
  <c r="K30" i="29"/>
  <c r="K120" i="29"/>
  <c r="K40" i="29"/>
  <c r="K59" i="29"/>
  <c r="K25" i="39"/>
  <c r="K88" i="29"/>
  <c r="K24" i="39"/>
  <c r="K99" i="29"/>
  <c r="K20" i="39"/>
  <c r="K155" i="29"/>
  <c r="K75" i="29"/>
  <c r="I38" i="39"/>
  <c r="I39" i="39" s="1"/>
  <c r="I40" i="39" s="1"/>
  <c r="K82" i="29"/>
  <c r="K154" i="29"/>
  <c r="K57" i="29"/>
  <c r="K159" i="29"/>
  <c r="K145" i="29"/>
  <c r="K151" i="29"/>
  <c r="J38" i="39"/>
  <c r="J39" i="39" s="1"/>
  <c r="J40" i="39" s="1"/>
  <c r="K19" i="29"/>
  <c r="K149" i="29"/>
  <c r="H38" i="39"/>
  <c r="H39" i="39" s="1"/>
  <c r="H40" i="39" s="1"/>
  <c r="K94" i="29"/>
  <c r="K93" i="29"/>
  <c r="K109" i="29"/>
  <c r="K74" i="29"/>
  <c r="K87" i="29"/>
  <c r="K156" i="29"/>
  <c r="K165" i="29"/>
  <c r="K37" i="29"/>
  <c r="K79" i="29"/>
  <c r="K32" i="29"/>
  <c r="K16" i="39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K38" i="39" l="1"/>
  <c r="K39" i="39" s="1"/>
  <c r="K40" i="39" s="1"/>
  <c r="D12" i="54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<sst xmlns="http://schemas.openxmlformats.org/spreadsheetml/2006/main" count="4801" uniqueCount="1649">
  <si>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</si>
  <si>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</si>
  <si>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</si>
  <si>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</si>
  <si>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</si>
  <si>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</si>
  <si>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</si>
  <si>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</si>
  <si>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</si>
  <si>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</si>
  <si>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</si>
  <si>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</si>
  <si>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</si>
  <si>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</si>
  <si>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</si>
  <si>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</si>
  <si>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</si>
  <si>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</si>
  <si>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</si>
  <si>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</si>
  <si>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</si>
  <si>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</si>
  <si>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</si>
  <si>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</si>
  <si>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</si>
  <si>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</si>
  <si>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</si>
  <si>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</si>
  <si>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</si>
  <si>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</si>
  <si>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</si>
  <si>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</si>
  <si>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</si>
  <si>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</si>
  <si>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</si>
  <si>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</si>
  <si>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</si>
  <si>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</si>
  <si>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</si>
  <si>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</si>
  <si>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</si>
  <si>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</si>
  <si>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</si>
  <si>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</si>
  <si>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</si>
  <si>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</si>
  <si>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</si>
  <si>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</si>
  <si>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</si>
  <si>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</si>
  <si>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</si>
  <si>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</si>
  <si>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</si>
  <si>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</si>
  <si>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</si>
  <si>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</si>
  <si>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</si>
  <si>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</si>
  <si>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</si>
  <si>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</si>
  <si>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</si>
  <si>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</si>
  <si>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</si>
  <si>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</si>
  <si>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</si>
  <si>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</si>
  <si>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</si>
  <si>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</si>
  <si>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</si>
  <si>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</si>
  <si>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</si>
  <si>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</si>
  <si>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</si>
  <si>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</si>
  <si>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</si>
  <si>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</si>
  <si>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</si>
  <si>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</si>
  <si>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</si>
  <si>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</si>
  <si>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</si>
  <si>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</si>
  <si>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</si>
  <si>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</si>
  <si>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</si>
  <si>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</si>
  <si>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</si>
  <si>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</si>
  <si>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</si>
  <si>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</si>
  <si>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</si>
  <si>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</si>
  <si>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</si>
  <si>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</si>
  <si>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</si>
  <si>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</si>
  <si>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</si>
  <si>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</si>
  <si>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</si>
  <si>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</si>
  <si>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</si>
  <si>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</si>
  <si>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</si>
  <si>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</si>
  <si>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</si>
  <si>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</si>
  <si>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</si>
  <si>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</si>
  <si>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</si>
  <si>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</si>
  <si>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</si>
  <si>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</si>
  <si>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</si>
  <si>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</si>
  <si>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</si>
  <si>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</si>
  <si>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</si>
  <si>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</si>
  <si>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</si>
  <si>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</si>
  <si>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</si>
  <si>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</si>
  <si>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</si>
  <si>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</si>
  <si>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</si>
  <si>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</si>
  <si>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</si>
  <si>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</si>
  <si>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</si>
  <si>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</si>
  <si>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</si>
  <si>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</si>
  <si>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</si>
  <si>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</si>
  <si>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</si>
  <si>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</si>
  <si>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</si>
  <si>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</si>
  <si>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</si>
  <si>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</si>
  <si>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</si>
  <si>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</si>
  <si>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</si>
  <si>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</si>
  <si>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</si>
  <si>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</si>
  <si>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</si>
  <si>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</si>
  <si>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</si>
  <si>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</si>
  <si>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</si>
  <si>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</si>
  <si>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</si>
  <si>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</si>
  <si>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</si>
  <si>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</si>
  <si>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</si>
  <si>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</si>
  <si>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</si>
  <si>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</si>
  <si>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</si>
  <si>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</si>
  <si>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</si>
  <si>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</si>
  <si>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</si>
  <si>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</si>
  <si>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</si>
  <si>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</si>
  <si>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</si>
  <si>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</si>
  <si>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</si>
  <si>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</si>
  <si>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</si>
  <si>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</si>
  <si>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</si>
  <si>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</si>
  <si>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</si>
  <si>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</si>
  <si>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</si>
  <si>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</si>
  <si>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</si>
  <si>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</si>
  <si>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</si>
  <si>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</si>
  <si>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</si>
  <si>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</si>
  <si>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</si>
  <si>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</si>
  <si>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</si>
  <si>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</si>
  <si>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</si>
  <si>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</si>
  <si>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</si>
  <si>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</si>
  <si>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</si>
  <si>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</si>
  <si>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</si>
  <si>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</si>
  <si>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</si>
  <si>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</si>
  <si>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</si>
  <si>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</si>
  <si>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</si>
  <si>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</si>
  <si>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</si>
  <si>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</si>
  <si>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</si>
  <si>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</si>
  <si>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</si>
  <si>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</si>
  <si>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</si>
  <si>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</si>
  <si>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</si>
  <si>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</si>
  <si>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</si>
  <si>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</si>
  <si>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</si>
  <si>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</si>
  <si>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</si>
  <si>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</si>
  <si>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</si>
  <si>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</si>
  <si>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</si>
  <si>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</si>
  <si>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</si>
  <si>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</si>
  <si>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</si>
  <si>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</si>
  <si>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</si>
  <si>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</si>
  <si>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</si>
  <si>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</si>
  <si>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</si>
  <si>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</si>
  <si>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</si>
  <si>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</si>
  <si>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</si>
  <si>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</si>
  <si>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</si>
  <si>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</si>
  <si>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</si>
  <si>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</si>
  <si>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</si>
  <si>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</si>
  <si>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</si>
  <si>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</si>
  <si>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</si>
  <si>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</si>
  <si>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</si>
  <si>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</si>
  <si>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</si>
  <si>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</si>
  <si>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</si>
  <si>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</si>
  <si>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</si>
  <si>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</si>
  <si>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</si>
  <si>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</si>
  <si>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</si>
  <si>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</si>
  <si>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</si>
  <si>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</si>
  <si>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</si>
  <si>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</si>
  <si>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</si>
  <si>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</si>
  <si>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</si>
  <si>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</si>
  <si>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</si>
  <si>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</si>
  <si>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</si>
  <si>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</si>
  <si>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</si>
  <si>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</si>
  <si>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</si>
  <si>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</si>
  <si>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</si>
  <si>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</si>
  <si>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</si>
  <si>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</si>
  <si>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</si>
  <si>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</si>
  <si>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</si>
  <si>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</si>
  <si>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</si>
  <si>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</si>
  <si>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</si>
  <si>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</si>
  <si>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</si>
  <si>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</si>
  <si>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</si>
  <si>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</si>
  <si>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</si>
  <si>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</si>
  <si>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</si>
  <si>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</si>
  <si>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</si>
  <si>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</si>
  <si>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</si>
  <si>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</si>
  <si>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</si>
  <si>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</si>
  <si>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</si>
  <si>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</si>
  <si>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</si>
  <si>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</si>
  <si>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</si>
  <si>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</si>
  <si>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</si>
  <si>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</si>
  <si>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</si>
  <si>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</si>
  <si>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</si>
  <si>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</si>
  <si>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</si>
  <si>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</si>
  <si>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</si>
  <si>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</si>
  <si>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</si>
  <si>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</si>
  <si>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</si>
  <si>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</si>
  <si>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</si>
  <si>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</si>
  <si>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</si>
  <si>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</si>
  <si>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</si>
  <si>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</si>
  <si>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</si>
  <si>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</si>
  <si>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</si>
  <si>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</si>
  <si>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</si>
  <si>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</si>
  <si>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</si>
  <si>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</si>
  <si>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</si>
  <si>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</si>
  <si>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</si>
  <si>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</si>
  <si>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</si>
  <si>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</si>
  <si>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</si>
  <si>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</si>
  <si>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</si>
  <si>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</si>
  <si>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</si>
  <si>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</si>
  <si>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</si>
  <si>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</si>
  <si>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</si>
  <si>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</si>
  <si>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</si>
  <si>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</si>
  <si>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</si>
  <si>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</si>
  <si>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</si>
  <si>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</si>
  <si>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</si>
  <si>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</si>
  <si>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</si>
  <si>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</si>
  <si>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</si>
  <si>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</si>
  <si>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</si>
  <si>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</si>
  <si>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</si>
  <si>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</si>
  <si>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</si>
  <si>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</si>
  <si>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</si>
  <si>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</si>
  <si>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</si>
  <si>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</si>
  <si>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</si>
  <si>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</si>
  <si>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</si>
  <si>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</si>
  <si>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</si>
  <si>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</si>
  <si>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</si>
  <si>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</si>
  <si>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</si>
  <si>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</si>
  <si>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</si>
  <si>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</si>
  <si>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</si>
  <si>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</si>
  <si>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</si>
  <si>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</si>
  <si>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</si>
  <si>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</si>
  <si>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</si>
  <si>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</si>
  <si>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</si>
  <si>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</si>
  <si>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</si>
  <si>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</si>
  <si>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</si>
  <si>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</si>
  <si>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</si>
  <si>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</si>
  <si>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</si>
  <si>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</si>
  <si>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</si>
  <si>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</si>
  <si>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</si>
  <si>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</si>
  <si>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</si>
  <si>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</si>
  <si>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</si>
  <si>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</si>
  <si>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</si>
  <si>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</si>
  <si>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</si>
  <si>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</si>
  <si>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</si>
  <si>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</si>
  <si>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</si>
  <si>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</si>
  <si>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</si>
  <si>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</si>
  <si>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</si>
  <si>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</si>
  <si>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</si>
  <si>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</si>
  <si>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</si>
  <si>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</si>
  <si>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</si>
  <si>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</si>
  <si>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</si>
  <si>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</si>
  <si>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</si>
  <si>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</si>
  <si>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</si>
  <si>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</si>
  <si>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</si>
  <si>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</si>
  <si>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</si>
  <si>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</si>
  <si>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</si>
  <si>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</si>
  <si>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</si>
  <si>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</si>
  <si>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</si>
  <si>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</si>
  <si>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</si>
  <si>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</si>
  <si>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</si>
  <si>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</si>
  <si>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</si>
  <si>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</si>
  <si>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</si>
  <si>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</si>
  <si>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</si>
  <si>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</si>
  <si>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</si>
  <si>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</si>
  <si>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</si>
  <si>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</si>
  <si>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</si>
  <si>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</si>
  <si>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</si>
  <si>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</si>
  <si>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</si>
  <si>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</si>
  <si>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</si>
  <si>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</si>
  <si>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</si>
  <si>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</si>
  <si>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</si>
  <si>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</si>
  <si>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</si>
  <si>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</si>
  <si>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</si>
  <si>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</si>
  <si>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</si>
  <si>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</si>
  <si>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</si>
  <si>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</si>
  <si>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</si>
  <si>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</si>
  <si>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</si>
  <si>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</si>
  <si>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</si>
  <si>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</si>
  <si>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</si>
  <si>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</si>
  <si>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</si>
  <si>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</si>
  <si>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</si>
  <si>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</si>
  <si>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</si>
  <si>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</si>
  <si>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</si>
  <si>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</si>
  <si>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</si>
  <si>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</si>
  <si>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</si>
  <si>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</si>
  <si>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</si>
  <si>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</si>
  <si>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</si>
  <si>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</si>
  <si>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</si>
  <si>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</si>
  <si>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</si>
  <si>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</si>
  <si>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</si>
  <si>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</si>
  <si>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</si>
  <si>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</si>
  <si>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</si>
  <si>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</si>
  <si>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</si>
  <si>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</si>
  <si>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</si>
  <si>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</si>
  <si>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</si>
  <si>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</si>
  <si>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</si>
  <si>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</si>
  <si>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</si>
  <si>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</si>
  <si>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</si>
  <si>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</si>
  <si>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</si>
  <si>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</si>
  <si>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</si>
  <si>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</si>
  <si>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</si>
  <si>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</si>
  <si>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</si>
  <si>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</si>
  <si>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</si>
  <si>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</si>
  <si>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</si>
  <si>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</si>
  <si>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</si>
  <si>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</si>
  <si>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</si>
  <si>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</si>
  <si>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</si>
  <si>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</si>
  <si>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</si>
  <si>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</si>
  <si>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</si>
  <si>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</si>
  <si>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</si>
  <si>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</si>
  <si>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</si>
  <si>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</si>
  <si>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</si>
  <si>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</si>
  <si>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</si>
  <si>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</si>
  <si>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</si>
  <si>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</si>
  <si>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</si>
  <si>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</si>
  <si>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</si>
  <si>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</si>
  <si>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</si>
  <si>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</si>
  <si>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</si>
  <si>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</si>
  <si>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</si>
  <si>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</si>
  <si>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</si>
  <si>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</si>
  <si>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</si>
  <si>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</si>
  <si>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</si>
  <si>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</si>
  <si>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</si>
  <si>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</si>
  <si>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</si>
  <si>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</si>
  <si>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</si>
  <si>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</si>
  <si>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</si>
  <si>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</si>
  <si>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</si>
  <si>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</si>
  <si>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</si>
  <si>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</si>
  <si>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</si>
  <si>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</si>
  <si>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</si>
  <si>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</si>
  <si>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</si>
  <si>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</si>
  <si>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</si>
  <si>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</si>
  <si>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</si>
  <si>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</si>
  <si>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</si>
  <si>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</si>
  <si>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</si>
  <si>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</si>
  <si>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</si>
  <si>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</si>
  <si>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</si>
  <si>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</si>
  <si>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</si>
  <si>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</si>
  <si>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</si>
  <si>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</si>
  <si>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</si>
  <si>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</si>
  <si>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</si>
  <si>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</si>
  <si>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</si>
  <si>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</si>
  <si>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</si>
  <si>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</si>
  <si>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</si>
  <si>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</si>
  <si>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</si>
  <si>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</si>
  <si>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</si>
  <si>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</si>
  <si>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</si>
  <si>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</si>
  <si>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</si>
  <si>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</si>
  <si>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</si>
  <si>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</si>
  <si>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</si>
  <si>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</si>
  <si>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</si>
  <si>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</si>
  <si>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</si>
  <si>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</si>
  <si>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</si>
  <si>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</si>
  <si>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</si>
  <si>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</si>
  <si>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</si>
  <si>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</si>
  <si>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</si>
  <si>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</si>
  <si>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</si>
  <si>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</si>
  <si>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</si>
  <si>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</si>
  <si>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</si>
  <si>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</si>
  <si>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</si>
  <si>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</si>
  <si>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</si>
  <si>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</si>
  <si>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</si>
  <si>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</si>
  <si>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</si>
  <si>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</si>
  <si>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</si>
  <si>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</si>
  <si>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</si>
  <si>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</si>
  <si>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</si>
  <si>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</si>
  <si>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</si>
  <si>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</si>
  <si>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</si>
  <si>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</si>
  <si>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</si>
  <si>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</si>
  <si>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</si>
  <si>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</si>
  <si>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</si>
  <si>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</si>
  <si>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</si>
  <si>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</si>
  <si>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</si>
  <si>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</si>
  <si>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</si>
  <si>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</si>
  <si>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</si>
  <si>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</si>
  <si>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</si>
  <si>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</si>
  <si>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</si>
  <si>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</si>
  <si>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</si>
  <si>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</si>
  <si>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</si>
  <si>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</si>
  <si>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</si>
  <si>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</si>
  <si>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</si>
  <si>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</si>
  <si>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</si>
  <si>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</si>
  <si>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</si>
  <si>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</si>
  <si>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</si>
  <si>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</si>
  <si>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</si>
  <si>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</si>
  <si>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</si>
  <si>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</si>
  <si>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</si>
  <si>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</si>
  <si>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</si>
  <si>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</si>
  <si>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</si>
  <si>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</si>
  <si>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</si>
  <si>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</si>
  <si>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</si>
  <si>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</si>
  <si>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</si>
  <si>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</si>
  <si>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</si>
  <si>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</si>
  <si>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</si>
  <si>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</si>
  <si>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</si>
  <si>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</si>
  <si>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</si>
  <si>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</si>
  <si>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</si>
  <si>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</si>
  <si>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</si>
  <si>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</si>
  <si>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</si>
  <si>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</si>
  <si>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</si>
  <si>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</si>
  <si>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</si>
  <si>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</si>
  <si>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</si>
  <si>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</si>
  <si>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</si>
  <si>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</si>
  <si>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</si>
  <si>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</si>
  <si>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</si>
  <si>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</si>
  <si>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</si>
  <si>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</si>
  <si>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</si>
  <si>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</si>
  <si>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</si>
  <si>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</si>
  <si>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</si>
  <si>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</si>
  <si>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</si>
  <si>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</si>
  <si>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</si>
  <si>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</si>
  <si>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</si>
  <si>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</si>
  <si>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</si>
  <si>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</si>
  <si>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</si>
  <si>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</si>
  <si>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</si>
  <si>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</si>
  <si>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</si>
  <si>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</si>
  <si>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</si>
  <si>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</si>
  <si>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</si>
  <si>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</si>
  <si>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</si>
  <si>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</si>
  <si>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</si>
  <si>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</si>
  <si>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</si>
  <si>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</si>
  <si>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</si>
  <si>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</si>
  <si>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</si>
  <si>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</si>
  <si>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</si>
  <si>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</si>
  <si>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</si>
  <si>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</si>
  <si>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</si>
  <si>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</si>
  <si>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</si>
  <si>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</si>
  <si>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</si>
  <si>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</si>
  <si>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</si>
  <si>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</si>
  <si>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</si>
  <si>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</si>
  <si>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</si>
  <si>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</si>
  <si>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</si>
  <si>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</si>
  <si>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</si>
  <si>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</si>
  <si>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</si>
  <si>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</si>
  <si>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</si>
  <si>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</si>
  <si>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</si>
  <si>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</si>
  <si>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</si>
  <si>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</si>
  <si>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</si>
  <si>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</si>
  <si>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</si>
  <si>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</si>
  <si>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</si>
  <si>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</si>
  <si>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</si>
  <si>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</si>
  <si>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</si>
  <si>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</si>
  <si>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</si>
  <si>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</si>
  <si>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</si>
  <si>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</si>
  <si>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</si>
  <si>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</si>
  <si>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</si>
  <si>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</si>
  <si>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</si>
  <si>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</si>
  <si>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</si>
  <si>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</si>
  <si>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</si>
  <si>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</si>
  <si>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</si>
  <si>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</si>
  <si>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</si>
  <si>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</si>
  <si>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</si>
  <si>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</si>
  <si>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</si>
  <si>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</si>
  <si>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</si>
  <si>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</si>
  <si>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</si>
  <si>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</si>
  <si>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</si>
  <si>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</si>
  <si>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</si>
  <si>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</si>
  <si>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</si>
  <si>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</si>
  <si>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</si>
  <si>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</si>
  <si>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</si>
  <si>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</si>
  <si>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</si>
  <si>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</si>
  <si>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</si>
  <si>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</si>
  <si>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</si>
  <si>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</si>
  <si>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</si>
  <si>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</si>
  <si>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</si>
  <si>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</si>
  <si>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</si>
  <si>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</si>
  <si>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</si>
  <si>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</si>
  <si>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</si>
  <si>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</si>
  <si>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</si>
  <si>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</si>
  <si>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</si>
  <si>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</si>
  <si>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</si>
  <si>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</si>
  <si>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</si>
  <si>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</si>
  <si>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</si>
  <si>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</si>
  <si>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</si>
  <si>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</si>
  <si>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</si>
  <si>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</si>
  <si>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</si>
  <si>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</si>
  <si>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</si>
  <si>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</si>
  <si>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</si>
  <si>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</si>
  <si>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</si>
  <si>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</si>
  <si>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</si>
  <si>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</si>
  <si>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</si>
  <si>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</si>
  <si>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</si>
  <si>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</si>
  <si>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</si>
  <si>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</si>
  <si>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</si>
  <si>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</si>
  <si>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</si>
  <si>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</si>
  <si>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</si>
  <si>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</si>
  <si>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</si>
  <si>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</si>
  <si>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</si>
  <si>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</si>
  <si>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</si>
  <si>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</si>
  <si>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</si>
  <si>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</si>
  <si>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</si>
  <si>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</si>
  <si>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</si>
  <si>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</si>
  <si>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</si>
  <si>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</si>
  <si>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</si>
  <si>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</si>
  <si>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</si>
  <si>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</si>
  <si>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</si>
  <si>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</si>
  <si>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</si>
  <si>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</si>
  <si>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</si>
  <si>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</si>
  <si>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</si>
  <si>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</si>
  <si>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</si>
  <si>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</si>
  <si>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</si>
  <si>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</si>
  <si>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</si>
  <si>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</si>
  <si>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</si>
  <si>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</si>
  <si>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</si>
  <si>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</si>
  <si>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</si>
  <si>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</si>
  <si>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</si>
  <si>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</si>
  <si>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</si>
  <si>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</si>
  <si>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</si>
  <si>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</si>
  <si>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</si>
  <si>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</si>
  <si>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</si>
  <si>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</si>
  <si>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</si>
  <si>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</si>
  <si>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</si>
  <si>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</si>
  <si>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</si>
  <si>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</si>
  <si>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</si>
  <si>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</si>
  <si>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</si>
  <si>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</si>
  <si>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</si>
  <si>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</si>
  <si>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</si>
  <si>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</si>
  <si>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</si>
  <si>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</si>
  <si>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</si>
  <si>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</si>
  <si>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</si>
  <si>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</si>
  <si>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</si>
  <si>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</si>
  <si>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</si>
  <si>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</si>
  <si>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</si>
  <si>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</si>
  <si>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</si>
  <si>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</si>
  <si>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</si>
  <si>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</si>
  <si>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</si>
  <si>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</si>
  <si>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</si>
  <si>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</si>
  <si>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</si>
  <si>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</si>
  <si>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</si>
  <si>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</si>
  <si>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</si>
  <si>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</si>
  <si>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</si>
  <si>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</si>
  <si>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</si>
  <si>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</si>
  <si>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</si>
  <si>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</si>
  <si>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</si>
  <si>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</si>
  <si>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</si>
  <si>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</si>
  <si>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</si>
  <si>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</si>
  <si>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</si>
  <si>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</si>
  <si>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</si>
  <si>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</si>
  <si>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</si>
  <si>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</si>
  <si>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</si>
  <si>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</si>
  <si>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</si>
  <si>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</si>
  <si>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</si>
  <si>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</si>
  <si>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</si>
  <si>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</si>
  <si>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</si>
  <si>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</si>
  <si>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</si>
  <si>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</si>
  <si>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</si>
  <si>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</si>
  <si>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</si>
  <si>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</si>
  <si>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</si>
  <si>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</si>
  <si>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</si>
  <si>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</si>
  <si>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</si>
  <si>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</si>
  <si>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</si>
  <si>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</si>
  <si>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</si>
  <si>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</si>
  <si>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</si>
  <si>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</si>
  <si>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</si>
  <si>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</si>
  <si>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</si>
  <si>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</si>
  <si>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</si>
  <si>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</si>
  <si>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</si>
  <si>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</si>
  <si>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</si>
  <si>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</si>
  <si>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</si>
  <si>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</si>
  <si>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</si>
  <si>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</si>
  <si>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</si>
  <si>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</si>
  <si>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</si>
  <si>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</si>
  <si>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</si>
  <si>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</si>
  <si>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</si>
  <si>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</si>
  <si>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</si>
  <si>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</si>
  <si>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</si>
  <si>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</si>
  <si>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</si>
  <si>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</si>
  <si>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</si>
  <si>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</si>
  <si>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</si>
  <si>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</si>
  <si>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</si>
  <si>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</si>
  <si>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</si>
  <si>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</si>
  <si>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</si>
  <si>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</si>
  <si>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</si>
  <si>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</si>
  <si>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</si>
  <si>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</si>
  <si>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</si>
  <si>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</si>
  <si>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</si>
  <si>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</si>
  <si>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</si>
  <si>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</si>
  <si>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</si>
  <si>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</si>
  <si>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</si>
  <si>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</si>
  <si>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</si>
  <si>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</si>
  <si>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</si>
  <si>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</si>
  <si>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</si>
  <si>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</si>
  <si>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</si>
  <si>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</si>
  <si>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</si>
  <si>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</si>
  <si>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</si>
  <si>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</si>
  <si>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</si>
  <si>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</si>
  <si>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</si>
  <si>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</si>
  <si>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</si>
  <si>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</si>
  <si>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</si>
  <si>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</si>
  <si>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</si>
  <si>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</si>
  <si>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</si>
  <si>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</si>
  <si>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</si>
  <si>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</si>
  <si>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</si>
  <si>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</si>
  <si>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</si>
  <si>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</si>
  <si>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</si>
  <si>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</si>
  <si>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</si>
  <si>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</si>
  <si>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</si>
  <si>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</si>
  <si>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</si>
  <si>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</si>
  <si>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</si>
  <si>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</si>
  <si>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</si>
  <si>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</si>
  <si>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</si>
  <si>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</si>
  <si>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</si>
  <si>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</si>
  <si>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</si>
  <si>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</si>
  <si>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</si>
  <si>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</si>
  <si>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</si>
  <si>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</si>
  <si>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</si>
  <si>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</si>
  <si>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</si>
  <si>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</si>
  <si>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</si>
  <si>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</si>
  <si>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</si>
  <si>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</si>
  <si>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</si>
  <si>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</si>
  <si>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</si>
  <si>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</si>
  <si>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</si>
  <si>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</si>
  <si>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</si>
  <si>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</si>
  <si>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</si>
  <si>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</si>
  <si>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</si>
  <si>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</si>
  <si>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</si>
  <si>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</si>
  <si>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</si>
  <si>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</si>
  <si>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</si>
  <si>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</si>
  <si>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</si>
  <si>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</si>
  <si>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</si>
  <si>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</si>
  <si>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</si>
  <si>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</si>
  <si>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</si>
  <si>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</si>
  <si>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</si>
  <si>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</si>
  <si>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</si>
  <si>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</si>
  <si>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</si>
  <si>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</si>
  <si>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</si>
  <si>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</si>
  <si>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</si>
  <si>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</si>
  <si>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</si>
  <si>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</si>
  <si>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</si>
  <si>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</si>
  <si>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</si>
  <si>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</si>
  <si>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</si>
  <si>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</si>
  <si>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</si>
  <si>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</si>
  <si>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</si>
  <si>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</si>
  <si>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</si>
  <si>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</si>
  <si>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</si>
  <si>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</si>
  <si>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</si>
  <si>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</si>
  <si>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</si>
  <si>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</si>
  <si>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</si>
  <si>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</si>
  <si>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</si>
  <si>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</si>
  <si>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</si>
  <si>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</si>
  <si>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</si>
  <si>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</si>
  <si>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</si>
  <si>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</si>
  <si>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</si>
  <si>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</si>
  <si>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</si>
  <si>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</si>
  <si>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</si>
  <si>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</si>
  <si>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</si>
  <si>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</si>
  <si>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</si>
  <si>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</si>
  <si>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</si>
  <si>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</si>
  <si>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</si>
  <si>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</si>
  <si>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</si>
  <si>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</si>
  <si>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</si>
  <si>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</si>
  <si>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</si>
  <si>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</si>
  <si>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</si>
  <si>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</si>
  <si>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</si>
  <si>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</si>
  <si>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</si>
  <si>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</si>
  <si>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</si>
  <si>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</si>
  <si>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</si>
  <si>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</si>
  <si>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</si>
  <si>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</si>
  <si>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</si>
  <si>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</si>
  <si>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</si>
  <si>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</si>
  <si>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</si>
  <si>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</si>
  <si>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</si>
  <si>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</si>
  <si>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</si>
  <si>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</si>
  <si>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</si>
  <si>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</si>
  <si>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</si>
  <si>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</si>
  <si>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</si>
  <si>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</si>
  <si>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</si>
  <si>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</si>
  <si>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</si>
  <si>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</si>
  <si>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</si>
  <si>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</si>
  <si>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</si>
  <si>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</si>
  <si>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</si>
  <si>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</si>
  <si>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</si>
  <si>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</si>
  <si>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</si>
  <si>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</si>
  <si>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</si>
  <si>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</si>
  <si>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</si>
  <si>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</si>
  <si>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</si>
  <si>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</si>
  <si>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</si>
  <si>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</si>
  <si>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</si>
  <si>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</si>
  <si>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</si>
  <si>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</si>
  <si>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</si>
  <si>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</si>
  <si>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</si>
  <si>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</si>
  <si>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</si>
  <si>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</si>
  <si>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</si>
  <si>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</si>
  <si>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</si>
  <si>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</si>
  <si>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</si>
  <si>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</si>
  <si>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</si>
  <si>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</si>
  <si>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</si>
  <si>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</si>
  <si>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</si>
  <si>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</si>
  <si>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</si>
  <si>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</si>
  <si>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</si>
  <si>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</si>
  <si>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</si>
  <si>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</si>
  <si>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</si>
  <si>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</si>
  <si>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</si>
  <si>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</si>
  <si>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</si>
  <si>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</si>
  <si>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</si>
  <si>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</si>
  <si>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</si>
  <si>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</si>
  <si>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</si>
  <si>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</si>
  <si>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</si>
  <si>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</si>
  <si>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</si>
  <si>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</si>
  <si>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</si>
  <si>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</si>
  <si>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</si>
  <si>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</si>
  <si>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</si>
  <si>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</si>
  <si>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</si>
  <si>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</si>
  <si>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</si>
  <si>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</si>
  <si>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</si>
  <si>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</si>
  <si>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</si>
  <si>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</si>
  <si>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</si>
  <si>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</si>
  <si>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</si>
  <si>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</si>
  <si>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</si>
  <si>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</si>
  <si>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</si>
  <si>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</si>
  <si>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</si>
  <si>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</si>
  <si>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</si>
  <si>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</si>
  <si>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</si>
  <si>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</si>
  <si>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</si>
  <si>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</si>
  <si>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</si>
  <si>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</si>
  <si>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</si>
  <si>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</si>
  <si>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</si>
  <si>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</si>
  <si>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</si>
  <si>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</si>
  <si>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</si>
  <si>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</si>
  <si>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</si>
  <si>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</si>
  <si>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</si>
  <si>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</si>
  <si>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</si>
  <si>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</si>
  <si>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</si>
  <si>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</si>
  <si>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</si>
  <si>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</si>
  <si>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</si>
  <si>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</si>
  <si>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</si>
  <si>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</si>
  <si>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</si>
  <si>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</si>
  <si>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</si>
  <si>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</si>
  <si>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</si>
  <si>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</si>
  <si>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</si>
  <si>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</si>
  <si>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</si>
  <si>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</si>
  <si>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</si>
  <si>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</si>
  <si>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</si>
  <si>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</si>
  <si>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</si>
  <si>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</si>
  <si>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</si>
  <si>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</si>
  <si>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</si>
  <si>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</si>
  <si>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</si>
  <si>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</si>
  <si>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</si>
  <si>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</si>
  <si>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</si>
  <si>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</si>
  <si>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</si>
  <si>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</si>
  <si>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</si>
  <si>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</si>
  <si>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</si>
  <si>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</si>
  <si>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</si>
  <si>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</si>
  <si>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</si>
  <si>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</si>
  <si>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</si>
  <si>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</si>
  <si>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</si>
  <si>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</si>
  <si>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</si>
  <si>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</si>
  <si>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</si>
  <si>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</si>
  <si>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</si>
  <si>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</si>
  <si>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</si>
  <si>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</si>
  <si>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</si>
  <si>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</si>
  <si>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</si>
  <si>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</si>
  <si>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</si>
  <si>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</si>
  <si>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</si>
  <si>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</si>
  <si>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</si>
  <si>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</si>
  <si>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</si>
  <si>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</si>
  <si>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</si>
  <si>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</si>
  <si>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</si>
  <si>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</si>
  <si>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</si>
  <si>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</si>
  <si>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</si>
  <si>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</si>
  <si>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</si>
  <si>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</si>
  <si>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</si>
  <si>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</si>
  <si>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</si>
  <si>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</si>
  <si>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</si>
  <si>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</si>
  <si>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</si>
  <si>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</si>
  <si>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</si>
  <si>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</si>
  <si>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</si>
  <si>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</si>
  <si>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</si>
  <si>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</si>
  <si>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</si>
  <si>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</si>
  <si>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</si>
  <si>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</si>
  <si>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</si>
  <si>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</si>
  <si>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</si>
  <si>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</si>
  <si>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</si>
  <si>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</si>
  <si>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</si>
  <si>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</si>
  <si>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</si>
  <si>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</si>
  <si>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</si>
  <si>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</si>
  <si>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</si>
  <si>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</si>
  <si>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</si>
  <si>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</si>
  <si>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</si>
  <si>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</si>
  <si>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</si>
  <si>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</si>
  <si>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</si>
  <si>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</si>
  <si>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</si>
  <si>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</si>
  <si>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</si>
  <si>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</si>
  <si>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</si>
  <si>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</si>
  <si>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</si>
  <si>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</si>
  <si>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</si>
  <si>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</si>
  <si>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</si>
  <si>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</si>
  <si>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</si>
  <si>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</si>
  <si>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</si>
  <si>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</si>
  <si>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</si>
  <si>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</si>
  <si>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</si>
  <si>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</si>
  <si>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</si>
  <si>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</si>
  <si>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</si>
  <si>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</si>
  <si>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</si>
  <si>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</si>
  <si>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</si>
  <si>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</si>
  <si>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</si>
  <si>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</si>
  <si>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</si>
  <si>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</si>
  <si>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</si>
  <si>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</si>
  <si>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</si>
  <si>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</si>
  <si>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</si>
  <si>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</si>
  <si>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</si>
  <si>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</si>
  <si>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</si>
  <si>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</si>
  <si>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</si>
  <si>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</si>
  <si>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</si>
  <si>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</si>
  <si>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</si>
  <si>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</si>
  <si>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</si>
  <si>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</si>
  <si>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</si>
  <si>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</si>
  <si>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</si>
  <si>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</si>
  <si>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</si>
  <si>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</si>
  <si>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</si>
  <si>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</si>
  <si>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</si>
  <si>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</si>
  <si>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</si>
  <si>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</si>
  <si>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</si>
  <si>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</si>
  <si>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</si>
  <si>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</si>
  <si>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</si>
  <si>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</si>
  <si>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</si>
  <si>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</si>
  <si>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</si>
  <si>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</si>
  <si>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</si>
  <si>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</si>
  <si>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</si>
  <si>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</si>
  <si>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</si>
  <si>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</si>
  <si>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</si>
  <si>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</si>
  <si>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</si>
  <si>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</si>
  <si>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</si>
  <si>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</si>
  <si>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</si>
  <si>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</si>
  <si>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</si>
  <si>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</si>
  <si>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</si>
  <si>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</si>
  <si>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</si>
  <si>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</si>
  <si>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</si>
  <si>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</si>
  <si>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</si>
  <si>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</si>
  <si>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</si>
  <si>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</si>
  <si>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</si>
  <si>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</si>
  <si>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</si>
  <si>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</si>
  <si>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</si>
  <si>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</si>
  <si>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</si>
  <si>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</si>
  <si>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</si>
  <si>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</si>
  <si>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</si>
  <si>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</si>
  <si>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</si>
  <si>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</si>
  <si>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</si>
  <si>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</si>
  <si>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</si>
  <si>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</si>
  <si>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</si>
  <si>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</si>
  <si>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</si>
  <si>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</si>
  <si>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</si>
  <si>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</si>
  <si>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 xml:space="preserve">Jumper Wire : </t>
  </si>
  <si>
    <t>NFA2X-T 2 x 70 + N 50 mm²</t>
  </si>
  <si>
    <t>Sepatu Kabel AL/CU Ring-70 mm²</t>
  </si>
  <si>
    <t>Demak, 30Agustus 2023</t>
  </si>
  <si>
    <t>UNIT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</si>
  <si>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</si>
  <si>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</si>
  <si>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</si>
  <si>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</si>
  <si>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</si>
  <si>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</si>
  <si>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</si>
  <si>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B2</t>
  </si>
  <si>
    <t>NFA2X-T 3 x 70 + N 50 mm²</t>
  </si>
  <si>
    <t>G312-A</t>
  </si>
  <si>
    <t>CJ6-T</t>
  </si>
  <si>
    <t>BTG</t>
  </si>
  <si>
    <t>CM2-12</t>
  </si>
  <si>
    <t>CE1-2</t>
  </si>
  <si>
    <t>F1-2</t>
  </si>
  <si>
    <t>CM2-12A</t>
  </si>
  <si>
    <t>LVTC 3X70+70</t>
  </si>
  <si>
    <t>MTR</t>
  </si>
  <si>
    <t>LVTC 3X35+35</t>
  </si>
  <si>
    <t xml:space="preserve">-7.055776, 110.917840 </t>
  </si>
  <si>
    <t>PB AGUNG MULYANTO 16,5KVA</t>
  </si>
  <si>
    <t>G313 160KVA</t>
  </si>
  <si>
    <t>C12-200</t>
  </si>
  <si>
    <t>SR APP 16,5 KVA</t>
  </si>
  <si>
    <t>AGUNG MULYANTO</t>
  </si>
  <si>
    <t>DS JANGKUNGHARJO</t>
  </si>
  <si>
    <t>Trafo 3 Fasa 160 KVA 2 Tiang (G313)</t>
  </si>
  <si>
    <t>Daya 16.500 VA</t>
  </si>
  <si>
    <t>PWI05</t>
  </si>
  <si>
    <t>K2-579A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</si>
</sst>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6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9" fillId="0" borderId="0"/>
  </cellStyleXfs>
  <cellXfs count="727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43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5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4" xfId="2670" applyFont="1" applyFill="1" applyBorder="1" applyAlignment="1">
      <alignment horizontal="left" vertical="center"/>
    </xf>
    <xf numFmtId="0" fontId="155" fillId="39" borderId="70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7" xfId="2670" applyFont="1" applyFill="1" applyBorder="1" applyAlignment="1">
      <alignment horizontal="center" vertical="center"/>
    </xf>
    <xf numFmtId="167" fontId="137" fillId="40" borderId="73" xfId="2672" applyFont="1" applyFill="1" applyBorder="1" applyAlignment="1" applyProtection="1">
      <alignment horizontal="right" vertical="center" wrapText="1"/>
      <protection locked="0"/>
    </xf>
    <xf numFmtId="167" fontId="137" fillId="40" borderId="75" xfId="2672" applyFont="1" applyFill="1" applyBorder="1" applyAlignment="1" applyProtection="1">
      <alignment horizontal="right" vertical="center"/>
      <protection locked="0"/>
    </xf>
    <xf numFmtId="169" fontId="137" fillId="40" borderId="75" xfId="2672" applyNumberFormat="1" applyFont="1" applyFill="1" applyBorder="1" applyAlignment="1" applyProtection="1">
      <alignment horizontal="right" vertical="center"/>
      <protection locked="0"/>
    </xf>
    <xf numFmtId="169" fontId="137" fillId="40" borderId="78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1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3" fillId="35" borderId="82" xfId="2673" applyFont="1" applyFill="1" applyBorder="1" applyAlignment="1">
      <alignment vertical="center" wrapText="1"/>
    </xf>
    <xf numFmtId="0" fontId="143" fillId="43" borderId="82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86" xfId="2673" applyFont="1" applyFill="1" applyBorder="1" applyAlignment="1">
      <alignment vertical="center" wrapText="1"/>
    </xf>
    <xf numFmtId="0" fontId="104" fillId="0" borderId="63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8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52" fillId="0" borderId="21" xfId="1615" applyFont="1" applyBorder="1" applyAlignment="1">
      <alignment horizontal="center" vertical="center"/>
    </xf>
    <xf numFmtId="0" fontId="145" fillId="0" borderId="20" xfId="1615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9" fontId="117" fillId="33" borderId="0" xfId="2542" applyFont="1" applyFill="1" applyAlignment="1">
      <alignment horizontal="center"/>
    </xf>
    <xf numFmtId="9" fontId="113" fillId="33" borderId="0" xfId="2542" applyFont="1" applyFill="1" applyBorder="1" applyAlignment="1">
      <alignment horizontal="center" vertical="center"/>
    </xf>
    <xf numFmtId="0" fontId="118" fillId="0" borderId="0" xfId="1451" applyFont="1"/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37" xfId="1451" applyFont="1" applyBorder="1"/>
    <xf numFmtId="0" fontId="118" fillId="0" borderId="28" xfId="1451" applyFont="1" applyBorder="1"/>
    <xf numFmtId="0" fontId="119" fillId="0" borderId="0" xfId="1451" applyFont="1" applyAlignment="1">
      <alignment vertical="center"/>
    </xf>
    <xf numFmtId="0" fontId="170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4" fillId="0" borderId="0" xfId="1451" applyFont="1" applyAlignment="1">
      <alignment vertical="center"/>
    </xf>
    <xf numFmtId="0" fontId="114" fillId="0" borderId="37" xfId="1451" applyFont="1" applyBorder="1" applyAlignment="1">
      <alignment vertical="center"/>
    </xf>
    <xf numFmtId="0" fontId="123" fillId="0" borderId="0" xfId="1451" applyFont="1" applyAlignment="1">
      <alignment horizontal="center"/>
    </xf>
    <xf numFmtId="0" fontId="114" fillId="0" borderId="0" xfId="1451" applyFont="1" applyAlignment="1">
      <alignment horizontal="center" vertical="center"/>
    </xf>
    <xf numFmtId="0" fontId="114" fillId="0" borderId="37" xfId="1451" applyFont="1" applyBorder="1" applyAlignment="1">
      <alignment horizontal="center" vertical="center"/>
    </xf>
    <xf numFmtId="0" fontId="118" fillId="0" borderId="34" xfId="1451" applyFont="1" applyBorder="1"/>
    <xf numFmtId="0" fontId="118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118" fillId="0" borderId="31" xfId="1451" applyFont="1" applyBorder="1"/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12" fillId="0" borderId="20" xfId="1652" applyFont="1" applyBorder="1" applyAlignment="1">
      <alignment horizontal="center" vertical="center"/>
    </xf>
    <xf numFmtId="0" fontId="8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0" fontId="151" fillId="0" borderId="21" xfId="1652" applyFont="1" applyBorder="1" applyAlignment="1">
      <alignment horizontal="center" vertical="center"/>
    </xf>
    <xf numFmtId="0" fontId="147" fillId="48" borderId="21" xfId="1653" applyFont="1" applyFill="1" applyBorder="1" applyAlignment="1">
      <alignment vertical="center" wrapText="1"/>
    </xf>
    <xf numFmtId="0" fontId="42" fillId="48" borderId="21" xfId="1451" applyFont="1" applyFill="1" applyBorder="1" applyAlignment="1">
      <alignment horizontal="left" vertical="center" wrapText="1"/>
    </xf>
    <xf numFmtId="0" fontId="118" fillId="33" borderId="0" xfId="1451" applyFont="1" applyFill="1" applyAlignment="1">
      <alignment horizontal="center" vertical="center"/>
    </xf>
    <xf numFmtId="0" fontId="118" fillId="33" borderId="0" xfId="1451" applyFont="1" applyFill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42" fillId="0" borderId="21" xfId="0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left" vertical="center" wrapText="1"/>
    </xf>
    <xf numFmtId="0" fontId="113" fillId="33" borderId="0" xfId="2677" applyFont="1" applyFill="1" applyAlignment="1">
      <alignment horizontal="center"/>
    </xf>
    <xf numFmtId="0" fontId="113" fillId="33" borderId="26" xfId="2677" applyFont="1" applyFill="1" applyBorder="1" applyAlignment="1">
      <alignment horizontal="center"/>
    </xf>
    <xf numFmtId="0" fontId="113" fillId="33" borderId="36" xfId="2677" applyFont="1" applyFill="1" applyBorder="1" applyAlignment="1">
      <alignment horizontal="center"/>
    </xf>
    <xf numFmtId="0" fontId="113" fillId="33" borderId="28" xfId="2677" applyFont="1" applyFill="1" applyBorder="1" applyAlignment="1">
      <alignment horizontal="center"/>
    </xf>
    <xf numFmtId="0" fontId="113" fillId="33" borderId="0" xfId="2677" quotePrefix="1" applyFont="1" applyFill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3" fillId="33" borderId="37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33" fillId="33" borderId="0" xfId="2677" applyFont="1" applyFill="1" applyAlignment="1">
      <alignment horizontal="center"/>
    </xf>
    <xf numFmtId="0" fontId="115" fillId="33" borderId="28" xfId="2677" applyFont="1" applyFill="1" applyBorder="1" applyAlignment="1">
      <alignment horizontal="center"/>
    </xf>
    <xf numFmtId="0" fontId="115" fillId="33" borderId="0" xfId="2677" applyFont="1" applyFill="1" applyAlignment="1">
      <alignment horizontal="center"/>
    </xf>
    <xf numFmtId="0" fontId="113" fillId="33" borderId="38" xfId="2677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14" fillId="33" borderId="0" xfId="2677" applyFont="1" applyFill="1" applyAlignment="1">
      <alignment horizontal="center"/>
    </xf>
    <xf numFmtId="0" fontId="90" fillId="33" borderId="40" xfId="2677" applyFont="1" applyFill="1" applyBorder="1" applyAlignment="1">
      <alignment horizontal="center" vertical="center"/>
    </xf>
    <xf numFmtId="0" fontId="90" fillId="33" borderId="47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 vertical="center"/>
    </xf>
    <xf numFmtId="0" fontId="113" fillId="33" borderId="39" xfId="2677" applyFont="1" applyFill="1" applyBorder="1" applyAlignment="1">
      <alignment horizontal="center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116" fillId="33" borderId="0" xfId="2677" applyFont="1" applyFill="1" applyAlignment="1">
      <alignment horizontal="center"/>
    </xf>
    <xf numFmtId="0" fontId="90" fillId="33" borderId="69" xfId="2677" applyFont="1" applyFill="1" applyBorder="1" applyAlignment="1">
      <alignment horizontal="left" vertical="center"/>
    </xf>
    <xf numFmtId="0" fontId="113" fillId="33" borderId="39" xfId="2677" applyFont="1" applyFill="1" applyBorder="1" applyAlignment="1">
      <alignment horizontal="center" vertical="top" wrapText="1"/>
    </xf>
    <xf numFmtId="0" fontId="171" fillId="33" borderId="59" xfId="2677" applyFont="1" applyFill="1" applyBorder="1" applyAlignment="1">
      <alignment horizontal="left" vertical="center"/>
    </xf>
    <xf numFmtId="0" fontId="171" fillId="33" borderId="69" xfId="2677" applyFont="1" applyFill="1" applyBorder="1" applyAlignment="1">
      <alignment horizontal="left" vertical="center"/>
    </xf>
    <xf numFmtId="0" fontId="90" fillId="33" borderId="98" xfId="2677" applyFont="1" applyFill="1" applyBorder="1" applyAlignment="1">
      <alignment horizontal="center" vertical="center"/>
    </xf>
    <xf numFmtId="0" fontId="171" fillId="33" borderId="101" xfId="2677" applyFont="1" applyFill="1" applyBorder="1" applyAlignment="1">
      <alignment horizontal="left" vertical="center"/>
    </xf>
    <xf numFmtId="0" fontId="171" fillId="33" borderId="100" xfId="2677" applyFont="1" applyFill="1" applyBorder="1" applyAlignment="1">
      <alignment horizontal="left" vertical="center"/>
    </xf>
    <xf numFmtId="0" fontId="171" fillId="33" borderId="99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" xfId="2677" applyFont="1" applyFill="1" applyBorder="1" applyAlignment="1">
      <alignment vertical="top" wrapText="1"/>
    </xf>
    <xf numFmtId="0" fontId="113" fillId="33" borderId="39" xfId="2677" applyFont="1" applyFill="1" applyBorder="1" applyAlignment="1">
      <alignment vertical="top" wrapText="1"/>
    </xf>
    <xf numFmtId="0" fontId="117" fillId="33" borderId="95" xfId="2677" applyFont="1" applyFill="1" applyBorder="1" applyAlignment="1">
      <alignment horizontal="center" vertical="top" wrapText="1"/>
    </xf>
    <xf numFmtId="0" fontId="117" fillId="33" borderId="94" xfId="2677" applyFont="1" applyFill="1" applyBorder="1" applyAlignment="1">
      <alignment horizontal="center" vertical="top" wrapText="1"/>
    </xf>
    <xf numFmtId="0" fontId="113" fillId="33" borderId="42" xfId="2677" applyFont="1" applyFill="1" applyBorder="1" applyAlignment="1">
      <alignment horizontal="center"/>
    </xf>
    <xf numFmtId="0" fontId="117" fillId="33" borderId="28" xfId="2677" applyFont="1" applyFill="1" applyBorder="1" applyAlignment="1">
      <alignment horizontal="center"/>
    </xf>
    <xf numFmtId="0" fontId="117" fillId="33" borderId="0" xfId="2677" applyFont="1" applyFill="1" applyAlignment="1">
      <alignment horizontal="center"/>
    </xf>
    <xf numFmtId="20" fontId="113" fillId="33" borderId="39" xfId="2677" applyNumberFormat="1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42" xfId="2677" applyFont="1" applyFill="1" applyBorder="1" applyAlignment="1">
      <alignment horizontal="center" vertical="center" wrapText="1"/>
    </xf>
    <xf numFmtId="0" fontId="113" fillId="33" borderId="0" xfId="2677" applyFont="1" applyFill="1" applyAlignment="1">
      <alignment horizontal="center" vertical="center"/>
    </xf>
    <xf numFmtId="0" fontId="117" fillId="33" borderId="0" xfId="2677" applyFont="1" applyFill="1" applyAlignment="1">
      <alignment horizontal="center" vertical="center"/>
    </xf>
    <xf numFmtId="0" fontId="117" fillId="33" borderId="34" xfId="2677" applyFont="1" applyFill="1" applyBorder="1" applyAlignment="1">
      <alignment horizontal="center"/>
    </xf>
    <xf numFmtId="0" fontId="117" fillId="33" borderId="19" xfId="2677" applyFont="1" applyFill="1" applyBorder="1" applyAlignment="1">
      <alignment horizontal="center"/>
    </xf>
    <xf numFmtId="0" fontId="113" fillId="33" borderId="19" xfId="2677" applyFont="1" applyFill="1" applyBorder="1" applyAlignment="1">
      <alignment horizontal="center"/>
    </xf>
    <xf numFmtId="0" fontId="113" fillId="33" borderId="46" xfId="2677" applyFont="1" applyFill="1" applyBorder="1" applyAlignment="1">
      <alignment horizont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42" fillId="0" borderId="21" xfId="1450" applyFont="1" applyBorder="1" applyAlignment="1">
      <alignment vertical="center" wrapText="1"/>
    </xf>
    <xf numFmtId="0" fontId="2" fillId="0" borderId="21" xfId="1652" applyFont="1" applyBorder="1" applyAlignment="1">
      <alignment horizontal="center" vertical="center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5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50" fillId="0" borderId="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158" fillId="42" borderId="79" xfId="2673" applyFont="1" applyFill="1" applyBorder="1" applyAlignment="1">
      <alignment horizontal="center" vertical="center" wrapText="1"/>
    </xf>
    <xf numFmtId="0" fontId="158" fillId="42" borderId="80" xfId="2673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43" borderId="61" xfId="2673" applyNumberFormat="1" applyFont="1" applyFill="1" applyBorder="1" applyAlignment="1">
      <alignment horizontal="center" vertical="center" wrapText="1"/>
    </xf>
    <xf numFmtId="2" fontId="131" fillId="43" borderId="83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9" fontId="131" fillId="35" borderId="63" xfId="2675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6" fillId="0" borderId="84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5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1" xfId="2673" applyNumberFormat="1" applyFont="1" applyFill="1" applyBorder="1" applyAlignment="1">
      <alignment horizontal="center" vertical="center" wrapText="1"/>
    </xf>
    <xf numFmtId="2" fontId="131" fillId="35" borderId="83" xfId="2673" applyNumberFormat="1" applyFont="1" applyFill="1" applyBorder="1" applyAlignment="1">
      <alignment horizontal="center" vertical="center" wrapText="1"/>
    </xf>
    <xf numFmtId="0" fontId="158" fillId="41" borderId="79" xfId="2673" applyFont="1" applyFill="1" applyBorder="1" applyAlignment="1">
      <alignment horizontal="center" vertical="center" wrapText="1"/>
    </xf>
    <xf numFmtId="0" fontId="158" fillId="41" borderId="80" xfId="2673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3" xfId="2675" applyFont="1" applyFill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0" fontId="7" fillId="34" borderId="67" xfId="2670" applyFill="1" applyBorder="1" applyAlignment="1">
      <alignment horizontal="center" vertical="center"/>
    </xf>
    <xf numFmtId="0" fontId="135" fillId="0" borderId="68" xfId="2670" applyFont="1" applyBorder="1" applyAlignment="1">
      <alignment horizontal="left" vertical="center"/>
    </xf>
    <xf numFmtId="0" fontId="110" fillId="38" borderId="3" xfId="1538" applyFill="1" applyBorder="1" applyAlignment="1">
      <alignment horizontal="center" vertical="center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 wrapText="1"/>
    </xf>
    <xf numFmtId="0" fontId="50" fillId="0" borderId="44" xfId="1538" applyFont="1" applyBorder="1" applyAlignment="1">
      <alignment horizontal="left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9" fillId="0" borderId="0" xfId="1614" quotePrefix="1" applyFont="1" applyAlignment="1">
      <alignment horizontal="left" vertical="top" wrapText="1"/>
    </xf>
    <xf numFmtId="0" fontId="149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51" fillId="35" borderId="3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28" fillId="35" borderId="55" xfId="2677" applyFont="1" applyFill="1" applyBorder="1" applyAlignment="1">
      <alignment horizontal="center" vertical="center"/>
    </xf>
    <xf numFmtId="0" fontId="128" fillId="35" borderId="36" xfId="2677" applyFont="1" applyFill="1" applyBorder="1" applyAlignment="1">
      <alignment horizontal="center" vertical="center"/>
    </xf>
    <xf numFmtId="0" fontId="128" fillId="35" borderId="48" xfId="2677" applyFont="1" applyFill="1" applyBorder="1" applyAlignment="1">
      <alignment horizontal="center" vertical="center"/>
    </xf>
    <xf numFmtId="0" fontId="128" fillId="35" borderId="43" xfId="2677" applyFont="1" applyFill="1" applyBorder="1" applyAlignment="1">
      <alignment horizontal="center" vertical="center"/>
    </xf>
    <xf numFmtId="0" fontId="128" fillId="35" borderId="44" xfId="2677" applyFont="1" applyFill="1" applyBorder="1" applyAlignment="1">
      <alignment horizontal="center" vertical="center"/>
    </xf>
    <xf numFmtId="0" fontId="128" fillId="35" borderId="45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49" fontId="90" fillId="33" borderId="102" xfId="2677" applyNumberFormat="1" applyFont="1" applyFill="1" applyBorder="1" applyAlignment="1">
      <alignment horizontal="left" vertical="center"/>
    </xf>
    <xf numFmtId="49" fontId="90" fillId="33" borderId="40" xfId="2677" applyNumberFormat="1" applyFont="1" applyFill="1" applyBorder="1" applyAlignment="1">
      <alignment horizontal="left" vertical="center"/>
    </xf>
    <xf numFmtId="49" fontId="172" fillId="33" borderId="102" xfId="2677" applyNumberFormat="1" applyFont="1" applyFill="1" applyBorder="1" applyAlignment="1">
      <alignment horizontal="left" vertical="center"/>
    </xf>
    <xf numFmtId="49" fontId="172" fillId="33" borderId="40" xfId="2677" applyNumberFormat="1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horizontal="left" vertical="center"/>
    </xf>
    <xf numFmtId="49" fontId="113" fillId="33" borderId="41" xfId="2677" applyNumberFormat="1" applyFont="1" applyFill="1" applyBorder="1" applyAlignment="1">
      <alignment horizontal="left" vertical="center"/>
    </xf>
    <xf numFmtId="0" fontId="172" fillId="33" borderId="59" xfId="2677" applyFont="1" applyFill="1" applyBorder="1" applyAlignment="1">
      <alignment horizontal="left" vertical="center"/>
    </xf>
    <xf numFmtId="0" fontId="172" fillId="33" borderId="60" xfId="2677" applyFont="1" applyFill="1" applyBorder="1" applyAlignment="1">
      <alignment horizontal="left" vertical="center"/>
    </xf>
    <xf numFmtId="0" fontId="113" fillId="33" borderId="56" xfId="2677" applyFont="1" applyFill="1" applyBorder="1" applyAlignment="1">
      <alignment horizontal="center"/>
    </xf>
    <xf numFmtId="0" fontId="113" fillId="33" borderId="57" xfId="2677" applyFont="1" applyFill="1" applyBorder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4" fillId="33" borderId="0" xfId="2677" applyFont="1" applyFill="1" applyAlignment="1">
      <alignment horizontal="left"/>
    </xf>
    <xf numFmtId="0" fontId="114" fillId="33" borderId="37" xfId="2677" applyFont="1" applyFill="1" applyBorder="1" applyAlignment="1">
      <alignment horizontal="left"/>
    </xf>
    <xf numFmtId="0" fontId="129" fillId="33" borderId="50" xfId="2677" applyFont="1" applyFill="1" applyBorder="1" applyAlignment="1">
      <alignment horizontal="center" vertical="center"/>
    </xf>
    <xf numFmtId="0" fontId="129" fillId="33" borderId="7" xfId="2677" applyFont="1" applyFill="1" applyBorder="1" applyAlignment="1">
      <alignment horizontal="center" vertical="center"/>
    </xf>
    <xf numFmtId="0" fontId="129" fillId="33" borderId="41" xfId="2677" applyFont="1" applyFill="1" applyBorder="1" applyAlignment="1">
      <alignment horizontal="center" vertical="center"/>
    </xf>
    <xf numFmtId="0" fontId="114" fillId="33" borderId="50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center"/>
    </xf>
    <xf numFmtId="0" fontId="114" fillId="33" borderId="58" xfId="2677" applyFont="1" applyFill="1" applyBorder="1" applyAlignment="1">
      <alignment horizontal="center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vertical="center"/>
    </xf>
    <xf numFmtId="49" fontId="113" fillId="33" borderId="41" xfId="2677" applyNumberFormat="1" applyFont="1" applyFill="1" applyBorder="1" applyAlignment="1">
      <alignment vertical="center"/>
    </xf>
    <xf numFmtId="49" fontId="113" fillId="33" borderId="50" xfId="2677" applyNumberFormat="1" applyFont="1" applyFill="1" applyBorder="1" applyAlignment="1">
      <alignment vertical="top" wrapText="1"/>
    </xf>
    <xf numFmtId="49" fontId="113" fillId="33" borderId="41" xfId="2677" applyNumberFormat="1" applyFont="1" applyFill="1" applyBorder="1" applyAlignment="1">
      <alignment vertical="top" wrapText="1"/>
    </xf>
    <xf numFmtId="0" fontId="113" fillId="33" borderId="7" xfId="2677" applyFont="1" applyFill="1" applyBorder="1" applyAlignment="1">
      <alignment horizontal="center"/>
    </xf>
    <xf numFmtId="0" fontId="113" fillId="33" borderId="41" xfId="2677" applyFont="1" applyFill="1" applyBorder="1" applyAlignment="1">
      <alignment horizontal="center"/>
    </xf>
    <xf numFmtId="15" fontId="113" fillId="33" borderId="3" xfId="2677" applyNumberFormat="1" applyFont="1" applyFill="1" applyBorder="1" applyAlignment="1">
      <alignment horizontal="center"/>
    </xf>
    <xf numFmtId="0" fontId="113" fillId="33" borderId="7" xfId="2677" applyFont="1" applyFill="1" applyBorder="1" applyAlignment="1">
      <alignment vertical="top" wrapText="1"/>
    </xf>
    <xf numFmtId="0" fontId="113" fillId="33" borderId="41" xfId="2677" applyFont="1" applyFill="1" applyBorder="1" applyAlignment="1">
      <alignment vertical="top" wrapText="1"/>
    </xf>
    <xf numFmtId="0" fontId="117" fillId="33" borderId="97" xfId="2677" applyFont="1" applyFill="1" applyBorder="1" applyAlignment="1">
      <alignment horizontal="center" vertical="center" wrapText="1"/>
    </xf>
    <xf numFmtId="0" fontId="117" fillId="33" borderId="96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4" fillId="33" borderId="38" xfId="2677" applyFont="1" applyFill="1" applyBorder="1" applyAlignment="1">
      <alignment horizontal="left" vertical="top" wrapText="1"/>
    </xf>
    <xf numFmtId="0" fontId="114" fillId="33" borderId="56" xfId="2677" applyFont="1" applyFill="1" applyBorder="1" applyAlignment="1">
      <alignment horizontal="left" vertical="top" wrapText="1"/>
    </xf>
    <xf numFmtId="0" fontId="114" fillId="33" borderId="57" xfId="2677" applyFont="1" applyFill="1" applyBorder="1" applyAlignment="1">
      <alignment horizontal="left" vertical="top" wrapText="1"/>
    </xf>
    <xf numFmtId="0" fontId="114" fillId="33" borderId="43" xfId="2677" applyFont="1" applyFill="1" applyBorder="1" applyAlignment="1">
      <alignment horizontal="left" vertical="top" wrapText="1"/>
    </xf>
    <xf numFmtId="0" fontId="114" fillId="33" borderId="44" xfId="2677" applyFont="1" applyFill="1" applyBorder="1" applyAlignment="1">
      <alignment horizontal="left" vertical="top" wrapText="1"/>
    </xf>
    <xf numFmtId="0" fontId="114" fillId="33" borderId="45" xfId="2677" applyFont="1" applyFill="1" applyBorder="1" applyAlignment="1">
      <alignment horizontal="left" vertical="top" wrapText="1"/>
    </xf>
    <xf numFmtId="0" fontId="113" fillId="33" borderId="50" xfId="2677" applyFont="1" applyFill="1" applyBorder="1" applyAlignment="1">
      <alignment horizontal="center"/>
    </xf>
    <xf numFmtId="0" fontId="113" fillId="33" borderId="87" xfId="2677" applyFont="1" applyFill="1" applyBorder="1" applyAlignment="1">
      <alignment horizontal="center"/>
    </xf>
    <xf numFmtId="0" fontId="113" fillId="33" borderId="62" xfId="2677" applyFont="1" applyFill="1" applyBorder="1" applyAlignment="1">
      <alignment horizontal="center"/>
    </xf>
    <xf numFmtId="0" fontId="113" fillId="33" borderId="63" xfId="2677" applyFont="1" applyFill="1" applyBorder="1" applyAlignment="1">
      <alignment horizontal="center"/>
    </xf>
    <xf numFmtId="0" fontId="113" fillId="33" borderId="64" xfId="2677" applyFont="1" applyFill="1" applyBorder="1" applyAlignment="1">
      <alignment horizontal="center"/>
    </xf>
    <xf numFmtId="0" fontId="113" fillId="33" borderId="56" xfId="2677" applyFont="1" applyFill="1" applyBorder="1" applyAlignment="1">
      <alignment horizontal="center" vertical="center"/>
    </xf>
    <xf numFmtId="0" fontId="113" fillId="33" borderId="57" xfId="2677" applyFont="1" applyFill="1" applyBorder="1" applyAlignment="1">
      <alignment horizontal="center" vertical="center"/>
    </xf>
    <xf numFmtId="0" fontId="118" fillId="33" borderId="0" xfId="2677" applyFont="1" applyFill="1" applyAlignment="1">
      <alignment horizontal="center" vertical="center" wrapText="1"/>
    </xf>
    <xf numFmtId="0" fontId="118" fillId="33" borderId="37" xfId="2677" applyFont="1" applyFill="1" applyBorder="1" applyAlignment="1">
      <alignment horizontal="center" vertical="center" wrapText="1"/>
    </xf>
    <xf numFmtId="0" fontId="118" fillId="33" borderId="44" xfId="2677" applyFont="1" applyFill="1" applyBorder="1" applyAlignment="1">
      <alignment horizontal="center" vertical="center" wrapText="1"/>
    </xf>
    <xf numFmtId="0" fontId="118" fillId="33" borderId="45" xfId="2677" applyFont="1" applyFill="1" applyBorder="1" applyAlignment="1">
      <alignment horizontal="center" vertical="center" wrapText="1"/>
    </xf>
    <xf numFmtId="0" fontId="169" fillId="0" borderId="88" xfId="1451" applyFont="1" applyBorder="1" applyAlignment="1">
      <alignment horizontal="center" vertical="center"/>
    </xf>
    <xf numFmtId="0" fontId="169" fillId="0" borderId="89" xfId="1451" applyFont="1" applyBorder="1" applyAlignment="1">
      <alignment horizontal="center" vertical="center"/>
    </xf>
    <xf numFmtId="0" fontId="169" fillId="0" borderId="90" xfId="1451" applyFont="1" applyBorder="1" applyAlignment="1">
      <alignment horizontal="center" vertical="center"/>
    </xf>
    <xf numFmtId="0" fontId="169" fillId="0" borderId="91" xfId="1451" applyFont="1" applyBorder="1" applyAlignment="1">
      <alignment horizontal="center" vertical="center"/>
    </xf>
    <xf numFmtId="0" fontId="169" fillId="0" borderId="92" xfId="1451" applyFont="1" applyBorder="1" applyAlignment="1">
      <alignment horizontal="center" vertical="center"/>
    </xf>
    <xf numFmtId="0" fontId="169" fillId="0" borderId="93" xfId="1451" applyFont="1" applyBorder="1" applyAlignment="1">
      <alignment horizontal="center" vertical="center"/>
    </xf>
    <xf numFmtId="0" fontId="120" fillId="33" borderId="88" xfId="1451" applyFont="1" applyFill="1" applyBorder="1" applyAlignment="1">
      <alignment horizontal="center" vertical="center"/>
    </xf>
    <xf numFmtId="0" fontId="120" fillId="33" borderId="89" xfId="1451" applyFont="1" applyFill="1" applyBorder="1" applyAlignment="1">
      <alignment horizontal="center" vertical="center"/>
    </xf>
    <xf numFmtId="0" fontId="120" fillId="33" borderId="90" xfId="1451" applyFont="1" applyFill="1" applyBorder="1" applyAlignment="1">
      <alignment horizontal="center" vertical="center"/>
    </xf>
    <xf numFmtId="0" fontId="120" fillId="33" borderId="91" xfId="1451" applyFont="1" applyFill="1" applyBorder="1" applyAlignment="1">
      <alignment horizontal="center" vertical="center"/>
    </xf>
    <xf numFmtId="0" fontId="120" fillId="33" borderId="92" xfId="1451" applyFont="1" applyFill="1" applyBorder="1" applyAlignment="1">
      <alignment horizontal="center" vertical="center"/>
    </xf>
    <xf numFmtId="0" fontId="120" fillId="33" borderId="93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0.10312500000000001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1.2900314414772995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28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29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63CF744-331F-478B-ABEB-8539A1EE0325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F12DA9B-67ED-4E34-B07F-D6C332F8B07F}"/>
            </a:ext>
          </a:extLst>
        </xdr:cNvPr>
        <xdr:cNvGrpSpPr/>
      </xdr:nvGrpSpPr>
      <xdr:grpSpPr>
        <a:xfrm>
          <a:off x="9880397" y="802340"/>
          <a:ext cx="72053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DEE2775-27FB-780C-A460-7C42D4DA969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86CE572D-7BCE-228C-BF11-B00EAEB54E3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38B6B6B-F00B-AB5A-7C65-42355D45A587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A66DB47-B566-4E49-9E15-F9CC00B58342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A3D672AC-4E82-4088-A8ED-705F2A6C22D9}"/>
            </a:ext>
          </a:extLst>
        </xdr:cNvPr>
        <xdr:cNvGrpSpPr/>
      </xdr:nvGrpSpPr>
      <xdr:grpSpPr>
        <a:xfrm>
          <a:off x="10633388" y="805172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D1B65DC1-30D9-43A3-5F46-693DAE5A8B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8AE8947-4A40-6EBD-ACF4-9FAF5E061BBE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4AE2DA8-91C7-CAF3-DEB1-5AE3F53D7FB4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D5DDF5F-97AD-4CDB-9A6E-DB20F8265665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806F7E5-E2BA-4833-9FFA-B8D82095C67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6F433B0-DBD5-40E1-8CD8-7957176DC0D4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DCB93B9-3E77-4763-A015-7DEEA759F332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749B4A1-F840-4676-A5D5-F29B867623FF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CCBE085-2BFB-4145-A7DE-B797BFC5B19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B2F6601-2554-4278-9CBE-006D92BEA60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5FD85E7-C3CF-44D6-85AA-16A4F6A84A0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B546039-DF56-45AD-A93E-2985E349C0F5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F655240B-34A7-4883-8E5D-019B4744585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0685941-0759-4E80-9109-3E554891265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80C4FC9-9C60-4E6C-840D-27E4215A3B5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4043EB0B-456D-4955-A8BC-8D204CF6C8DA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492F261-1175-4ED5-A140-14C9E1662330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1E41D18-DAF2-4D68-AE9D-F8EC7F16D09F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C98A8414-3E16-4775-8F26-B60E78A3DE9A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DE37E98-DCCD-4B65-85ED-EDD822B92899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492C0D5-3C9E-4FB5-A252-FC14FB2325AE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C434DCC-C954-40F0-9112-C89908834603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B9FE43B-F5F8-4307-8E55-B864EE16D6E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EAB92BE-2269-4B6B-8C23-3D1B901B29C1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EA77A68-F61E-42BB-8523-EC5EE72C93F1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D847377-2E27-45EC-B2C5-8346AA18C2F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BA76F02-134A-4553-A168-18E15AE7DC6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3256AE83-10A8-48C4-B4C9-E6EB0F8B6EB0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EBBF39A7-E81A-4D2C-85EE-6FA5D02B31A3}"/>
            </a:ext>
          </a:extLst>
        </xdr:cNvPr>
        <xdr:cNvGrpSpPr/>
      </xdr:nvGrpSpPr>
      <xdr:grpSpPr>
        <a:xfrm>
          <a:off x="9802480" y="1990841"/>
          <a:ext cx="190391" cy="116315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7D4EF0C-9AF9-59F7-BBE0-746AF219602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77DE1BD3-632C-CD35-29DE-B10C0E4FC81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FF055DD2-1272-4377-9985-2DFEFF4A73C7}"/>
            </a:ext>
          </a:extLst>
        </xdr:cNvPr>
        <xdr:cNvGrpSpPr/>
      </xdr:nvGrpSpPr>
      <xdr:grpSpPr>
        <a:xfrm>
          <a:off x="10588489" y="1991424"/>
          <a:ext cx="198434" cy="116314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F646FFFA-28C8-E2BF-1F1D-31365AA3CF5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7AD0899B-4DA6-AAAE-7B76-76DBA2925F0A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7308D1EB-143D-4D28-8AB5-AC27C027D702}"/>
            </a:ext>
          </a:extLst>
        </xdr:cNvPr>
        <xdr:cNvGrpSpPr/>
      </xdr:nvGrpSpPr>
      <xdr:grpSpPr>
        <a:xfrm>
          <a:off x="9737550" y="2155022"/>
          <a:ext cx="314406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E1F94E1-F523-3714-A194-06F1A3DD75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1685CF44-A3DF-A5DB-85B9-4971B3163D9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17E3A61-AF4A-EBF3-D1E8-F5B07B16767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3B668C58-FDDD-87C2-B484-8EFC1FA9E58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16CE1254-755E-48F4-AB7C-A1B57F334BD6}"/>
            </a:ext>
          </a:extLst>
        </xdr:cNvPr>
        <xdr:cNvGrpSpPr/>
      </xdr:nvGrpSpPr>
      <xdr:grpSpPr>
        <a:xfrm>
          <a:off x="10519241" y="2155022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CF650B4A-D5A9-B43F-90CF-D993E21BDF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ECFF2348-F038-16BB-0143-13392A2DF56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F1B6ED2D-0911-44BA-8A47-605DA6C0631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2684A1B-2C20-66DD-169A-C0EA8E959EE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125F9E7B-B842-4FA5-88AB-05EDCFFBFF23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EE8F734-3E22-4FE0-92CB-2632D2305372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78363B8-82D5-4758-A0D4-8D67474043FE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B257268-F1ED-4612-8F90-BF05B6442A04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102D3213-E6EB-4A47-B5EF-DA61B36050D7}"/>
            </a:ext>
          </a:extLst>
        </xdr:cNvPr>
        <xdr:cNvGrpSpPr/>
      </xdr:nvGrpSpPr>
      <xdr:grpSpPr>
        <a:xfrm>
          <a:off x="9856099" y="1856727"/>
          <a:ext cx="110650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16824-19C8-00CE-15EF-2704A84CA9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7D83500C-1006-3ADD-DA34-C8E22822C89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7582DEC6-25CE-0DFC-12CE-52939F19A03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9C1072F1-7624-4CF9-BBF3-2E012F8F300C}"/>
            </a:ext>
          </a:extLst>
        </xdr:cNvPr>
        <xdr:cNvGrpSpPr/>
      </xdr:nvGrpSpPr>
      <xdr:grpSpPr>
        <a:xfrm>
          <a:off x="10623264" y="1857433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82F07EA5-D7DA-F2F2-0EE3-94523EB7C97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FD0A295-BCDD-4F33-2CCA-41E91B6E9DB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DA7AE1FF-8EB8-65DE-B741-60E093D6C6B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B93C3290-3D12-40E0-ABE1-736D544A2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93663DC2-25EC-4E0E-8FE8-CC318D1E03F5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43ABDF3-82D6-4917-9A1D-8B47508BEAA2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9338F22-F834-48B6-81F2-381A1CF10537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FF8A146-B9B8-4317-B736-FDCD5B2B194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2296543-5B94-4733-9134-55229C5CDECB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2E38087-442C-420E-A41D-F9DD452C1E5E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B6BC3E79-A6CB-476F-889D-4AB982F260DB}"/>
            </a:ext>
          </a:extLst>
        </xdr:cNvPr>
        <xdr:cNvGrpSpPr/>
      </xdr:nvGrpSpPr>
      <xdr:grpSpPr>
        <a:xfrm rot="21429191">
          <a:off x="7133538" y="8732563"/>
          <a:ext cx="83822" cy="78638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FDA0321-74D4-FAD6-2FD0-0018810FEB1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D4AFA23-C52D-8194-8A51-43998E1BE9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695F8473-3FB3-C323-3616-E5261F00A38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4D481D6F-22B4-4F0A-A8A9-6EAC34F5352C}"/>
            </a:ext>
          </a:extLst>
        </xdr:cNvPr>
        <xdr:cNvGrpSpPr/>
      </xdr:nvGrpSpPr>
      <xdr:grpSpPr>
        <a:xfrm>
          <a:off x="12689658" y="2242427"/>
          <a:ext cx="107252" cy="60954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31D1B2A-1183-F407-B1CB-FBABAC2C6CD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FE99D3B6-5E3C-C633-48C2-16399BB6E19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25512F89-64DB-27EC-67CA-8DCD285E8C6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B88C3670-48D4-455D-88C7-DD2D1C6C500D}"/>
            </a:ext>
          </a:extLst>
        </xdr:cNvPr>
        <xdr:cNvGrpSpPr/>
      </xdr:nvGrpSpPr>
      <xdr:grpSpPr>
        <a:xfrm>
          <a:off x="12646130" y="2383160"/>
          <a:ext cx="139135" cy="62525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7F30983-D492-9D11-4B79-E867A5265C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B4C4B35B-516D-BEBA-35D8-ED370D8C0C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AF5780C1-E985-0B98-BB54-C8B327185A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0159F0E-2F92-C8D6-FBD5-08572783BDB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7ED481BD-DEA4-4CCF-A35B-5180C661855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C15F1A4D-3D60-47CE-AEDB-0FD9A21C085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CD804BC7-23FC-4ADF-94AC-EABF0F76094A}"/>
            </a:ext>
          </a:extLst>
        </xdr:cNvPr>
        <xdr:cNvGrpSpPr/>
      </xdr:nvGrpSpPr>
      <xdr:grpSpPr>
        <a:xfrm>
          <a:off x="11851837" y="2815494"/>
          <a:ext cx="206054" cy="116316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5AA1CC03-7DFB-F23A-4EAD-E169125BB0F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BA09AF97-8B30-8954-B598-D92BC79C719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0947B8F1-271C-478D-91C4-2394384B53F6}"/>
            </a:ext>
          </a:extLst>
        </xdr:cNvPr>
        <xdr:cNvGrpSpPr/>
      </xdr:nvGrpSpPr>
      <xdr:grpSpPr>
        <a:xfrm>
          <a:off x="12645889" y="2816077"/>
          <a:ext cx="206054" cy="116315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BCD5ACB5-D3BD-A1D3-6B90-D283D64D45E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9C9F96B1-0826-57F1-86A6-741BDFEF4AD8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750C81BD-1857-4397-ADA7-5B69C10BCC06}"/>
            </a:ext>
          </a:extLst>
        </xdr:cNvPr>
        <xdr:cNvGrpSpPr/>
      </xdr:nvGrpSpPr>
      <xdr:grpSpPr>
        <a:xfrm>
          <a:off x="11794527" y="2979676"/>
          <a:ext cx="322449" cy="79680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11DB963-F909-9AA8-D0F9-512F55D363B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6EB6C91-C3EC-F022-8B22-59C07041160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70959B2D-FFA0-E246-287A-6B545555610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B4EEF1FA-1CC0-CA80-3DA1-D395C1BDBD6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D49FD2DB-5D04-40D2-9D96-6AA23829EBAB}"/>
            </a:ext>
          </a:extLst>
        </xdr:cNvPr>
        <xdr:cNvGrpSpPr/>
      </xdr:nvGrpSpPr>
      <xdr:grpSpPr>
        <a:xfrm>
          <a:off x="12584261" y="2979676"/>
          <a:ext cx="322449" cy="79680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366DBBE-DD05-A699-D478-7D72FAEC3E1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BE10A80-6DE1-0E1F-9054-A9406D6D2A2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E268D9A-E6E0-2643-54DC-4D538845C93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13992-3A4F-2A8A-B941-3EBC230219F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4FFBF67-340D-4524-8367-D0BD4553970B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354E20E-4B66-4FB0-BD34-EB66B82F8C1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56F1141D-D192-4865-AD51-F5C9A76D9FAF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82221EB-F173-4345-BDE5-385B095742A4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8B556E18-299F-4721-BA0D-044775A3823A}"/>
            </a:ext>
          </a:extLst>
        </xdr:cNvPr>
        <xdr:cNvGrpSpPr/>
      </xdr:nvGrpSpPr>
      <xdr:grpSpPr>
        <a:xfrm>
          <a:off x="11905456" y="2684343"/>
          <a:ext cx="126313" cy="57817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9C4B6F53-CF21-ECB4-72E5-BEACC294EB7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D609C60E-CFBA-EE41-C7EA-74DFB3F1FC0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A7910000-8AFC-1597-A74D-61B0917C1DB5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0F2D76A0-021F-4A32-AE14-85E4960311E6}"/>
            </a:ext>
          </a:extLst>
        </xdr:cNvPr>
        <xdr:cNvGrpSpPr/>
      </xdr:nvGrpSpPr>
      <xdr:grpSpPr>
        <a:xfrm>
          <a:off x="12680664" y="2685049"/>
          <a:ext cx="126313" cy="57817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6FF54D28-E15C-7E06-F4FF-F1F7066960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75E11AB9-D24E-C1C5-99C8-BD4F9C8409F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29AC76BE-E75C-9FAE-8ADF-C3AA183B63E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11</xdr:col>
      <xdr:colOff>24880</xdr:colOff>
      <xdr:row>10</xdr:row>
      <xdr:rowOff>136666</xdr:rowOff>
    </xdr:from>
    <xdr:to>
      <xdr:col>11</xdr:col>
      <xdr:colOff>232832</xdr:colOff>
      <xdr:row>45</xdr:row>
      <xdr:rowOff>63500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7EFE146-354B-4EB6-B29A-DCEDA641F538}"/>
            </a:ext>
          </a:extLst>
        </xdr:cNvPr>
        <xdr:cNvSpPr txBox="1"/>
      </xdr:nvSpPr>
      <xdr:spPr>
        <a:xfrm rot="5400000">
          <a:off x="1292564" y="4107732"/>
          <a:ext cx="5144418" cy="207952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1998630-9AF0-4CC7-A25E-54D97AE1C908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111781F-9BF1-4C22-9147-A2049A113596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3CC8571-3B7A-46F7-8BD7-E29C1338AF00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A491413C-6DD2-4F0F-AC80-746E29345CF4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66261AB-694B-4D35-8C21-425F59FFB21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9FB4EF83-DECD-4493-8E15-686BE5AF301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3EC44B1B-EFED-4220-B72E-9B811AC040C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389FCD71-EBFB-41DE-8916-BED9763EBDD8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75957927-2BAF-4065-B2CE-F97EDA9A54FC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8BF0DF3E-E5C2-4EB9-8745-D44791CCEC99}"/>
            </a:ext>
          </a:extLst>
        </xdr:cNvPr>
        <xdr:cNvGrpSpPr/>
      </xdr:nvGrpSpPr>
      <xdr:grpSpPr>
        <a:xfrm>
          <a:off x="2973917" y="8466667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CD2F7FFA-37B6-DBA8-067B-DE70EC8523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59BE5E0E-9FE1-D61D-0C38-7E4A91094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FE165C2D-9A72-E69C-360C-F9F4FC2AEB1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9F477B5D-416F-48DA-ACB9-F2935055E8FE}"/>
            </a:ext>
          </a:extLst>
        </xdr:cNvPr>
        <xdr:cNvGrpSpPr/>
      </xdr:nvGrpSpPr>
      <xdr:grpSpPr>
        <a:xfrm>
          <a:off x="3377777" y="8449946"/>
          <a:ext cx="158386" cy="136940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E63B4F7F-A142-2756-8D8A-5CA3CB7387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44C57B58-2C3B-326D-9B18-E9305FE8D5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3C8E6565-9151-AC7D-3EA8-616CA6EAFE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8708E64-4339-4820-A512-D017EE3DC447}"/>
            </a:ext>
          </a:extLst>
        </xdr:cNvPr>
        <xdr:cNvGrpSpPr/>
      </xdr:nvGrpSpPr>
      <xdr:grpSpPr>
        <a:xfrm>
          <a:off x="3913082" y="8483811"/>
          <a:ext cx="157278" cy="136941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60499FD0-3B25-5E15-8188-9810E5E665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69E9635-370C-7D8C-FCC2-0AD0493427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27D3B5DA-7FEF-740D-DCE1-92734772C2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82537</xdr:colOff>
      <xdr:row>20</xdr:row>
      <xdr:rowOff>68084</xdr:rowOff>
    </xdr:from>
    <xdr:to>
      <xdr:col>10</xdr:col>
      <xdr:colOff>227089</xdr:colOff>
      <xdr:row>21</xdr:row>
      <xdr:rowOff>64517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83FCC763-F473-4E28-AB3E-BF4902CBC2DA}"/>
            </a:ext>
          </a:extLst>
        </xdr:cNvPr>
        <xdr:cNvGrpSpPr/>
      </xdr:nvGrpSpPr>
      <xdr:grpSpPr>
        <a:xfrm>
          <a:off x="3437454" y="3063167"/>
          <a:ext cx="144552" cy="144600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1A295A-315C-4C3D-E64B-07817552BFD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F52EA243-0D72-89E3-6312-5A91C38E36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6A357142-FE92-A2F8-6163-001D3C64832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8E7BAFF-8FA3-4720-96CD-9772E4F4D711}"/>
            </a:ext>
          </a:extLst>
        </xdr:cNvPr>
        <xdr:cNvGrpSpPr/>
      </xdr:nvGrpSpPr>
      <xdr:grpSpPr>
        <a:xfrm>
          <a:off x="4760807" y="8478096"/>
          <a:ext cx="125502" cy="137384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2CD9B4FB-5D45-63DC-A2CF-01C5F4FA22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E4BB43DF-F3E0-C91D-C7D3-3C38DDF38E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6C8480F7-AA87-E1DE-4D0A-A484B10F544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8FA2BC6A-96A4-45C2-971B-E9F71CB6E5C8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A03B60C6-1E8A-4D32-A9BF-2F3965984D45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BBCA904C-F9E0-4482-9B12-A0496A36BAAA}"/>
            </a:ext>
          </a:extLst>
        </xdr:cNvPr>
        <xdr:cNvGrpSpPr/>
      </xdr:nvGrpSpPr>
      <xdr:grpSpPr>
        <a:xfrm>
          <a:off x="5238962" y="8444230"/>
          <a:ext cx="125502" cy="144601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57BA697-B870-FA42-B18D-0AE0FBE25E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62AD6806-FFF9-2C4F-3AEB-740FF1454E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CF4C2710-6E06-45F9-893E-06713AD394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0C7DE1BB-4136-4BA6-9C3C-D28DB95AE288}"/>
            </a:ext>
          </a:extLst>
        </xdr:cNvPr>
        <xdr:cNvGrpSpPr/>
      </xdr:nvGrpSpPr>
      <xdr:grpSpPr>
        <a:xfrm>
          <a:off x="5749502" y="8500957"/>
          <a:ext cx="144423" cy="150694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74589A36-35ED-4269-7B14-3A80B92E59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A5F60117-047F-5464-F9A9-F5F58A763F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60E5FA93-BEC3-6BD2-D46E-01C539D02B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EED28218-E400-4596-BDEE-D380CAC75509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01C10AF7-C94C-434D-9159-ED7C372E840A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AF47834C-7E19-4B2A-9C4F-27EA39C9A9D0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3A8A0CA9-D0B8-4366-9CD0-60765678C88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E2E731BF-D32F-4E94-89B1-F71401CF9E11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BDEFA8E5-544C-4F63-BD01-6B6359B75668}"/>
            </a:ext>
          </a:extLst>
        </xdr:cNvPr>
        <xdr:cNvGrpSpPr/>
      </xdr:nvGrpSpPr>
      <xdr:grpSpPr>
        <a:xfrm>
          <a:off x="2429087" y="8415655"/>
          <a:ext cx="231003" cy="90482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FD9BD94A-1298-4FBC-9DC7-1E0CE2281CB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4804DBF-406E-626E-D414-CE0CB09D036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82BAFBA7-E37B-ADE9-C847-74B661DE4C8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F863BD6A-F9A4-4756-BCB4-0CF7F2391C3F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F3866B91-080D-41F8-9EEE-03A25933F9FA}"/>
            </a:ext>
          </a:extLst>
        </xdr:cNvPr>
        <xdr:cNvGrpSpPr/>
      </xdr:nvGrpSpPr>
      <xdr:grpSpPr>
        <a:xfrm>
          <a:off x="1950932" y="8637694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C9C7EBC6-5E06-CE0C-1B4D-5E0078D120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568762E5-A624-40D2-EBEF-C8A846FA10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386E3184-8236-F897-5630-052F80FF1AD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C3074276-9A36-4268-818C-0C45DDBC95C2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FBFF1AC8-49BC-49E9-939D-919E92765423}"/>
            </a:ext>
          </a:extLst>
        </xdr:cNvPr>
        <xdr:cNvGrpSpPr/>
      </xdr:nvGrpSpPr>
      <xdr:grpSpPr>
        <a:xfrm rot="21429191">
          <a:off x="7496387" y="8746279"/>
          <a:ext cx="83822" cy="78638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F634AD8E-5028-8F5C-83C3-1A56EE41D27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26E88FE7-A50C-10D3-7092-7C33D19BA6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1F541770-8271-2F78-761C-0E80A6AB877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8953BDCC-F16A-443A-B827-FCAAE7FC968E}"/>
            </a:ext>
          </a:extLst>
        </xdr:cNvPr>
        <xdr:cNvGrpSpPr/>
      </xdr:nvGrpSpPr>
      <xdr:grpSpPr>
        <a:xfrm>
          <a:off x="7717367" y="8749136"/>
          <a:ext cx="139135" cy="62525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A12B48BB-07BD-3885-4171-BB5B95E00EC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19A9F328-96A7-C63C-3A36-D911E7241B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0D4B8572-446A-4BCB-A789-7D6A5ED7E1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FE46853E-6705-F42F-31FC-386E43FA359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A0EC342A-B392-4A5A-9456-18377E4CF717}"/>
            </a:ext>
          </a:extLst>
        </xdr:cNvPr>
        <xdr:cNvGrpSpPr/>
      </xdr:nvGrpSpPr>
      <xdr:grpSpPr>
        <a:xfrm>
          <a:off x="7930727" y="8733895"/>
          <a:ext cx="139135" cy="62525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4FA306E4-0460-383C-C42B-60A0538055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9FFC2FEE-ED07-D80E-2134-3716C876B27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CA435612-7095-1DCE-192E-80F3658990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DC13AC2C-47FD-FB71-6BA8-07A7F695756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88044</xdr:colOff>
      <xdr:row>11</xdr:row>
      <xdr:rowOff>89701</xdr:rowOff>
    </xdr:from>
    <xdr:to>
      <xdr:col>10</xdr:col>
      <xdr:colOff>232596</xdr:colOff>
      <xdr:row>12</xdr:row>
      <xdr:rowOff>86134</xdr:rowOff>
    </xdr:to>
    <xdr:grpSp>
      <xdr:nvGrpSpPr>
        <xdr:cNvPr id="185" name="Group 13">
          <a:extLst>
            <a:ext uri="{FF2B5EF4-FFF2-40B4-BE49-F238E27FC236}">
              <a16:creationId xmlns:a16="http://schemas.microsoft.com/office/drawing/2014/main" id="{96D1C79F-097D-4728-A136-E242A5759B50}"/>
            </a:ext>
          </a:extLst>
        </xdr:cNvPr>
        <xdr:cNvGrpSpPr/>
      </xdr:nvGrpSpPr>
      <xdr:grpSpPr>
        <a:xfrm>
          <a:off x="3442961" y="1740701"/>
          <a:ext cx="144552" cy="144600"/>
          <a:chOff x="9937028" y="802652"/>
          <a:chExt cx="83991" cy="77961"/>
        </a:xfrm>
      </xdr:grpSpPr>
      <xdr:sp macro="" textlink="">
        <xdr:nvSpPr>
          <xdr:cNvPr id="186" name="Oval 1">
            <a:extLst>
              <a:ext uri="{FF2B5EF4-FFF2-40B4-BE49-F238E27FC236}">
                <a16:creationId xmlns:a16="http://schemas.microsoft.com/office/drawing/2014/main" id="{3132339A-C52F-ACAE-F70B-3FA0A83FDBA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7" name="Straight Connector 3">
            <a:extLst>
              <a:ext uri="{FF2B5EF4-FFF2-40B4-BE49-F238E27FC236}">
                <a16:creationId xmlns:a16="http://schemas.microsoft.com/office/drawing/2014/main" id="{D222E405-CA0E-BEFE-8D11-92CB853D5CC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7">
            <a:extLst>
              <a:ext uri="{FF2B5EF4-FFF2-40B4-BE49-F238E27FC236}">
                <a16:creationId xmlns:a16="http://schemas.microsoft.com/office/drawing/2014/main" id="{94048102-0840-E304-5161-1DA969F62BD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363904</xdr:colOff>
      <xdr:row>5</xdr:row>
      <xdr:rowOff>91153</xdr:rowOff>
    </xdr:from>
    <xdr:to>
      <xdr:col>9</xdr:col>
      <xdr:colOff>52246</xdr:colOff>
      <xdr:row>11</xdr:row>
      <xdr:rowOff>44670</xdr:rowOff>
    </xdr:to>
    <xdr:sp macro="" textlink="">
      <xdr:nvSpPr>
        <xdr:cNvPr id="189" name="Rectangle 1">
          <a:extLst>
            <a:ext uri="{FF2B5EF4-FFF2-40B4-BE49-F238E27FC236}">
              <a16:creationId xmlns:a16="http://schemas.microsoft.com/office/drawing/2014/main" id="{975604C4-8EB8-49C8-A95D-44A7A713F848}"/>
            </a:ext>
          </a:extLst>
        </xdr:cNvPr>
        <xdr:cNvSpPr/>
      </xdr:nvSpPr>
      <xdr:spPr>
        <a:xfrm rot="16200000">
          <a:off x="2189233" y="858741"/>
          <a:ext cx="842517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74083</xdr:colOff>
      <xdr:row>10</xdr:row>
      <xdr:rowOff>91109</xdr:rowOff>
    </xdr:from>
    <xdr:to>
      <xdr:col>10</xdr:col>
      <xdr:colOff>82826</xdr:colOff>
      <xdr:row>42</xdr:row>
      <xdr:rowOff>84666</xdr:rowOff>
    </xdr:to>
    <xdr:cxnSp macro="">
      <xdr:nvCxnSpPr>
        <xdr:cNvPr id="191" name="Straight Connector 139">
          <a:extLst>
            <a:ext uri="{FF2B5EF4-FFF2-40B4-BE49-F238E27FC236}">
              <a16:creationId xmlns:a16="http://schemas.microsoft.com/office/drawing/2014/main" id="{491ABDDB-D972-41D2-8BB5-AB2FA054AAF6}"/>
            </a:ext>
          </a:extLst>
        </xdr:cNvPr>
        <xdr:cNvCxnSpPr>
          <a:cxnSpLocks/>
        </xdr:cNvCxnSpPr>
      </xdr:nvCxnSpPr>
      <xdr:spPr bwMode="auto">
        <a:xfrm flipV="1">
          <a:off x="3429000" y="1593942"/>
          <a:ext cx="8743" cy="476664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262872</xdr:colOff>
      <xdr:row>9</xdr:row>
      <xdr:rowOff>4307</xdr:rowOff>
    </xdr:from>
    <xdr:to>
      <xdr:col>9</xdr:col>
      <xdr:colOff>47607</xdr:colOff>
      <xdr:row>10</xdr:row>
      <xdr:rowOff>4307</xdr:rowOff>
    </xdr:to>
    <xdr:sp macro="" textlink="">
      <xdr:nvSpPr>
        <xdr:cNvPr id="202" name="Rectangle 146">
          <a:extLst>
            <a:ext uri="{FF2B5EF4-FFF2-40B4-BE49-F238E27FC236}">
              <a16:creationId xmlns:a16="http://schemas.microsoft.com/office/drawing/2014/main" id="{4BE35D7F-97C7-438B-8F57-45AED1831006}"/>
            </a:ext>
          </a:extLst>
        </xdr:cNvPr>
        <xdr:cNvSpPr/>
      </xdr:nvSpPr>
      <xdr:spPr>
        <a:xfrm>
          <a:off x="2855789" y="1358974"/>
          <a:ext cx="165735" cy="148166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8</xdr:col>
      <xdr:colOff>282152</xdr:colOff>
      <xdr:row>29</xdr:row>
      <xdr:rowOff>0</xdr:rowOff>
    </xdr:from>
    <xdr:to>
      <xdr:col>10</xdr:col>
      <xdr:colOff>58151</xdr:colOff>
      <xdr:row>31</xdr:row>
      <xdr:rowOff>28196</xdr:rowOff>
    </xdr:to>
    <xdr:cxnSp macro="">
      <xdr:nvCxnSpPr>
        <xdr:cNvPr id="203" name="Straight Connector 164">
          <a:extLst>
            <a:ext uri="{FF2B5EF4-FFF2-40B4-BE49-F238E27FC236}">
              <a16:creationId xmlns:a16="http://schemas.microsoft.com/office/drawing/2014/main" id="{4F670979-6467-4FA6-8FD1-DF99101CA223}"/>
            </a:ext>
          </a:extLst>
        </xdr:cNvPr>
        <xdr:cNvCxnSpPr>
          <a:cxnSpLocks/>
          <a:endCxn id="260" idx="3"/>
        </xdr:cNvCxnSpPr>
      </xdr:nvCxnSpPr>
      <xdr:spPr bwMode="auto">
        <a:xfrm flipH="1" flipV="1">
          <a:off x="2875069" y="4328583"/>
          <a:ext cx="537999" cy="3245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267312</xdr:colOff>
      <xdr:row>30</xdr:row>
      <xdr:rowOff>42623</xdr:rowOff>
    </xdr:from>
    <xdr:to>
      <xdr:col>11</xdr:col>
      <xdr:colOff>117315</xdr:colOff>
      <xdr:row>30</xdr:row>
      <xdr:rowOff>127814</xdr:rowOff>
    </xdr:to>
    <xdr:grpSp>
      <xdr:nvGrpSpPr>
        <xdr:cNvPr id="204" name="Group 134">
          <a:extLst>
            <a:ext uri="{FF2B5EF4-FFF2-40B4-BE49-F238E27FC236}">
              <a16:creationId xmlns:a16="http://schemas.microsoft.com/office/drawing/2014/main" id="{5053215A-D5DC-4056-AF61-367D7C901D41}"/>
            </a:ext>
          </a:extLst>
        </xdr:cNvPr>
        <xdr:cNvGrpSpPr/>
      </xdr:nvGrpSpPr>
      <xdr:grpSpPr>
        <a:xfrm>
          <a:off x="3622229" y="4519373"/>
          <a:ext cx="231003" cy="85191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205" name="Isosceles Triangle 118">
            <a:extLst>
              <a:ext uri="{FF2B5EF4-FFF2-40B4-BE49-F238E27FC236}">
                <a16:creationId xmlns:a16="http://schemas.microsoft.com/office/drawing/2014/main" id="{F20B85D0-F67A-BAAF-6381-B45B49C59C94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6" name="Isosceles Triangle 119">
            <a:extLst>
              <a:ext uri="{FF2B5EF4-FFF2-40B4-BE49-F238E27FC236}">
                <a16:creationId xmlns:a16="http://schemas.microsoft.com/office/drawing/2014/main" id="{599D9F6F-7D12-1743-5FFE-77604B0C4F6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7" name="Isosceles Triangle 120">
            <a:extLst>
              <a:ext uri="{FF2B5EF4-FFF2-40B4-BE49-F238E27FC236}">
                <a16:creationId xmlns:a16="http://schemas.microsoft.com/office/drawing/2014/main" id="{E44E5E48-079F-A0DE-3F31-DABDBE4D0EBE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8</xdr:col>
      <xdr:colOff>136470</xdr:colOff>
      <xdr:row>31</xdr:row>
      <xdr:rowOff>135937</xdr:rowOff>
    </xdr:from>
    <xdr:to>
      <xdr:col>10</xdr:col>
      <xdr:colOff>155880</xdr:colOff>
      <xdr:row>33</xdr:row>
      <xdr:rowOff>29205</xdr:rowOff>
    </xdr:to>
    <xdr:sp macro="" textlink="">
      <xdr:nvSpPr>
        <xdr:cNvPr id="208" name="TextBox 160">
          <a:extLst>
            <a:ext uri="{FF2B5EF4-FFF2-40B4-BE49-F238E27FC236}">
              <a16:creationId xmlns:a16="http://schemas.microsoft.com/office/drawing/2014/main" id="{F998543A-447B-4D87-BEDC-FAB77C954031}"/>
            </a:ext>
          </a:extLst>
        </xdr:cNvPr>
        <xdr:cNvSpPr txBox="1"/>
      </xdr:nvSpPr>
      <xdr:spPr>
        <a:xfrm>
          <a:off x="2729387" y="4760854"/>
          <a:ext cx="781410" cy="189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ysClr val="windowText" lastClr="000000"/>
              </a:solidFill>
              <a:effectLst/>
            </a:rPr>
            <a:t>3</a:t>
          </a:r>
          <a:r>
            <a:rPr lang="en-ID" sz="800" baseline="0">
              <a:solidFill>
                <a:sysClr val="windowText" lastClr="000000"/>
              </a:solidFill>
              <a:effectLst/>
            </a:rPr>
            <a:t> Ph </a:t>
          </a:r>
          <a:r>
            <a:rPr lang="xx-YY" sz="800" baseline="0">
              <a:solidFill>
                <a:sysClr val="windowText" lastClr="000000"/>
              </a:solidFill>
              <a:effectLst/>
            </a:rPr>
            <a:t>50</a:t>
          </a:r>
          <a:r>
            <a:rPr lang="en-ID" sz="800" baseline="0">
              <a:solidFill>
                <a:sysClr val="windowText" lastClr="000000"/>
              </a:solidFill>
              <a:effectLst/>
            </a:rPr>
            <a:t> kVA</a:t>
          </a:r>
          <a:endParaRPr lang="en-ID" sz="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5</xdr:col>
      <xdr:colOff>187887</xdr:colOff>
      <xdr:row>31</xdr:row>
      <xdr:rowOff>14447</xdr:rowOff>
    </xdr:from>
    <xdr:to>
      <xdr:col>8</xdr:col>
      <xdr:colOff>176457</xdr:colOff>
      <xdr:row>38</xdr:row>
      <xdr:rowOff>42333</xdr:rowOff>
    </xdr:to>
    <xdr:sp macro="" textlink="">
      <xdr:nvSpPr>
        <xdr:cNvPr id="209" name="TextBox 157">
          <a:extLst>
            <a:ext uri="{FF2B5EF4-FFF2-40B4-BE49-F238E27FC236}">
              <a16:creationId xmlns:a16="http://schemas.microsoft.com/office/drawing/2014/main" id="{5761D8C2-8AD5-4488-B58D-94082E7C4550}"/>
            </a:ext>
          </a:extLst>
        </xdr:cNvPr>
        <xdr:cNvSpPr txBox="1"/>
      </xdr:nvSpPr>
      <xdr:spPr>
        <a:xfrm>
          <a:off x="1637804" y="4639364"/>
          <a:ext cx="1131570" cy="108621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d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</a:t>
          </a:r>
          <a:r>
            <a:rPr lang="en-US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579A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CC1-A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d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J5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CJ6-T</a:t>
          </a:r>
        </a:p>
        <a:p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G312-A 50KVA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G31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160KVA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10</xdr:col>
      <xdr:colOff>222250</xdr:colOff>
      <xdr:row>10</xdr:row>
      <xdr:rowOff>132522</xdr:rowOff>
    </xdr:from>
    <xdr:to>
      <xdr:col>10</xdr:col>
      <xdr:colOff>223631</xdr:colOff>
      <xdr:row>42</xdr:row>
      <xdr:rowOff>31750</xdr:rowOff>
    </xdr:to>
    <xdr:cxnSp macro="">
      <xdr:nvCxnSpPr>
        <xdr:cNvPr id="227" name="Straight Connector 139">
          <a:extLst>
            <a:ext uri="{FF2B5EF4-FFF2-40B4-BE49-F238E27FC236}">
              <a16:creationId xmlns:a16="http://schemas.microsoft.com/office/drawing/2014/main" id="{FAE8C6FB-CCCA-49AB-9C5E-C35DC426DEAF}"/>
            </a:ext>
          </a:extLst>
        </xdr:cNvPr>
        <xdr:cNvCxnSpPr>
          <a:cxnSpLocks/>
        </xdr:cNvCxnSpPr>
      </xdr:nvCxnSpPr>
      <xdr:spPr bwMode="auto">
        <a:xfrm flipH="1">
          <a:off x="3577167" y="1635355"/>
          <a:ext cx="1381" cy="467231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176066</xdr:colOff>
      <xdr:row>16</xdr:row>
      <xdr:rowOff>113824</xdr:rowOff>
    </xdr:from>
    <xdr:to>
      <xdr:col>10</xdr:col>
      <xdr:colOff>255624</xdr:colOff>
      <xdr:row>17</xdr:row>
      <xdr:rowOff>48559</xdr:rowOff>
    </xdr:to>
    <xdr:grpSp>
      <xdr:nvGrpSpPr>
        <xdr:cNvPr id="228" name="Group 73">
          <a:extLst>
            <a:ext uri="{FF2B5EF4-FFF2-40B4-BE49-F238E27FC236}">
              <a16:creationId xmlns:a16="http://schemas.microsoft.com/office/drawing/2014/main" id="{53230C4E-9ECD-47F8-9426-9173DDF2B6B9}"/>
            </a:ext>
          </a:extLst>
        </xdr:cNvPr>
        <xdr:cNvGrpSpPr/>
      </xdr:nvGrpSpPr>
      <xdr:grpSpPr>
        <a:xfrm rot="16200000">
          <a:off x="3529311" y="2517913"/>
          <a:ext cx="82901" cy="79558"/>
          <a:chOff x="12175074" y="2285812"/>
          <a:chExt cx="107252" cy="65186"/>
        </a:xfrm>
      </xdr:grpSpPr>
      <xdr:cxnSp macro="">
        <xdr:nvCxnSpPr>
          <xdr:cNvPr id="229" name="Straight Connector 74">
            <a:extLst>
              <a:ext uri="{FF2B5EF4-FFF2-40B4-BE49-F238E27FC236}">
                <a16:creationId xmlns:a16="http://schemas.microsoft.com/office/drawing/2014/main" id="{28E8803B-E4AF-B714-E73F-E73D3A4452F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75">
            <a:extLst>
              <a:ext uri="{FF2B5EF4-FFF2-40B4-BE49-F238E27FC236}">
                <a16:creationId xmlns:a16="http://schemas.microsoft.com/office/drawing/2014/main" id="{942633BE-DFCE-C59D-F872-7EDFEAC883B6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1" name="Straight Connector 76">
            <a:extLst>
              <a:ext uri="{FF2B5EF4-FFF2-40B4-BE49-F238E27FC236}">
                <a16:creationId xmlns:a16="http://schemas.microsoft.com/office/drawing/2014/main" id="{BD68FEAF-0DA9-A568-BF96-EE2B2CFD02B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47607</xdr:colOff>
      <xdr:row>9</xdr:row>
      <xdr:rowOff>78390</xdr:rowOff>
    </xdr:from>
    <xdr:to>
      <xdr:col>10</xdr:col>
      <xdr:colOff>92814</xdr:colOff>
      <xdr:row>11</xdr:row>
      <xdr:rowOff>120588</xdr:rowOff>
    </xdr:to>
    <xdr:cxnSp macro="">
      <xdr:nvCxnSpPr>
        <xdr:cNvPr id="233" name="Straight Connector 164">
          <a:extLst>
            <a:ext uri="{FF2B5EF4-FFF2-40B4-BE49-F238E27FC236}">
              <a16:creationId xmlns:a16="http://schemas.microsoft.com/office/drawing/2014/main" id="{E62B86F0-D778-411D-A35B-40D6503E6357}"/>
            </a:ext>
          </a:extLst>
        </xdr:cNvPr>
        <xdr:cNvCxnSpPr>
          <a:cxnSpLocks/>
          <a:endCxn id="202" idx="3"/>
        </xdr:cNvCxnSpPr>
      </xdr:nvCxnSpPr>
      <xdr:spPr bwMode="auto">
        <a:xfrm flipH="1" flipV="1">
          <a:off x="3021524" y="1433057"/>
          <a:ext cx="426207" cy="33853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159210</xdr:colOff>
      <xdr:row>10</xdr:row>
      <xdr:rowOff>42333</xdr:rowOff>
    </xdr:from>
    <xdr:to>
      <xdr:col>9</xdr:col>
      <xdr:colOff>298345</xdr:colOff>
      <xdr:row>10</xdr:row>
      <xdr:rowOff>105778</xdr:rowOff>
    </xdr:to>
    <xdr:grpSp>
      <xdr:nvGrpSpPr>
        <xdr:cNvPr id="235" name="Grup 244">
          <a:extLst>
            <a:ext uri="{FF2B5EF4-FFF2-40B4-BE49-F238E27FC236}">
              <a16:creationId xmlns:a16="http://schemas.microsoft.com/office/drawing/2014/main" id="{B66D183A-7F28-4C87-BAB7-7E0644F83F82}"/>
            </a:ext>
          </a:extLst>
        </xdr:cNvPr>
        <xdr:cNvGrpSpPr/>
      </xdr:nvGrpSpPr>
      <xdr:grpSpPr>
        <a:xfrm rot="2084351">
          <a:off x="3133127" y="1545166"/>
          <a:ext cx="139135" cy="63445"/>
          <a:chOff x="13302191" y="2320613"/>
          <a:chExt cx="139135" cy="57233"/>
        </a:xfrm>
      </xdr:grpSpPr>
      <xdr:cxnSp macro="">
        <xdr:nvCxnSpPr>
          <xdr:cNvPr id="236" name="Straight Connector 81">
            <a:extLst>
              <a:ext uri="{FF2B5EF4-FFF2-40B4-BE49-F238E27FC236}">
                <a16:creationId xmlns:a16="http://schemas.microsoft.com/office/drawing/2014/main" id="{0DC5D771-CA30-371E-4ABB-F9E4DC6EA03D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Connector 82">
            <a:extLst>
              <a:ext uri="{FF2B5EF4-FFF2-40B4-BE49-F238E27FC236}">
                <a16:creationId xmlns:a16="http://schemas.microsoft.com/office/drawing/2014/main" id="{75A6D8CF-FFB8-E2FA-A4BD-DBF1DB4C8904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Straight Connector 83">
            <a:extLst>
              <a:ext uri="{FF2B5EF4-FFF2-40B4-BE49-F238E27FC236}">
                <a16:creationId xmlns:a16="http://schemas.microsoft.com/office/drawing/2014/main" id="{87C0B9BC-59E1-6762-E1D9-AFDCD8381D99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" name="Straight Connector 84">
            <a:extLst>
              <a:ext uri="{FF2B5EF4-FFF2-40B4-BE49-F238E27FC236}">
                <a16:creationId xmlns:a16="http://schemas.microsoft.com/office/drawing/2014/main" id="{B0AF8A0A-5292-B117-F8F1-AA6814FF438A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350631</xdr:colOff>
      <xdr:row>34</xdr:row>
      <xdr:rowOff>60279</xdr:rowOff>
    </xdr:from>
    <xdr:to>
      <xdr:col>14</xdr:col>
      <xdr:colOff>339201</xdr:colOff>
      <xdr:row>39</xdr:row>
      <xdr:rowOff>123596</xdr:rowOff>
    </xdr:to>
    <xdr:sp macro="" textlink="">
      <xdr:nvSpPr>
        <xdr:cNvPr id="241" name="TextBox 157">
          <a:extLst>
            <a:ext uri="{FF2B5EF4-FFF2-40B4-BE49-F238E27FC236}">
              <a16:creationId xmlns:a16="http://schemas.microsoft.com/office/drawing/2014/main" id="{35BD0F78-7AB5-41F1-945F-1F19C3932CA0}"/>
            </a:ext>
          </a:extLst>
        </xdr:cNvPr>
        <xdr:cNvSpPr txBox="1"/>
      </xdr:nvSpPr>
      <xdr:spPr>
        <a:xfrm>
          <a:off x="4086548" y="5129696"/>
          <a:ext cx="1131570" cy="82531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CJ6-T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CM2-12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191192</xdr:colOff>
      <xdr:row>32</xdr:row>
      <xdr:rowOff>9893</xdr:rowOff>
    </xdr:from>
    <xdr:to>
      <xdr:col>12</xdr:col>
      <xdr:colOff>200018</xdr:colOff>
      <xdr:row>33</xdr:row>
      <xdr:rowOff>52247</xdr:rowOff>
    </xdr:to>
    <xdr:sp macro="" textlink="">
      <xdr:nvSpPr>
        <xdr:cNvPr id="242" name="TextBox 160">
          <a:extLst>
            <a:ext uri="{FF2B5EF4-FFF2-40B4-BE49-F238E27FC236}">
              <a16:creationId xmlns:a16="http://schemas.microsoft.com/office/drawing/2014/main" id="{F8F3F940-F3A7-4272-A907-3C63D5852178}"/>
            </a:ext>
          </a:extLst>
        </xdr:cNvPr>
        <xdr:cNvSpPr txBox="1"/>
      </xdr:nvSpPr>
      <xdr:spPr>
        <a:xfrm rot="890569">
          <a:off x="3546109" y="4782976"/>
          <a:ext cx="770826" cy="190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  <a:effectLst/>
            </a:rPr>
            <a:t>60M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10</xdr:col>
      <xdr:colOff>66260</xdr:colOff>
      <xdr:row>30</xdr:row>
      <xdr:rowOff>107674</xdr:rowOff>
    </xdr:from>
    <xdr:to>
      <xdr:col>10</xdr:col>
      <xdr:colOff>210812</xdr:colOff>
      <xdr:row>31</xdr:row>
      <xdr:rowOff>104107</xdr:rowOff>
    </xdr:to>
    <xdr:grpSp>
      <xdr:nvGrpSpPr>
        <xdr:cNvPr id="2" name="Group 13">
          <a:extLst>
            <a:ext uri="{FF2B5EF4-FFF2-40B4-BE49-F238E27FC236}">
              <a16:creationId xmlns:a16="http://schemas.microsoft.com/office/drawing/2014/main" id="{CC9014CE-7447-4F4A-B7B0-5DFF6EB38771}"/>
            </a:ext>
          </a:extLst>
        </xdr:cNvPr>
        <xdr:cNvGrpSpPr/>
      </xdr:nvGrpSpPr>
      <xdr:grpSpPr>
        <a:xfrm>
          <a:off x="3421177" y="4584424"/>
          <a:ext cx="144552" cy="144600"/>
          <a:chOff x="9937028" y="802652"/>
          <a:chExt cx="83991" cy="77961"/>
        </a:xfrm>
      </xdr:grpSpPr>
      <xdr:sp macro="" textlink="">
        <xdr:nvSpPr>
          <xdr:cNvPr id="190" name="Oval 1">
            <a:extLst>
              <a:ext uri="{FF2B5EF4-FFF2-40B4-BE49-F238E27FC236}">
                <a16:creationId xmlns:a16="http://schemas.microsoft.com/office/drawing/2014/main" id="{26811F17-67A6-2BEE-4FDD-6837123679C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2" name="Straight Connector 3">
            <a:extLst>
              <a:ext uri="{FF2B5EF4-FFF2-40B4-BE49-F238E27FC236}">
                <a16:creationId xmlns:a16="http://schemas.microsoft.com/office/drawing/2014/main" id="{FEBDC0AA-46D5-224C-4C09-03168D38DA5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7">
            <a:extLst>
              <a:ext uri="{FF2B5EF4-FFF2-40B4-BE49-F238E27FC236}">
                <a16:creationId xmlns:a16="http://schemas.microsoft.com/office/drawing/2014/main" id="{8E457AB2-0956-1745-AD7B-5A3FA1DA660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182218</xdr:colOff>
      <xdr:row>26</xdr:row>
      <xdr:rowOff>91108</xdr:rowOff>
    </xdr:from>
    <xdr:to>
      <xdr:col>10</xdr:col>
      <xdr:colOff>261776</xdr:colOff>
      <xdr:row>27</xdr:row>
      <xdr:rowOff>25844</xdr:rowOff>
    </xdr:to>
    <xdr:grpSp>
      <xdr:nvGrpSpPr>
        <xdr:cNvPr id="201" name="Group 73">
          <a:extLst>
            <a:ext uri="{FF2B5EF4-FFF2-40B4-BE49-F238E27FC236}">
              <a16:creationId xmlns:a16="http://schemas.microsoft.com/office/drawing/2014/main" id="{CA950C3F-BACA-4A5F-BA40-6D805F6FCAA6}"/>
            </a:ext>
          </a:extLst>
        </xdr:cNvPr>
        <xdr:cNvGrpSpPr/>
      </xdr:nvGrpSpPr>
      <xdr:grpSpPr>
        <a:xfrm rot="16200000">
          <a:off x="3535462" y="3976864"/>
          <a:ext cx="82903" cy="79558"/>
          <a:chOff x="12175074" y="2285812"/>
          <a:chExt cx="107252" cy="65186"/>
        </a:xfrm>
      </xdr:grpSpPr>
      <xdr:cxnSp macro="">
        <xdr:nvCxnSpPr>
          <xdr:cNvPr id="210" name="Straight Connector 74">
            <a:extLst>
              <a:ext uri="{FF2B5EF4-FFF2-40B4-BE49-F238E27FC236}">
                <a16:creationId xmlns:a16="http://schemas.microsoft.com/office/drawing/2014/main" id="{E2196B68-FBF0-F8D1-3BC0-CC774219DB25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Straight Connector 75">
            <a:extLst>
              <a:ext uri="{FF2B5EF4-FFF2-40B4-BE49-F238E27FC236}">
                <a16:creationId xmlns:a16="http://schemas.microsoft.com/office/drawing/2014/main" id="{016C0705-B729-7D14-757B-43DE199C667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76">
            <a:extLst>
              <a:ext uri="{FF2B5EF4-FFF2-40B4-BE49-F238E27FC236}">
                <a16:creationId xmlns:a16="http://schemas.microsoft.com/office/drawing/2014/main" id="{0C2CBC64-3B25-0AF8-80AC-96171EBE14FA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240195</xdr:colOff>
      <xdr:row>39</xdr:row>
      <xdr:rowOff>58899</xdr:rowOff>
    </xdr:from>
    <xdr:to>
      <xdr:col>10</xdr:col>
      <xdr:colOff>20314</xdr:colOff>
      <xdr:row>39</xdr:row>
      <xdr:rowOff>144090</xdr:rowOff>
    </xdr:to>
    <xdr:sp macro="" textlink="">
      <xdr:nvSpPr>
        <xdr:cNvPr id="218" name="Isosceles Triangle 120">
          <a:extLst>
            <a:ext uri="{FF2B5EF4-FFF2-40B4-BE49-F238E27FC236}">
              <a16:creationId xmlns:a16="http://schemas.microsoft.com/office/drawing/2014/main" id="{F5F0FF2A-5771-479A-868F-30D4583554DA}"/>
            </a:ext>
          </a:extLst>
        </xdr:cNvPr>
        <xdr:cNvSpPr/>
      </xdr:nvSpPr>
      <xdr:spPr>
        <a:xfrm>
          <a:off x="3214112" y="5890316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74083</xdr:colOff>
      <xdr:row>39</xdr:row>
      <xdr:rowOff>63499</xdr:rowOff>
    </xdr:from>
    <xdr:to>
      <xdr:col>10</xdr:col>
      <xdr:colOff>218506</xdr:colOff>
      <xdr:row>40</xdr:row>
      <xdr:rowOff>66027</xdr:rowOff>
    </xdr:to>
    <xdr:grpSp>
      <xdr:nvGrpSpPr>
        <xdr:cNvPr id="219" name="Group 13">
          <a:extLst>
            <a:ext uri="{FF2B5EF4-FFF2-40B4-BE49-F238E27FC236}">
              <a16:creationId xmlns:a16="http://schemas.microsoft.com/office/drawing/2014/main" id="{D5F00E08-8533-4AA4-BD5C-5E6683D7D2FA}"/>
            </a:ext>
          </a:extLst>
        </xdr:cNvPr>
        <xdr:cNvGrpSpPr/>
      </xdr:nvGrpSpPr>
      <xdr:grpSpPr>
        <a:xfrm>
          <a:off x="3429000" y="5894916"/>
          <a:ext cx="144423" cy="150694"/>
          <a:chOff x="9937028" y="802652"/>
          <a:chExt cx="83991" cy="77961"/>
        </a:xfrm>
      </xdr:grpSpPr>
      <xdr:sp macro="" textlink="">
        <xdr:nvSpPr>
          <xdr:cNvPr id="220" name="Oval 1">
            <a:extLst>
              <a:ext uri="{FF2B5EF4-FFF2-40B4-BE49-F238E27FC236}">
                <a16:creationId xmlns:a16="http://schemas.microsoft.com/office/drawing/2014/main" id="{FDAEC620-F1A1-9291-5335-49A34ACD0F3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1" name="Straight Connector 3">
            <a:extLst>
              <a:ext uri="{FF2B5EF4-FFF2-40B4-BE49-F238E27FC236}">
                <a16:creationId xmlns:a16="http://schemas.microsoft.com/office/drawing/2014/main" id="{D9F490D7-DA02-DB37-4352-6198FA89FBB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Straight Connector 7">
            <a:extLst>
              <a:ext uri="{FF2B5EF4-FFF2-40B4-BE49-F238E27FC236}">
                <a16:creationId xmlns:a16="http://schemas.microsoft.com/office/drawing/2014/main" id="{47778103-76E8-4B7F-B401-7D259450A47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264584</xdr:colOff>
      <xdr:row>11</xdr:row>
      <xdr:rowOff>84667</xdr:rowOff>
    </xdr:from>
    <xdr:to>
      <xdr:col>10</xdr:col>
      <xdr:colOff>44703</xdr:colOff>
      <xdr:row>12</xdr:row>
      <xdr:rowOff>21691</xdr:rowOff>
    </xdr:to>
    <xdr:sp macro="" textlink="">
      <xdr:nvSpPr>
        <xdr:cNvPr id="245" name="Isosceles Triangle 120">
          <a:extLst>
            <a:ext uri="{FF2B5EF4-FFF2-40B4-BE49-F238E27FC236}">
              <a16:creationId xmlns:a16="http://schemas.microsoft.com/office/drawing/2014/main" id="{0958C0E7-CA8D-47F9-A578-0224336E77A8}"/>
            </a:ext>
          </a:extLst>
        </xdr:cNvPr>
        <xdr:cNvSpPr/>
      </xdr:nvSpPr>
      <xdr:spPr>
        <a:xfrm>
          <a:off x="3238501" y="1735667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138536</xdr:colOff>
      <xdr:row>12</xdr:row>
      <xdr:rowOff>84666</xdr:rowOff>
    </xdr:from>
    <xdr:to>
      <xdr:col>10</xdr:col>
      <xdr:colOff>160131</xdr:colOff>
      <xdr:row>30</xdr:row>
      <xdr:rowOff>107674</xdr:rowOff>
    </xdr:to>
    <xdr:cxnSp macro="">
      <xdr:nvCxnSpPr>
        <xdr:cNvPr id="246" name="Straight Connector 139">
          <a:extLst>
            <a:ext uri="{FF2B5EF4-FFF2-40B4-BE49-F238E27FC236}">
              <a16:creationId xmlns:a16="http://schemas.microsoft.com/office/drawing/2014/main" id="{CA7593AC-C9E5-41E8-AF8F-B6E0B5CE96A2}"/>
            </a:ext>
          </a:extLst>
        </xdr:cNvPr>
        <xdr:cNvCxnSpPr>
          <a:cxnSpLocks/>
          <a:endCxn id="190" idx="0"/>
        </xdr:cNvCxnSpPr>
      </xdr:nvCxnSpPr>
      <xdr:spPr bwMode="auto">
        <a:xfrm flipH="1">
          <a:off x="3493453" y="1883833"/>
          <a:ext cx="21595" cy="270059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101805</xdr:colOff>
      <xdr:row>25</xdr:row>
      <xdr:rowOff>109862</xdr:rowOff>
    </xdr:from>
    <xdr:to>
      <xdr:col>10</xdr:col>
      <xdr:colOff>164330</xdr:colOff>
      <xdr:row>26</xdr:row>
      <xdr:rowOff>100831</xdr:rowOff>
    </xdr:to>
    <xdr:grpSp>
      <xdr:nvGrpSpPr>
        <xdr:cNvPr id="248" name="Grup 234">
          <a:extLst>
            <a:ext uri="{FF2B5EF4-FFF2-40B4-BE49-F238E27FC236}">
              <a16:creationId xmlns:a16="http://schemas.microsoft.com/office/drawing/2014/main" id="{34FE0A66-BD7C-42AA-92B2-0F48B3243262}"/>
            </a:ext>
          </a:extLst>
        </xdr:cNvPr>
        <xdr:cNvGrpSpPr/>
      </xdr:nvGrpSpPr>
      <xdr:grpSpPr>
        <a:xfrm rot="15476552">
          <a:off x="3418417" y="3884084"/>
          <a:ext cx="139135" cy="62525"/>
          <a:chOff x="13302191" y="2320613"/>
          <a:chExt cx="139135" cy="57233"/>
        </a:xfrm>
      </xdr:grpSpPr>
      <xdr:cxnSp macro="">
        <xdr:nvCxnSpPr>
          <xdr:cNvPr id="249" name="Straight Connector 248">
            <a:extLst>
              <a:ext uri="{FF2B5EF4-FFF2-40B4-BE49-F238E27FC236}">
                <a16:creationId xmlns:a16="http://schemas.microsoft.com/office/drawing/2014/main" id="{0A98AACA-DFD7-BEE4-8D2F-4DB45F473E60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249">
            <a:extLst>
              <a:ext uri="{FF2B5EF4-FFF2-40B4-BE49-F238E27FC236}">
                <a16:creationId xmlns:a16="http://schemas.microsoft.com/office/drawing/2014/main" id="{909BB1A9-9278-40FE-DE6D-2BF0A3BDB81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Straight Connector 250">
            <a:extLst>
              <a:ext uri="{FF2B5EF4-FFF2-40B4-BE49-F238E27FC236}">
                <a16:creationId xmlns:a16="http://schemas.microsoft.com/office/drawing/2014/main" id="{DCF0004F-5D44-843C-179F-3BAEC1A8E63C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Straight Connector 251">
            <a:extLst>
              <a:ext uri="{FF2B5EF4-FFF2-40B4-BE49-F238E27FC236}">
                <a16:creationId xmlns:a16="http://schemas.microsoft.com/office/drawing/2014/main" id="{F12E6C26-98E1-F47D-D629-50EA85DAFE0A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122972</xdr:colOff>
      <xdr:row>15</xdr:row>
      <xdr:rowOff>56945</xdr:rowOff>
    </xdr:from>
    <xdr:to>
      <xdr:col>10</xdr:col>
      <xdr:colOff>185497</xdr:colOff>
      <xdr:row>16</xdr:row>
      <xdr:rowOff>47913</xdr:rowOff>
    </xdr:to>
    <xdr:grpSp>
      <xdr:nvGrpSpPr>
        <xdr:cNvPr id="253" name="Grup 234">
          <a:extLst>
            <a:ext uri="{FF2B5EF4-FFF2-40B4-BE49-F238E27FC236}">
              <a16:creationId xmlns:a16="http://schemas.microsoft.com/office/drawing/2014/main" id="{57F7D093-19D1-40BF-9264-7B775CCBF4B7}"/>
            </a:ext>
          </a:extLst>
        </xdr:cNvPr>
        <xdr:cNvGrpSpPr/>
      </xdr:nvGrpSpPr>
      <xdr:grpSpPr>
        <a:xfrm rot="15885934">
          <a:off x="3439584" y="2349500"/>
          <a:ext cx="139135" cy="62525"/>
          <a:chOff x="13302191" y="2320613"/>
          <a:chExt cx="139135" cy="57233"/>
        </a:xfrm>
      </xdr:grpSpPr>
      <xdr:cxnSp macro="">
        <xdr:nvCxnSpPr>
          <xdr:cNvPr id="254" name="Straight Connector 253">
            <a:extLst>
              <a:ext uri="{FF2B5EF4-FFF2-40B4-BE49-F238E27FC236}">
                <a16:creationId xmlns:a16="http://schemas.microsoft.com/office/drawing/2014/main" id="{586B6DFC-0D80-3756-6A9F-0C39147E18B3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5" name="Straight Connector 254">
            <a:extLst>
              <a:ext uri="{FF2B5EF4-FFF2-40B4-BE49-F238E27FC236}">
                <a16:creationId xmlns:a16="http://schemas.microsoft.com/office/drawing/2014/main" id="{BF5E85E4-1CFD-3D78-090E-CDF9A684B166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Straight Connector 255">
            <a:extLst>
              <a:ext uri="{FF2B5EF4-FFF2-40B4-BE49-F238E27FC236}">
                <a16:creationId xmlns:a16="http://schemas.microsoft.com/office/drawing/2014/main" id="{BABD5D51-C477-5087-5BDA-61DBC865F91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7" name="Straight Connector 256">
            <a:extLst>
              <a:ext uri="{FF2B5EF4-FFF2-40B4-BE49-F238E27FC236}">
                <a16:creationId xmlns:a16="http://schemas.microsoft.com/office/drawing/2014/main" id="{3E61221A-3063-5BF8-64CB-2B27CDB1CA9D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222251</xdr:colOff>
      <xdr:row>25</xdr:row>
      <xdr:rowOff>42333</xdr:rowOff>
    </xdr:from>
    <xdr:to>
      <xdr:col>8</xdr:col>
      <xdr:colOff>291593</xdr:colOff>
      <xdr:row>30</xdr:row>
      <xdr:rowOff>144017</xdr:rowOff>
    </xdr:to>
    <xdr:sp macro="" textlink="">
      <xdr:nvSpPr>
        <xdr:cNvPr id="259" name="Rectangle 1">
          <a:extLst>
            <a:ext uri="{FF2B5EF4-FFF2-40B4-BE49-F238E27FC236}">
              <a16:creationId xmlns:a16="http://schemas.microsoft.com/office/drawing/2014/main" id="{9830379C-ED85-4DD5-99A2-B426128BA603}"/>
            </a:ext>
          </a:extLst>
        </xdr:cNvPr>
        <xdr:cNvSpPr/>
      </xdr:nvSpPr>
      <xdr:spPr>
        <a:xfrm rot="16200000">
          <a:off x="2047580" y="3783838"/>
          <a:ext cx="842517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116417</xdr:colOff>
      <xdr:row>28</xdr:row>
      <xdr:rowOff>74083</xdr:rowOff>
    </xdr:from>
    <xdr:to>
      <xdr:col>8</xdr:col>
      <xdr:colOff>282152</xdr:colOff>
      <xdr:row>29</xdr:row>
      <xdr:rowOff>74083</xdr:rowOff>
    </xdr:to>
    <xdr:sp macro="" textlink="">
      <xdr:nvSpPr>
        <xdr:cNvPr id="260" name="Rectangle 146">
          <a:extLst>
            <a:ext uri="{FF2B5EF4-FFF2-40B4-BE49-F238E27FC236}">
              <a16:creationId xmlns:a16="http://schemas.microsoft.com/office/drawing/2014/main" id="{03862C1A-DA73-4E5C-979C-8F5C6B4B6724}"/>
            </a:ext>
          </a:extLst>
        </xdr:cNvPr>
        <xdr:cNvSpPr/>
      </xdr:nvSpPr>
      <xdr:spPr>
        <a:xfrm>
          <a:off x="2709334" y="4254500"/>
          <a:ext cx="165735" cy="148166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9</xdr:col>
      <xdr:colOff>74083</xdr:colOff>
      <xdr:row>29</xdr:row>
      <xdr:rowOff>116418</xdr:rowOff>
    </xdr:from>
    <xdr:to>
      <xdr:col>9</xdr:col>
      <xdr:colOff>213218</xdr:colOff>
      <xdr:row>30</xdr:row>
      <xdr:rowOff>30776</xdr:rowOff>
    </xdr:to>
    <xdr:grpSp>
      <xdr:nvGrpSpPr>
        <xdr:cNvPr id="262" name="Grup 234">
          <a:extLst>
            <a:ext uri="{FF2B5EF4-FFF2-40B4-BE49-F238E27FC236}">
              <a16:creationId xmlns:a16="http://schemas.microsoft.com/office/drawing/2014/main" id="{373A57C2-4447-458E-9FBD-978597151B97}"/>
            </a:ext>
          </a:extLst>
        </xdr:cNvPr>
        <xdr:cNvGrpSpPr/>
      </xdr:nvGrpSpPr>
      <xdr:grpSpPr>
        <a:xfrm rot="1452726">
          <a:off x="3048000" y="4445001"/>
          <a:ext cx="139135" cy="62525"/>
          <a:chOff x="13302191" y="2320613"/>
          <a:chExt cx="139135" cy="57233"/>
        </a:xfrm>
      </xdr:grpSpPr>
      <xdr:cxnSp macro="">
        <xdr:nvCxnSpPr>
          <xdr:cNvPr id="263" name="Straight Connector 262">
            <a:extLst>
              <a:ext uri="{FF2B5EF4-FFF2-40B4-BE49-F238E27FC236}">
                <a16:creationId xmlns:a16="http://schemas.microsoft.com/office/drawing/2014/main" id="{F074BDFA-C08C-836E-A2C3-30E8A09CEB7A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4" name="Straight Connector 263">
            <a:extLst>
              <a:ext uri="{FF2B5EF4-FFF2-40B4-BE49-F238E27FC236}">
                <a16:creationId xmlns:a16="http://schemas.microsoft.com/office/drawing/2014/main" id="{EE69C5B0-2D2F-28AA-7CF1-D1094898544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5" name="Straight Connector 264">
            <a:extLst>
              <a:ext uri="{FF2B5EF4-FFF2-40B4-BE49-F238E27FC236}">
                <a16:creationId xmlns:a16="http://schemas.microsoft.com/office/drawing/2014/main" id="{85556BC9-871A-C924-FA4C-1B6A5FB0724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6" name="Straight Connector 265">
            <a:extLst>
              <a:ext uri="{FF2B5EF4-FFF2-40B4-BE49-F238E27FC236}">
                <a16:creationId xmlns:a16="http://schemas.microsoft.com/office/drawing/2014/main" id="{64EDA224-70FF-59BC-FEB9-43FEAEDF5829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10584</xdr:colOff>
      <xdr:row>8</xdr:row>
      <xdr:rowOff>63500</xdr:rowOff>
    </xdr:from>
    <xdr:to>
      <xdr:col>8</xdr:col>
      <xdr:colOff>211667</xdr:colOff>
      <xdr:row>10</xdr:row>
      <xdr:rowOff>21167</xdr:rowOff>
    </xdr:to>
    <xdr:sp macro="" textlink="">
      <xdr:nvSpPr>
        <xdr:cNvPr id="267" name="TextBox 157">
          <a:extLst>
            <a:ext uri="{FF2B5EF4-FFF2-40B4-BE49-F238E27FC236}">
              <a16:creationId xmlns:a16="http://schemas.microsoft.com/office/drawing/2014/main" id="{3DA7554E-7C53-4384-814F-C937A8F65172}"/>
            </a:ext>
          </a:extLst>
        </xdr:cNvPr>
        <xdr:cNvSpPr txBox="1"/>
      </xdr:nvSpPr>
      <xdr:spPr>
        <a:xfrm>
          <a:off x="1841501" y="1270000"/>
          <a:ext cx="963083" cy="2540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xx-YY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APP</a:t>
          </a:r>
          <a:r>
            <a:rPr lang="en-US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3P</a:t>
          </a:r>
          <a:r>
            <a:rPr lang="xx-YY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41,5</a:t>
          </a:r>
          <a:r>
            <a:rPr lang="xx-YY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KVA</a:t>
          </a:r>
          <a:endParaRPr lang="en-US" sz="8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52916</xdr:colOff>
      <xdr:row>26</xdr:row>
      <xdr:rowOff>84667</xdr:rowOff>
    </xdr:from>
    <xdr:to>
      <xdr:col>8</xdr:col>
      <xdr:colOff>253999</xdr:colOff>
      <xdr:row>28</xdr:row>
      <xdr:rowOff>42333</xdr:rowOff>
    </xdr:to>
    <xdr:sp macro="" textlink="">
      <xdr:nvSpPr>
        <xdr:cNvPr id="268" name="TextBox 157">
          <a:extLst>
            <a:ext uri="{FF2B5EF4-FFF2-40B4-BE49-F238E27FC236}">
              <a16:creationId xmlns:a16="http://schemas.microsoft.com/office/drawing/2014/main" id="{76C19C66-2F8A-4CD9-8B18-C2893DFCF00F}"/>
            </a:ext>
          </a:extLst>
        </xdr:cNvPr>
        <xdr:cNvSpPr txBox="1"/>
      </xdr:nvSpPr>
      <xdr:spPr>
        <a:xfrm>
          <a:off x="1883833" y="3968750"/>
          <a:ext cx="963083" cy="2540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xx-YY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APP</a:t>
          </a:r>
          <a:r>
            <a:rPr lang="en-US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3P</a:t>
          </a:r>
          <a:r>
            <a:rPr lang="xx-YY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23</a:t>
          </a:r>
          <a:r>
            <a:rPr lang="xx-YY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KVA</a:t>
          </a:r>
          <a:endParaRPr lang="en-US" sz="8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328084</xdr:colOff>
      <xdr:row>32</xdr:row>
      <xdr:rowOff>63500</xdr:rowOff>
    </xdr:from>
    <xdr:to>
      <xdr:col>13</xdr:col>
      <xdr:colOff>104362</xdr:colOff>
      <xdr:row>33</xdr:row>
      <xdr:rowOff>52274</xdr:rowOff>
    </xdr:to>
    <xdr:grpSp>
      <xdr:nvGrpSpPr>
        <xdr:cNvPr id="269" name="Group 13">
          <a:extLst>
            <a:ext uri="{FF2B5EF4-FFF2-40B4-BE49-F238E27FC236}">
              <a16:creationId xmlns:a16="http://schemas.microsoft.com/office/drawing/2014/main" id="{7A675843-AB05-4FD3-98E7-EB8F2E9C1BDF}"/>
            </a:ext>
          </a:extLst>
        </xdr:cNvPr>
        <xdr:cNvGrpSpPr/>
      </xdr:nvGrpSpPr>
      <xdr:grpSpPr>
        <a:xfrm>
          <a:off x="4445001" y="4836583"/>
          <a:ext cx="157278" cy="136941"/>
          <a:chOff x="9937028" y="802652"/>
          <a:chExt cx="83991" cy="77961"/>
        </a:xfrm>
      </xdr:grpSpPr>
      <xdr:sp macro="" textlink="">
        <xdr:nvSpPr>
          <xdr:cNvPr id="270" name="Oval 1">
            <a:extLst>
              <a:ext uri="{FF2B5EF4-FFF2-40B4-BE49-F238E27FC236}">
                <a16:creationId xmlns:a16="http://schemas.microsoft.com/office/drawing/2014/main" id="{652452FA-AAB7-1DF6-04D6-D8F96AD9FE7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1" name="Straight Connector 3">
            <a:extLst>
              <a:ext uri="{FF2B5EF4-FFF2-40B4-BE49-F238E27FC236}">
                <a16:creationId xmlns:a16="http://schemas.microsoft.com/office/drawing/2014/main" id="{DD6C3736-05AC-149D-1337-27952F52115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2" name="Straight Connector 7">
            <a:extLst>
              <a:ext uri="{FF2B5EF4-FFF2-40B4-BE49-F238E27FC236}">
                <a16:creationId xmlns:a16="http://schemas.microsoft.com/office/drawing/2014/main" id="{45BECB5C-D90A-8E8E-C0F4-984571122F3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370417</xdr:colOff>
      <xdr:row>28</xdr:row>
      <xdr:rowOff>84666</xdr:rowOff>
    </xdr:from>
    <xdr:to>
      <xdr:col>18</xdr:col>
      <xdr:colOff>58759</xdr:colOff>
      <xdr:row>34</xdr:row>
      <xdr:rowOff>38183</xdr:rowOff>
    </xdr:to>
    <xdr:sp macro="" textlink="">
      <xdr:nvSpPr>
        <xdr:cNvPr id="273" name="Rectangle 1">
          <a:extLst>
            <a:ext uri="{FF2B5EF4-FFF2-40B4-BE49-F238E27FC236}">
              <a16:creationId xmlns:a16="http://schemas.microsoft.com/office/drawing/2014/main" id="{6D92FE4C-3E08-43AD-AB29-2FEA7004E6F0}"/>
            </a:ext>
          </a:extLst>
        </xdr:cNvPr>
        <xdr:cNvSpPr/>
      </xdr:nvSpPr>
      <xdr:spPr>
        <a:xfrm rot="16200000">
          <a:off x="5624746" y="4270671"/>
          <a:ext cx="842517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169333</xdr:colOff>
      <xdr:row>31</xdr:row>
      <xdr:rowOff>52916</xdr:rowOff>
    </xdr:from>
    <xdr:to>
      <xdr:col>10</xdr:col>
      <xdr:colOff>19336</xdr:colOff>
      <xdr:row>31</xdr:row>
      <xdr:rowOff>138107</xdr:rowOff>
    </xdr:to>
    <xdr:grpSp>
      <xdr:nvGrpSpPr>
        <xdr:cNvPr id="274" name="Group 134">
          <a:extLst>
            <a:ext uri="{FF2B5EF4-FFF2-40B4-BE49-F238E27FC236}">
              <a16:creationId xmlns:a16="http://schemas.microsoft.com/office/drawing/2014/main" id="{D56AC954-CBA5-46F7-98A3-2CCB0ADFEA3A}"/>
            </a:ext>
          </a:extLst>
        </xdr:cNvPr>
        <xdr:cNvGrpSpPr/>
      </xdr:nvGrpSpPr>
      <xdr:grpSpPr>
        <a:xfrm>
          <a:off x="3143250" y="4677833"/>
          <a:ext cx="23100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275" name="Isosceles Triangle 118">
            <a:extLst>
              <a:ext uri="{FF2B5EF4-FFF2-40B4-BE49-F238E27FC236}">
                <a16:creationId xmlns:a16="http://schemas.microsoft.com/office/drawing/2014/main" id="{0DA78995-3A9A-068A-2F36-FB2BDE1B125A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76" name="Isosceles Triangle 119">
            <a:extLst>
              <a:ext uri="{FF2B5EF4-FFF2-40B4-BE49-F238E27FC236}">
                <a16:creationId xmlns:a16="http://schemas.microsoft.com/office/drawing/2014/main" id="{6352DB10-BA39-5597-7044-963984C1315F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77" name="Isosceles Triangle 120">
            <a:extLst>
              <a:ext uri="{FF2B5EF4-FFF2-40B4-BE49-F238E27FC236}">
                <a16:creationId xmlns:a16="http://schemas.microsoft.com/office/drawing/2014/main" id="{100FCFBF-AAA3-A1E7-4352-1C4C61169159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10</xdr:col>
      <xdr:colOff>137583</xdr:colOff>
      <xdr:row>29</xdr:row>
      <xdr:rowOff>52918</xdr:rowOff>
    </xdr:from>
    <xdr:to>
      <xdr:col>12</xdr:col>
      <xdr:colOff>156993</xdr:colOff>
      <xdr:row>30</xdr:row>
      <xdr:rowOff>94352</xdr:rowOff>
    </xdr:to>
    <xdr:sp macro="" textlink="">
      <xdr:nvSpPr>
        <xdr:cNvPr id="278" name="TextBox 160">
          <a:extLst>
            <a:ext uri="{FF2B5EF4-FFF2-40B4-BE49-F238E27FC236}">
              <a16:creationId xmlns:a16="http://schemas.microsoft.com/office/drawing/2014/main" id="{9500BA30-7E36-4947-9434-6B71A5FAD4C7}"/>
            </a:ext>
          </a:extLst>
        </xdr:cNvPr>
        <xdr:cNvSpPr txBox="1"/>
      </xdr:nvSpPr>
      <xdr:spPr>
        <a:xfrm>
          <a:off x="3492500" y="4381501"/>
          <a:ext cx="781410" cy="189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</a:t>
          </a:r>
          <a:r>
            <a:rPr lang="en-US" sz="800" baseline="0">
              <a:solidFill>
                <a:srgbClr val="FF0000"/>
              </a:solidFill>
              <a:effectLst/>
            </a:rPr>
            <a:t>16</a:t>
          </a:r>
          <a:r>
            <a:rPr lang="xx-YY" sz="800" baseline="0">
              <a:solidFill>
                <a:srgbClr val="FF0000"/>
              </a:solidFill>
              <a:effectLst/>
            </a:rPr>
            <a:t>0</a:t>
          </a:r>
          <a:r>
            <a:rPr lang="en-ID" sz="800" baseline="0">
              <a:solidFill>
                <a:srgbClr val="FF0000"/>
              </a:solidFill>
              <a:effectLst/>
            </a:rPr>
            <a:t>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10</xdr:col>
      <xdr:colOff>189643</xdr:colOff>
      <xdr:row>31</xdr:row>
      <xdr:rowOff>82931</xdr:rowOff>
    </xdr:from>
    <xdr:to>
      <xdr:col>12</xdr:col>
      <xdr:colOff>328084</xdr:colOff>
      <xdr:row>32</xdr:row>
      <xdr:rowOff>131971</xdr:rowOff>
    </xdr:to>
    <xdr:cxnSp macro="">
      <xdr:nvCxnSpPr>
        <xdr:cNvPr id="279" name="Straight Connector 164">
          <a:extLst>
            <a:ext uri="{FF2B5EF4-FFF2-40B4-BE49-F238E27FC236}">
              <a16:creationId xmlns:a16="http://schemas.microsoft.com/office/drawing/2014/main" id="{79C9388E-20CF-4156-B907-568DCF522EC7}"/>
            </a:ext>
          </a:extLst>
        </xdr:cNvPr>
        <xdr:cNvCxnSpPr>
          <a:cxnSpLocks/>
          <a:stCxn id="270" idx="2"/>
          <a:endCxn id="190" idx="5"/>
        </xdr:cNvCxnSpPr>
      </xdr:nvCxnSpPr>
      <xdr:spPr bwMode="auto">
        <a:xfrm flipH="1" flipV="1">
          <a:off x="3544560" y="4707848"/>
          <a:ext cx="900441" cy="19720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243417</xdr:colOff>
      <xdr:row>32</xdr:row>
      <xdr:rowOff>21167</xdr:rowOff>
    </xdr:from>
    <xdr:to>
      <xdr:col>12</xdr:col>
      <xdr:colOff>1552</xdr:colOff>
      <xdr:row>32</xdr:row>
      <xdr:rowOff>83692</xdr:rowOff>
    </xdr:to>
    <xdr:grpSp>
      <xdr:nvGrpSpPr>
        <xdr:cNvPr id="287" name="Grup 234">
          <a:extLst>
            <a:ext uri="{FF2B5EF4-FFF2-40B4-BE49-F238E27FC236}">
              <a16:creationId xmlns:a16="http://schemas.microsoft.com/office/drawing/2014/main" id="{9C532000-3A8D-4BCD-BC99-1225F2022766}"/>
            </a:ext>
          </a:extLst>
        </xdr:cNvPr>
        <xdr:cNvGrpSpPr/>
      </xdr:nvGrpSpPr>
      <xdr:grpSpPr>
        <a:xfrm rot="677133">
          <a:off x="3979334" y="4794250"/>
          <a:ext cx="139135" cy="62525"/>
          <a:chOff x="13302191" y="2320613"/>
          <a:chExt cx="139135" cy="57233"/>
        </a:xfrm>
      </xdr:grpSpPr>
      <xdr:cxnSp macro="">
        <xdr:nvCxnSpPr>
          <xdr:cNvPr id="288" name="Straight Connector 287">
            <a:extLst>
              <a:ext uri="{FF2B5EF4-FFF2-40B4-BE49-F238E27FC236}">
                <a16:creationId xmlns:a16="http://schemas.microsoft.com/office/drawing/2014/main" id="{1D14D657-63FC-9F2D-3210-05BB7B6984A9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9" name="Straight Connector 288">
            <a:extLst>
              <a:ext uri="{FF2B5EF4-FFF2-40B4-BE49-F238E27FC236}">
                <a16:creationId xmlns:a16="http://schemas.microsoft.com/office/drawing/2014/main" id="{E3B2C763-517A-7B59-D800-0766A413729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0" name="Straight Connector 289">
            <a:extLst>
              <a:ext uri="{FF2B5EF4-FFF2-40B4-BE49-F238E27FC236}">
                <a16:creationId xmlns:a16="http://schemas.microsoft.com/office/drawing/2014/main" id="{60DE7024-7F87-95ED-6902-E2166B383538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1" name="Straight Connector 290">
            <a:extLst>
              <a:ext uri="{FF2B5EF4-FFF2-40B4-BE49-F238E27FC236}">
                <a16:creationId xmlns:a16="http://schemas.microsoft.com/office/drawing/2014/main" id="{A7179195-B7C8-F450-FDD0-81BF70F27220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84667</xdr:colOff>
      <xdr:row>33</xdr:row>
      <xdr:rowOff>21166</xdr:rowOff>
    </xdr:from>
    <xdr:to>
      <xdr:col>13</xdr:col>
      <xdr:colOff>254000</xdr:colOff>
      <xdr:row>33</xdr:row>
      <xdr:rowOff>29953</xdr:rowOff>
    </xdr:to>
    <xdr:cxnSp macro="">
      <xdr:nvCxnSpPr>
        <xdr:cNvPr id="292" name="Straight Arrow Connector 291">
          <a:extLst>
            <a:ext uri="{FF2B5EF4-FFF2-40B4-BE49-F238E27FC236}">
              <a16:creationId xmlns:a16="http://schemas.microsoft.com/office/drawing/2014/main" id="{D4A90EAB-C823-463C-B178-DC495A6CE7CB}"/>
            </a:ext>
          </a:extLst>
        </xdr:cNvPr>
        <xdr:cNvCxnSpPr/>
      </xdr:nvCxnSpPr>
      <xdr:spPr>
        <a:xfrm flipV="1">
          <a:off x="4582584" y="4942416"/>
          <a:ext cx="169333" cy="878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370416</xdr:colOff>
      <xdr:row>30</xdr:row>
      <xdr:rowOff>84667</xdr:rowOff>
    </xdr:from>
    <xdr:to>
      <xdr:col>16</xdr:col>
      <xdr:colOff>155151</xdr:colOff>
      <xdr:row>31</xdr:row>
      <xdr:rowOff>84666</xdr:rowOff>
    </xdr:to>
    <xdr:sp macro="" textlink="">
      <xdr:nvSpPr>
        <xdr:cNvPr id="294" name="Rectangle 146">
          <a:extLst>
            <a:ext uri="{FF2B5EF4-FFF2-40B4-BE49-F238E27FC236}">
              <a16:creationId xmlns:a16="http://schemas.microsoft.com/office/drawing/2014/main" id="{BABCC811-BF86-47B5-8088-3187A7C76B72}"/>
            </a:ext>
          </a:extLst>
        </xdr:cNvPr>
        <xdr:cNvSpPr/>
      </xdr:nvSpPr>
      <xdr:spPr>
        <a:xfrm>
          <a:off x="5630333" y="4561417"/>
          <a:ext cx="165735" cy="148166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13</xdr:col>
      <xdr:colOff>81329</xdr:colOff>
      <xdr:row>31</xdr:row>
      <xdr:rowOff>10583</xdr:rowOff>
    </xdr:from>
    <xdr:to>
      <xdr:col>15</xdr:col>
      <xdr:colOff>370416</xdr:colOff>
      <xdr:row>32</xdr:row>
      <xdr:rowOff>83555</xdr:rowOff>
    </xdr:to>
    <xdr:cxnSp macro="">
      <xdr:nvCxnSpPr>
        <xdr:cNvPr id="295" name="Straight Connector 164">
          <a:extLst>
            <a:ext uri="{FF2B5EF4-FFF2-40B4-BE49-F238E27FC236}">
              <a16:creationId xmlns:a16="http://schemas.microsoft.com/office/drawing/2014/main" id="{9EE9781B-B627-49D3-94C7-073C0EC27CB7}"/>
            </a:ext>
          </a:extLst>
        </xdr:cNvPr>
        <xdr:cNvCxnSpPr>
          <a:cxnSpLocks/>
          <a:stCxn id="294" idx="1"/>
          <a:endCxn id="270" idx="7"/>
        </xdr:cNvCxnSpPr>
      </xdr:nvCxnSpPr>
      <xdr:spPr bwMode="auto">
        <a:xfrm flipH="1">
          <a:off x="4579246" y="4635500"/>
          <a:ext cx="1051087" cy="22113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179916</xdr:colOff>
      <xdr:row>31</xdr:row>
      <xdr:rowOff>84666</xdr:rowOff>
    </xdr:from>
    <xdr:to>
      <xdr:col>14</xdr:col>
      <xdr:colOff>319051</xdr:colOff>
      <xdr:row>31</xdr:row>
      <xdr:rowOff>147191</xdr:rowOff>
    </xdr:to>
    <xdr:grpSp>
      <xdr:nvGrpSpPr>
        <xdr:cNvPr id="298" name="Grup 234">
          <a:extLst>
            <a:ext uri="{FF2B5EF4-FFF2-40B4-BE49-F238E27FC236}">
              <a16:creationId xmlns:a16="http://schemas.microsoft.com/office/drawing/2014/main" id="{64AB73A6-7380-4BE8-B1EF-E1236810343A}"/>
            </a:ext>
          </a:extLst>
        </xdr:cNvPr>
        <xdr:cNvGrpSpPr/>
      </xdr:nvGrpSpPr>
      <xdr:grpSpPr>
        <a:xfrm rot="19889940">
          <a:off x="5058833" y="4709583"/>
          <a:ext cx="139135" cy="62525"/>
          <a:chOff x="13302191" y="2320613"/>
          <a:chExt cx="139135" cy="57233"/>
        </a:xfrm>
      </xdr:grpSpPr>
      <xdr:cxnSp macro="">
        <xdr:nvCxnSpPr>
          <xdr:cNvPr id="299" name="Straight Connector 298">
            <a:extLst>
              <a:ext uri="{FF2B5EF4-FFF2-40B4-BE49-F238E27FC236}">
                <a16:creationId xmlns:a16="http://schemas.microsoft.com/office/drawing/2014/main" id="{5EF4305D-F82E-D903-6E82-48A13B4FA984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0" name="Straight Connector 299">
            <a:extLst>
              <a:ext uri="{FF2B5EF4-FFF2-40B4-BE49-F238E27FC236}">
                <a16:creationId xmlns:a16="http://schemas.microsoft.com/office/drawing/2014/main" id="{B48105E1-3ECA-5B9E-AB3D-4AB69989B240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1" name="Straight Connector 300">
            <a:extLst>
              <a:ext uri="{FF2B5EF4-FFF2-40B4-BE49-F238E27FC236}">
                <a16:creationId xmlns:a16="http://schemas.microsoft.com/office/drawing/2014/main" id="{CE82ACC5-B52E-4586-26EA-1DF87DFE9A7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2" name="Straight Connector 301">
            <a:extLst>
              <a:ext uri="{FF2B5EF4-FFF2-40B4-BE49-F238E27FC236}">
                <a16:creationId xmlns:a16="http://schemas.microsoft.com/office/drawing/2014/main" id="{FA7EAE13-D3E8-218A-B9D3-E7931E85BCC3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148167</xdr:colOff>
      <xdr:row>27</xdr:row>
      <xdr:rowOff>31750</xdr:rowOff>
    </xdr:from>
    <xdr:to>
      <xdr:col>18</xdr:col>
      <xdr:colOff>243417</xdr:colOff>
      <xdr:row>29</xdr:row>
      <xdr:rowOff>141365</xdr:rowOff>
    </xdr:to>
    <xdr:sp macro="" textlink="">
      <xdr:nvSpPr>
        <xdr:cNvPr id="303" name="TextBox 157">
          <a:extLst>
            <a:ext uri="{FF2B5EF4-FFF2-40B4-BE49-F238E27FC236}">
              <a16:creationId xmlns:a16="http://schemas.microsoft.com/office/drawing/2014/main" id="{78F49DAC-93CC-4EE0-AC70-074B2E4C8460}"/>
            </a:ext>
          </a:extLst>
        </xdr:cNvPr>
        <xdr:cNvSpPr txBox="1"/>
      </xdr:nvSpPr>
      <xdr:spPr>
        <a:xfrm>
          <a:off x="5408084" y="4064000"/>
          <a:ext cx="1238250" cy="40594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APP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3P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16,5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KVA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 3X35+35 = 50 MTR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211667</xdr:colOff>
      <xdr:row>35</xdr:row>
      <xdr:rowOff>137584</xdr:rowOff>
    </xdr:from>
    <xdr:to>
      <xdr:col>7</xdr:col>
      <xdr:colOff>285750</xdr:colOff>
      <xdr:row>36</xdr:row>
      <xdr:rowOff>0</xdr:rowOff>
    </xdr:to>
    <xdr:cxnSp macro="">
      <xdr:nvCxnSpPr>
        <xdr:cNvPr id="304" name="Straight Connector 303">
          <a:extLst>
            <a:ext uri="{FF2B5EF4-FFF2-40B4-BE49-F238E27FC236}">
              <a16:creationId xmlns:a16="http://schemas.microsoft.com/office/drawing/2014/main" id="{A61EC141-90BA-49D9-BF40-07627B4BB5D4}"/>
            </a:ext>
          </a:extLst>
        </xdr:cNvPr>
        <xdr:cNvCxnSpPr/>
      </xdr:nvCxnSpPr>
      <xdr:spPr>
        <a:xfrm flipV="1">
          <a:off x="1661584" y="5355167"/>
          <a:ext cx="836083" cy="1058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21167</xdr:colOff>
      <xdr:row>31</xdr:row>
      <xdr:rowOff>0</xdr:rowOff>
    </xdr:from>
    <xdr:to>
      <xdr:col>9</xdr:col>
      <xdr:colOff>338667</xdr:colOff>
      <xdr:row>33</xdr:row>
      <xdr:rowOff>21167</xdr:rowOff>
    </xdr:to>
    <xdr:cxnSp macro="">
      <xdr:nvCxnSpPr>
        <xdr:cNvPr id="306" name="Straight Connector 305">
          <a:extLst>
            <a:ext uri="{FF2B5EF4-FFF2-40B4-BE49-F238E27FC236}">
              <a16:creationId xmlns:a16="http://schemas.microsoft.com/office/drawing/2014/main" id="{C0274C7F-2580-4B29-A12D-E66F3E9585C5}"/>
            </a:ext>
          </a:extLst>
        </xdr:cNvPr>
        <xdr:cNvCxnSpPr/>
      </xdr:nvCxnSpPr>
      <xdr:spPr>
        <a:xfrm flipV="1">
          <a:off x="2995084" y="4624917"/>
          <a:ext cx="317500" cy="3175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116417</xdr:colOff>
      <xdr:row>30</xdr:row>
      <xdr:rowOff>74083</xdr:rowOff>
    </xdr:from>
    <xdr:to>
      <xdr:col>10</xdr:col>
      <xdr:colOff>21167</xdr:colOff>
      <xdr:row>32</xdr:row>
      <xdr:rowOff>127000</xdr:rowOff>
    </xdr:to>
    <xdr:cxnSp macro="">
      <xdr:nvCxnSpPr>
        <xdr:cNvPr id="308" name="Straight Connector 307">
          <a:extLst>
            <a:ext uri="{FF2B5EF4-FFF2-40B4-BE49-F238E27FC236}">
              <a16:creationId xmlns:a16="http://schemas.microsoft.com/office/drawing/2014/main" id="{4BA2C57B-C540-4867-8323-3337B4CED070}"/>
            </a:ext>
          </a:extLst>
        </xdr:cNvPr>
        <xdr:cNvCxnSpPr/>
      </xdr:nvCxnSpPr>
      <xdr:spPr>
        <a:xfrm>
          <a:off x="3090334" y="4550833"/>
          <a:ext cx="285750" cy="3492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55AB8-E910-4ADC-84BC-EF0A9114E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7323BF-46E8-4F0B-9419-6DD5F5285045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E36D53-7100-42EA-8014-A921ABE1738C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27</xdr:col>
      <xdr:colOff>222926</xdr:colOff>
      <xdr:row>51</xdr:row>
      <xdr:rowOff>101329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9268919-3A6A-8075-F991-46ABC06D7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810638"/>
          <a:ext cx="14510426" cy="755920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5E1F0-1A43-4ADA-B09D-335010A99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7E417D-4366-402E-A295-EDC0EAC6A91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4</xdr:col>
      <xdr:colOff>-1</xdr:colOff>
      <xdr:row>6</xdr:row>
      <xdr:rowOff>-1</xdr:rowOff>
    </xdr:from>
    <xdr:to>
      <xdr:col>26</xdr:col>
      <xdr:colOff>487325</xdr:colOff>
      <xdr:row>57</xdr:row>
      <xdr:rowOff>110755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5F3460-2F68-799F-91D9-E7E3FF91E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7557" y="908197"/>
          <a:ext cx="14065989" cy="801872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D%20WAGIYO%2041,5%20KVAkirim.xlsx" TargetMode="External"/><Relationship Id="rId1" Type="http://schemas.openxmlformats.org/officeDocument/2006/relationships/externalLinkPath" Target="/Users/junjun.baheransyah/Downloads/52553_KKO_KKF_PD%20WAGIYO%2041,5%20KVAkirim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ca"/>
      <sheetName val="W-NAD"/>
      <sheetName val="sept"/>
      <sheetName val="W1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9" t="s">
        <v>1133</v>
      </c>
      <c r="C4" s="529"/>
      <c r="D4" s="529"/>
      <c r="E4" s="529"/>
      <c r="F4" s="529"/>
      <c r="G4" s="529"/>
      <c r="H4" s="52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0" t="s">
        <v>0</v>
      </c>
      <c r="C7" s="530" t="s">
        <v>1</v>
      </c>
      <c r="D7" s="531" t="s">
        <v>42</v>
      </c>
      <c r="E7" s="531" t="s">
        <v>43</v>
      </c>
      <c r="F7" s="531" t="s">
        <v>1134</v>
      </c>
      <c r="G7" s="532" t="s">
        <v>41</v>
      </c>
      <c r="H7" s="528" t="s">
        <v>1042</v>
      </c>
      <c r="I7" s="528" t="s">
        <v>1136</v>
      </c>
      <c r="J7" s="528" t="s">
        <v>1026</v>
      </c>
      <c r="K7" s="522" t="s">
        <v>1024</v>
      </c>
      <c r="L7" s="523"/>
    </row>
    <row r="8" spans="1:12" ht="15" customHeight="1">
      <c r="B8" s="530"/>
      <c r="C8" s="530"/>
      <c r="D8" s="531"/>
      <c r="E8" s="531"/>
      <c r="F8" s="531"/>
      <c r="G8" s="532"/>
      <c r="H8" s="528"/>
      <c r="I8" s="528"/>
      <c r="J8" s="528"/>
      <c r="K8" s="524"/>
      <c r="L8" s="525"/>
    </row>
    <row r="9" spans="1:12" ht="15" customHeight="1">
      <c r="B9" s="530"/>
      <c r="C9" s="530"/>
      <c r="D9" s="531"/>
      <c r="E9" s="531"/>
      <c r="F9" s="531"/>
      <c r="G9" s="532"/>
      <c r="H9" s="528"/>
      <c r="I9" s="528"/>
      <c r="J9" s="528"/>
      <c r="K9" s="526"/>
      <c r="L9" s="52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16.5 kVA MCCB 25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160 kVA YNyn0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77674900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NFA2X-T 3x35+1x35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Mtr</v>
      </c>
      <c r="F15" s="138">
        <f t="shared" ca="1" si="2"/>
        <v>50</v>
      </c>
      <c r="G15" s="41">
        <f ca="1">IF(ISERROR(OFFSET('HARGA SATUAN'!$I$6,MATCH(C15,'HARGA SATUAN'!$C$7:$C$1495,0),0)),"",OFFSET('HARGA SATUAN'!$I$6,MATCH(C15,'HARGA SATUAN'!$C$7:$C$1495,0),0))</f>
        <v>30400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NFA2X-T 3x70+1x70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Mtr</v>
      </c>
      <c r="F16" s="138">
        <f t="shared" ca="1" si="2"/>
        <v>60</v>
      </c>
      <c r="G16" s="41">
        <f ca="1">IF(ISERROR(OFFSET('HARGA SATUAN'!$I$6,MATCH(C16,'HARGA SATUAN'!$C$7:$C$1495,0),0)),"",OFFSET('HARGA SATUAN'!$I$6,MATCH(C16,'HARGA SATUAN'!$C$7:$C$1495,0),0))</f>
        <v>54500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38" t="str">
        <f t="shared" ca="1" si="2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38" t="str">
        <f t="shared" ca="1" si="2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SUMIFS(RAB!$F$14:$F$114,RAB!$C$14:$C$114,C714)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SUMIFS(RAB!$F$14:$F$114,RAB!$C$14:$C$114,C715)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SUMIFS(RAB!$F$14:$F$114,RAB!$C$14:$C$114,C716)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SUMIFS(RAB!$F$14:$F$114,RAB!$C$14:$C$114,C717)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SUMIFS(RAB!$F$14:$F$114,RAB!$C$14:$C$114,C718)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SUMIFS(RAB!$F$14:$F$114,RAB!$C$14:$C$114,C719)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SUMIFS(RAB!$F$14:$F$114,RAB!$C$14:$C$114,C720)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SUMIFS(RAB!$F$14:$F$114,RAB!$C$14:$C$114,C721)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SUMIFS(RAB!$F$14:$F$114,RAB!$C$14:$C$114,C722)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SUMIFS(RAB!$F$14:$F$114,RAB!$C$14:$C$114,C723)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SUMIFS(RAB!$F$14:$F$114,RAB!$C$14:$C$114,C724)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SUMIFS(RAB!$F$14:$F$114,RAB!$C$14:$C$114,C725)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SUMIFS(RAB!$F$14:$F$114,RAB!$C$14:$C$114,C726)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SUMIFS(RAB!$F$14:$F$114,RAB!$C$14:$C$114,C727)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SUMIFS(RAB!$F$14:$F$114,RAB!$C$14:$C$114,C728)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SUMIFS(RAB!$F$14:$F$114,RAB!$C$14:$C$114,C729)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SUMIFS(RAB!$F$14:$F$114,RAB!$C$14:$C$114,C730)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SUMIFS(RAB!$F$14:$F$114,RAB!$C$14:$C$114,C731)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SUMIFS(RAB!$F$14:$F$114,RAB!$C$14:$C$114,C732)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SUMIFS(RAB!$F$14:$F$114,RAB!$C$14:$C$114,C733)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SUMIFS(RAB!$F$14:$F$114,RAB!$C$14:$C$114,C734)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SUMIFS(RAB!$F$14:$F$114,RAB!$C$14:$C$114,C735)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SUMIFS(RAB!$F$14:$F$114,RAB!$C$14:$C$114,C736)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SUMIFS(RAB!$F$14:$F$114,RAB!$C$14:$C$114,C737)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SUMIFS(RAB!$F$14:$F$114,RAB!$C$14:$C$114,C738)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SUMIFS(RAB!$F$14:$F$114,RAB!$C$14:$C$114,C739)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SUMIFS(RAB!$F$14:$F$114,RAB!$C$14:$C$114,C740)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SUMIFS(RAB!$F$14:$F$114,RAB!$C$14:$C$114,C741)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SUMIFS(RAB!$F$14:$F$114,RAB!$C$14:$C$114,C742)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SUMIFS(RAB!$F$14:$F$114,RAB!$C$14:$C$114,C743)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SUMIFS(RAB!$F$14:$F$114,RAB!$C$14:$C$114,C744)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SUMIFS(RAB!$F$14:$F$114,RAB!$C$14:$C$114,C745)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SUMIFS(RAB!$F$14:$F$114,RAB!$C$14:$C$114,C746)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SUMIFS(RAB!$F$14:$F$114,RAB!$C$14:$C$114,C747)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SUMIFS(RAB!$F$14:$F$114,RAB!$C$14:$C$114,C748)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SUMIFS(RAB!$F$14:$F$114,RAB!$C$14:$C$114,C749)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SUMIFS(RAB!$F$14:$F$114,RAB!$C$14:$C$114,C750)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SUMIFS(RAB!$F$14:$F$114,RAB!$C$14:$C$114,C751)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SUMIFS(RAB!$F$14:$F$114,RAB!$C$14:$C$114,C752)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SUMIFS(RAB!$F$14:$F$114,RAB!$C$14:$C$114,C753)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SUMIFS(RAB!$F$14:$F$114,RAB!$C$14:$C$114,C754)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SUMIFS(RAB!$F$14:$F$114,RAB!$C$14:$C$114,C755)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SUMIFS(RAB!$F$14:$F$114,RAB!$C$14:$C$114,C756)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SUMIFS(RAB!$F$14:$F$114,RAB!$C$14:$C$114,C757)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SUMIFS(RAB!$F$14:$F$114,RAB!$C$14:$C$114,C758)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SUMIFS(RAB!$F$14:$F$114,RAB!$C$14:$C$114,C759)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SUMIFS(RAB!$F$14:$F$114,RAB!$C$14:$C$114,C760)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SUMIFS(RAB!$F$14:$F$114,RAB!$C$14:$C$114,C761)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SUMIFS(RAB!$F$14:$F$114,RAB!$C$14:$C$114,C762)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SUMIFS(RAB!$F$14:$F$114,RAB!$C$14:$C$114,C763)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SUMIFS(RAB!$F$14:$F$114,RAB!$C$14:$C$114,C764)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SUMIFS(RAB!$F$14:$F$114,RAB!$C$14:$C$114,C765)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SUMIFS(RAB!$F$14:$F$114,RAB!$C$14:$C$114,C766)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SUMIFS(RAB!$F$14:$F$114,RAB!$C$14:$C$114,C767)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SUMIFS(RAB!$F$14:$F$114,RAB!$C$14:$C$114,C768)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SUMIFS(RAB!$F$14:$F$114,RAB!$C$14:$C$114,C769)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SUMIFS(RAB!$F$14:$F$114,RAB!$C$14:$C$114,C770)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SUMIFS(RAB!$F$14:$F$114,RAB!$C$14:$C$114,C771)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SUMIFS(RAB!$F$14:$F$114,RAB!$C$14:$C$114,C772)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SUMIFS(RAB!$F$14:$F$114,RAB!$C$14:$C$114,C773)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SUMIFS(RAB!$F$14:$F$114,RAB!$C$14:$C$114,C774)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SUMIFS(RAB!$F$14:$F$114,RAB!$C$14:$C$114,C775)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SUMIFS(RAB!$F$14:$F$114,RAB!$C$14:$C$114,C776)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SUMIFS(RAB!$F$14:$F$114,RAB!$C$14:$C$114,C777)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SUMIFS(RAB!$F$14:$F$114,RAB!$C$14:$C$114,C778)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SUMIFS(RAB!$F$14:$F$114,RAB!$C$14:$C$114,C779)</f>
        <v>1</v>
      </c>
      <c r="E779" s="26">
        <f t="shared" ref="E779:E842" ca="1" si="34">IF(D779=0,0,1)</f>
        <v>1</v>
      </c>
      <c r="F779" s="26">
        <f ca="1">IF(D779=0,0,SUM($E$713:E779))</f>
        <v>2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SUMIFS(RAB!$F$14:$F$114,RAB!$C$14:$C$114,C780)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SUMIFS(RAB!$F$14:$F$114,RAB!$C$14:$C$114,C781)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SUMIFS(RAB!$F$14:$F$114,RAB!$C$14:$C$114,C782)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SUMIFS(RAB!$F$14:$F$114,RAB!$C$14:$C$114,C783)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SUMIFS(RAB!$F$14:$F$114,RAB!$C$14:$C$114,C784)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SUMIFS(RAB!$F$14:$F$114,RAB!$C$14:$C$114,C785)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SUMIFS(RAB!$F$14:$F$114,RAB!$C$14:$C$114,C786)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SUMIFS(RAB!$F$14:$F$114,RAB!$C$14:$C$114,C787)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SUMIFS(RAB!$F$14:$F$114,RAB!$C$14:$C$114,C788)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SUMIFS(RAB!$F$14:$F$114,RAB!$C$14:$C$114,C789)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SUMIFS(RAB!$F$14:$F$114,RAB!$C$14:$C$114,C790)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SUMIFS(RAB!$F$14:$F$114,RAB!$C$14:$C$114,C791)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SUMIFS(RAB!$F$14:$F$114,RAB!$C$14:$C$114,C792)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SUMIFS(RAB!$F$14:$F$114,RAB!$C$14:$C$114,C793)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SUMIFS(RAB!$F$14:$F$114,RAB!$C$14:$C$114,C794)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SUMIFS(RAB!$F$14:$F$114,RAB!$C$14:$C$114,C795)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SUMIFS(RAB!$F$14:$F$114,RAB!$C$14:$C$114,C796)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SUMIFS(RAB!$F$14:$F$114,RAB!$C$14:$C$114,C797)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SUMIFS(RAB!$F$14:$F$114,RAB!$C$14:$C$114,C798)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SUMIFS(RAB!$F$14:$F$114,RAB!$C$14:$C$114,C799)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SUMIFS(RAB!$F$14:$F$114,RAB!$C$14:$C$114,C800)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SUMIFS(RAB!$F$14:$F$114,RAB!$C$14:$C$114,C801)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SUMIFS(RAB!$F$14:$F$114,RAB!$C$14:$C$114,C802)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SUMIFS(RAB!$F$14:$F$114,RAB!$C$14:$C$114,C803)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SUMIFS(RAB!$F$14:$F$114,RAB!$C$14:$C$114,C804)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SUMIFS(RAB!$F$14:$F$114,RAB!$C$14:$C$114,C805)</f>
        <v>1</v>
      </c>
      <c r="E805" s="26">
        <f t="shared" ca="1" si="34"/>
        <v>1</v>
      </c>
      <c r="F805" s="26">
        <f ca="1">IF(D805=0,0,SUM($E$713:E805))</f>
        <v>3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SUMIFS(RAB!$F$14:$F$114,RAB!$C$14:$C$114,C806)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SUMIFS(RAB!$F$14:$F$114,RAB!$C$14:$C$114,C807)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SUMIFS(RAB!$F$14:$F$114,RAB!$C$14:$C$114,C808)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SUMIFS(RAB!$F$14:$F$114,RAB!$C$14:$C$114,C809)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SUMIFS(RAB!$F$14:$F$114,RAB!$C$14:$C$114,C810)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SUMIFS(RAB!$F$14:$F$114,RAB!$C$14:$C$114,C811)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SUMIFS(RAB!$F$14:$F$114,RAB!$C$14:$C$114,C812)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SUMIFS(RAB!$F$14:$F$114,RAB!$C$14:$C$114,C813)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SUMIFS(RAB!$F$14:$F$114,RAB!$C$14:$C$114,C814)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SUMIFS(RAB!$F$14:$F$114,RAB!$C$14:$C$114,C815)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SUMIFS(RAB!$F$14:$F$114,RAB!$C$14:$C$114,C816)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SUMIFS(RAB!$F$14:$F$114,RAB!$C$14:$C$114,C817)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SUMIFS(RAB!$F$14:$F$114,RAB!$C$14:$C$114,C818)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SUMIFS(RAB!$F$14:$F$114,RAB!$C$14:$C$114,C819)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SUMIFS(RAB!$F$14:$F$114,RAB!$C$14:$C$114,C820)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SUMIFS(RAB!$F$14:$F$114,RAB!$C$14:$C$114,C821)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SUMIFS(RAB!$F$14:$F$114,RAB!$C$14:$C$114,C822)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SUMIFS(RAB!$F$14:$F$114,RAB!$C$14:$C$114,C823)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SUMIFS(RAB!$F$14:$F$114,RAB!$C$14:$C$114,C824)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SUMIFS(RAB!$F$14:$F$114,RAB!$C$14:$C$114,C825)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SUMIFS(RAB!$F$14:$F$114,RAB!$C$14:$C$114,C826)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SUMIFS(RAB!$F$14:$F$114,RAB!$C$14:$C$114,C827)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SUMIFS(RAB!$F$14:$F$114,RAB!$C$14:$C$114,C828)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SUMIFS(RAB!$F$14:$F$114,RAB!$C$14:$C$114,C829)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SUMIFS(RAB!$F$14:$F$114,RAB!$C$14:$C$114,C830)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SUMIFS(RAB!$F$14:$F$114,RAB!$C$14:$C$114,C831)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SUMIFS(RAB!$F$14:$F$114,RAB!$C$14:$C$114,C832)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SUMIFS(RAB!$F$14:$F$114,RAB!$C$14:$C$114,C833)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SUMIFS(RAB!$F$14:$F$114,RAB!$C$14:$C$114,C834)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SUMIFS(RAB!$F$14:$F$114,RAB!$C$14:$C$114,C835)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SUMIFS(RAB!$F$14:$F$114,RAB!$C$14:$C$114,C836)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SUMIFS(RAB!$F$14:$F$114,RAB!$C$14:$C$114,C837)</f>
        <v>50</v>
      </c>
      <c r="E837" s="26">
        <f t="shared" ca="1" si="34"/>
        <v>1</v>
      </c>
      <c r="F837" s="26">
        <f ca="1">IF(D837=0,0,SUM($E$713:E837))</f>
        <v>4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SUMIFS(RAB!$F$14:$F$114,RAB!$C$14:$C$114,C838)</f>
        <v>60</v>
      </c>
      <c r="E838" s="26">
        <f t="shared" ca="1" si="34"/>
        <v>1</v>
      </c>
      <c r="F838" s="26">
        <f ca="1">IF(D838=0,0,SUM($E$713:E838))</f>
        <v>5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SUMIFS(RAB!$F$14:$F$114,RAB!$C$14:$C$114,C839)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SUMIFS(RAB!$F$14:$F$114,RAB!$C$14:$C$114,C840)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SUMIFS(RAB!$F$14:$F$114,RAB!$C$14:$C$114,C841)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SUMIFS(RAB!$F$14:$F$114,RAB!$C$14:$C$114,C842)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SUMIFS(RAB!$F$14:$F$114,RAB!$C$14:$C$114,C843)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SUMIFS(RAB!$F$14:$F$114,RAB!$C$14:$C$114,C844)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SUMIFS(RAB!$F$14:$F$114,RAB!$C$14:$C$114,C845)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SUMIFS(RAB!$F$14:$F$114,RAB!$C$14:$C$114,C846)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SUMIFS(RAB!$F$14:$F$114,RAB!$C$14:$C$114,C847)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SUMIFS(RAB!$F$14:$F$114,RAB!$C$14:$C$114,C848)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SUMIFS(RAB!$F$14:$F$114,RAB!$C$14:$C$114,C849)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SUMIFS(RAB!$F$14:$F$114,RAB!$C$14:$C$114,C850)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SUMIFS(RAB!$F$14:$F$114,RAB!$C$14:$C$114,C851)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SUMIFS(RAB!$F$14:$F$114,RAB!$C$14:$C$114,C852)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SUMIFS(RAB!$F$14:$F$114,RAB!$C$14:$C$114,C853)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SUMIFS(RAB!$F$14:$F$114,RAB!$C$14:$C$114,C854)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SUMIFS(RAB!$F$14:$F$114,RAB!$C$14:$C$114,C855)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SUMIFS(RAB!$F$14:$F$114,RAB!$C$14:$C$114,C856)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SUMIFS(RAB!$F$14:$F$114,RAB!$C$14:$C$114,C857)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SUMIFS(RAB!$F$14:$F$114,RAB!$C$14:$C$114,C858)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SUMIFS(RAB!$F$14:$F$114,RAB!$C$14:$C$114,C859)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SUMIFS(RAB!$F$14:$F$114,RAB!$C$14:$C$114,C860)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SUMIFS(RAB!$F$14:$F$114,RAB!$C$14:$C$114,C861)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SUMIFS(RAB!$F$14:$F$114,RAB!$C$14:$C$114,C862)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SUMIFS(RAB!$F$14:$F$114,RAB!$C$14:$C$114,C863)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SUMIFS(RAB!$F$14:$F$114,RAB!$C$14:$C$114,C864)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SUMIFS(RAB!$F$14:$F$114,RAB!$C$14:$C$114,C865)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SUMIFS(RAB!$F$14:$F$114,RAB!$C$14:$C$114,C866)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SUMIFS(RAB!$F$14:$F$114,RAB!$C$14:$C$114,C867)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SUMIFS(RAB!$F$14:$F$114,RAB!$C$14:$C$114,C868)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SUMIFS(RAB!$F$14:$F$114,RAB!$C$14:$C$114,C869)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SUMIFS(RAB!$F$14:$F$114,RAB!$C$14:$C$114,C870)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SUMIFS(RAB!$F$14:$F$114,RAB!$C$14:$C$114,C871)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SUMIFS(RAB!$F$14:$F$114,RAB!$C$14:$C$114,C872)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SUMIFS(RAB!$F$14:$F$114,RAB!$C$14:$C$114,C873)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SUMIFS(RAB!$F$14:$F$114,RAB!$C$14:$C$114,C874)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SUMIFS(RAB!$F$14:$F$114,RAB!$C$14:$C$114,C875)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SUMIFS(RAB!$F$14:$F$114,RAB!$C$14:$C$114,C876)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SUMIFS(RAB!$F$14:$F$114,RAB!$C$14:$C$114,C877)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SUMIFS(RAB!$F$14:$F$114,RAB!$C$14:$C$114,C878)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SUMIFS(RAB!$F$14:$F$114,RAB!$C$14:$C$114,C879)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SUMIFS(RAB!$F$14:$F$114,RAB!$C$14:$C$114,C880)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SUMIFS(RAB!$F$14:$F$114,RAB!$C$14:$C$114,C881)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SUMIFS(RAB!$F$14:$F$114,RAB!$C$14:$C$114,C882)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SUMIFS(RAB!$F$14:$F$114,RAB!$C$14:$C$114,C883)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SUMIFS(RAB!$F$14:$F$114,RAB!$C$14:$C$114,C884)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SUMIFS(RAB!$F$14:$F$114,RAB!$C$14:$C$114,C885)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SUMIFS(RAB!$F$14:$F$114,RAB!$C$14:$C$114,C886)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SUMIFS(RAB!$F$14:$F$114,RAB!$C$14:$C$114,C887)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SUMIFS(RAB!$F$14:$F$114,RAB!$C$14:$C$114,C888)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SUMIFS(RAB!$F$14:$F$114,RAB!$C$14:$C$114,C889)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SUMIFS(RAB!$F$14:$F$114,RAB!$C$14:$C$114,C890)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SUMIFS(RAB!$F$14:$F$114,RAB!$C$14:$C$114,C891)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SUMIFS(RAB!$F$14:$F$114,RAB!$C$14:$C$114,C892)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SUMIFS(RAB!$F$14:$F$114,RAB!$C$14:$C$114,C893)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SUMIFS(RAB!$F$14:$F$114,RAB!$C$14:$C$114,C894)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SUMIFS(RAB!$F$14:$F$114,RAB!$C$14:$C$114,C895)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SUMIFS(RAB!$F$14:$F$114,RAB!$C$14:$C$114,C896)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SUMIFS(RAB!$F$14:$F$114,RAB!$C$14:$C$114,C897)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SUMIFS(RAB!$F$14:$F$114,RAB!$C$14:$C$114,C898)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SUMIFS(RAB!$F$14:$F$114,RAB!$C$14:$C$114,C899)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SUMIFS(RAB!$F$14:$F$114,RAB!$C$14:$C$114,C900)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SUMIFS(RAB!$F$14:$F$114,RAB!$C$14:$C$114,C901)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SUMIFS(RAB!$F$14:$F$114,RAB!$C$14:$C$114,C902)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SUMIFS(RAB!$F$14:$F$114,RAB!$C$14:$C$114,C903)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SUMIFS(RAB!$F$14:$F$114,RAB!$C$14:$C$114,C904)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SUMIFS(RAB!$F$14:$F$114,RAB!$C$14:$C$114,C905)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SUMIFS(RAB!$F$14:$F$114,RAB!$C$14:$C$114,C906)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SUMIFS(RAB!$F$14:$F$114,RAB!$C$14:$C$114,C907)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SUMIFS(RAB!$F$14:$F$114,RAB!$C$14:$C$114,C908)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SUMIFS(RAB!$F$14:$F$114,RAB!$C$14:$C$114,C909)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SUMIFS(RAB!$F$14:$F$114,RAB!$C$14:$C$114,C910)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SUMIFS(RAB!$F$14:$F$114,RAB!$C$14:$C$114,C911)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SUMIFS(RAB!$F$14:$F$114,RAB!$C$14:$C$114,C912)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SUMIFS(RAB!$F$14:$F$114,RAB!$C$14:$C$114,C913)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SUMIFS(RAB!$F$14:$F$114,RAB!$C$14:$C$114,C914)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SUMIFS(RAB!$F$14:$F$114,RAB!$C$14:$C$114,C915)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SUMIFS(RAB!$F$14:$F$114,RAB!$C$14:$C$114,C916)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SUMIFS(RAB!$F$14:$F$114,RAB!$C$14:$C$114,C917)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SUMIFS(RAB!$F$14:$F$114,RAB!$C$14:$C$114,C918)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SUMIFS(RAB!$F$14:$F$114,RAB!$C$14:$C$114,C919)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SUMIFS(RAB!$F$14:$F$114,RAB!$C$14:$C$114,C920)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SUMIFS(RAB!$F$14:$F$114,RAB!$C$14:$C$114,C921)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SUMIFS(RAB!$F$14:$F$114,RAB!$C$14:$C$114,C922)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SUMIFS(RAB!$F$14:$F$114,RAB!$C$14:$C$114,C923)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SUMIFS(RAB!$F$14:$F$114,RAB!$C$14:$C$114,C924)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SUMIFS(RAB!$F$14:$F$114,RAB!$C$14:$C$114,C925)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SUMIFS(RAB!$F$14:$F$114,RAB!$C$14:$C$114,C926)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SUMIFS(RAB!$F$14:$F$114,RAB!$C$14:$C$114,C927)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SUMIFS(RAB!$F$14:$F$114,RAB!$C$14:$C$114,C928)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SUMIFS(RAB!$F$14:$F$114,RAB!$C$14:$C$114,C929)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SUMIFS(RAB!$F$14:$F$114,RAB!$C$14:$C$114,C930)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SUMIFS(RAB!$F$14:$F$114,RAB!$C$14:$C$114,C931)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SUMIFS(RAB!$F$14:$F$114,RAB!$C$14:$C$114,C932)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SUMIFS(RAB!$F$14:$F$114,RAB!$C$14:$C$114,C933)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SUMIFS(RAB!$F$14:$F$114,RAB!$C$14:$C$114,C934)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SUMIFS(RAB!$F$14:$F$114,RAB!$C$14:$C$114,C935)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SUMIFS(RAB!$F$14:$F$114,RAB!$C$14:$C$114,C936)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SUMIFS(RAB!$F$14:$F$114,RAB!$C$14:$C$114,C937)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SUMIFS(RAB!$F$14:$F$114,RAB!$C$14:$C$114,C938)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SUMIFS(RAB!$F$14:$F$114,RAB!$C$14:$C$114,C939)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SUMIFS(RAB!$F$14:$F$114,RAB!$C$14:$C$114,C940)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SUMIFS(RAB!$F$14:$F$114,RAB!$C$14:$C$114,C941)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SUMIFS(RAB!$F$14:$F$114,RAB!$C$14:$C$114,C942)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SUMIFS(RAB!$F$14:$F$114,RAB!$C$14:$C$114,C943)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SUMIFS(RAB!$F$14:$F$114,RAB!$C$14:$C$114,C944)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SUMIFS(RAB!$F$14:$F$114,RAB!$C$14:$C$114,C945)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SUMIFS(RAB!$F$14:$F$114,RAB!$C$14:$C$114,C946)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SUMIFS(RAB!$F$14:$F$114,RAB!$C$14:$C$114,C947)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SUMIFS(RAB!$F$14:$F$114,RAB!$C$14:$C$114,C948)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SUMIFS(RAB!$F$14:$F$114,RAB!$C$14:$C$114,C949)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SUMIFS(RAB!$F$14:$F$114,RAB!$C$14:$C$114,C950)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SUMIFS(RAB!$F$14:$F$114,RAB!$C$14:$C$114,C951)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SUMIFS(RAB!$F$14:$F$114,RAB!$C$14:$C$114,C952)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SUMIFS(RAB!$F$14:$F$114,RAB!$C$14:$C$114,C953)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SUMIFS(RAB!$F$14:$F$114,RAB!$C$14:$C$114,C954)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SUMIFS(RAB!$F$14:$F$114,RAB!$C$14:$C$114,C955)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SUMIFS(RAB!$F$14:$F$114,RAB!$C$14:$C$114,C956)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SUMIFS(RAB!$F$14:$F$114,RAB!$C$14:$C$114,C957)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SUMIFS(RAB!$F$14:$F$114,RAB!$C$14:$C$114,C958)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SUMIFS(RAB!$F$14:$F$114,RAB!$C$14:$C$114,C959)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SUMIFS(RAB!$F$14:$F$114,RAB!$C$14:$C$114,C960)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SUMIFS(RAB!$F$14:$F$114,RAB!$C$14:$C$114,C961)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SUMIFS(RAB!$F$14:$F$114,RAB!$C$14:$C$114,C962)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SUMIFS(RAB!$F$14:$F$114,RAB!$C$14:$C$114,C963)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SUMIFS(RAB!$F$14:$F$114,RAB!$C$14:$C$114,C964)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SUMIFS(RAB!$F$14:$F$114,RAB!$C$14:$C$114,C965)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SUMIFS(RAB!$F$14:$F$114,RAB!$C$14:$C$114,C966)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SUMIFS(RAB!$F$14:$F$114,RAB!$C$14:$C$114,C967)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SUMIFS(RAB!$F$14:$F$114,RAB!$C$14:$C$114,C968)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SUMIFS(RAB!$F$14:$F$114,RAB!$C$14:$C$114,C969)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SUMIFS(RAB!$F$14:$F$114,RAB!$C$14:$C$114,C970)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SUMIFS(RAB!$F$14:$F$114,RAB!$C$14:$C$114,C971)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SUMIFS(RAB!$F$14:$F$114,RAB!$C$14:$C$114,C972)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SUMIFS(RAB!$F$14:$F$114,RAB!$C$14:$C$114,C973)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SUMIFS(RAB!$F$14:$F$114,RAB!$C$14:$C$114,C974)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SUMIFS(RAB!$F$14:$F$114,RAB!$C$14:$C$114,C975)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SUMIFS(RAB!$F$14:$F$114,RAB!$C$14:$C$114,C976)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SUMIFS(RAB!$F$14:$F$114,RAB!$C$14:$C$114,C977)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SUMIFS(RAB!$F$14:$F$114,RAB!$C$14:$C$114,C978)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SUMIFS(RAB!$F$14:$F$114,RAB!$C$14:$C$114,C979)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SUMIFS(RAB!$F$14:$F$114,RAB!$C$14:$C$114,C980)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SUMIFS(RAB!$F$14:$F$114,RAB!$C$14:$C$114,C981)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SUMIFS(RAB!$F$14:$F$114,RAB!$C$14:$C$114,C982)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SUMIFS(RAB!$F$14:$F$114,RAB!$C$14:$C$114,C983)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SUMIFS(RAB!$F$14:$F$114,RAB!$C$14:$C$114,C984)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SUMIFS(RAB!$F$14:$F$114,RAB!$C$14:$C$114,C985)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SUMIFS(RAB!$F$14:$F$114,RAB!$C$14:$C$114,C986)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SUMIFS(RAB!$F$14:$F$114,RAB!$C$14:$C$114,C987)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SUMIFS(RAB!$F$14:$F$114,RAB!$C$14:$C$114,C988)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SUMIFS(RAB!$F$14:$F$114,RAB!$C$14:$C$114,C989)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SUMIFS(RAB!$F$14:$F$114,RAB!$C$14:$C$114,C990)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SUMIFS(RAB!$F$14:$F$114,RAB!$C$14:$C$114,C991)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SUMIFS(RAB!$F$14:$F$114,RAB!$C$14:$C$114,C992)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SUMIFS(RAB!$F$14:$F$114,RAB!$C$14:$C$114,C993)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SUMIFS(RAB!$F$14:$F$114,RAB!$C$14:$C$114,C994)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SUMIFS(RAB!$F$14:$F$114,RAB!$C$14:$C$114,C995)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SUMIFS(RAB!$F$14:$F$114,RAB!$C$14:$C$114,C996)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SUMIFS(RAB!$F$14:$F$114,RAB!$C$14:$C$114,C997)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SUMIFS(RAB!$F$14:$F$114,RAB!$C$14:$C$114,C998)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SUMIFS(RAB!$F$14:$F$114,RAB!$C$14:$C$114,C999)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SUMIFS(RAB!$F$14:$F$114,RAB!$C$14:$C$114,C1000)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SUMIFS(RAB!$F$14:$F$114,RAB!$C$14:$C$114,C1001)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SUMIFS(RAB!$F$14:$F$114,RAB!$C$14:$C$114,C1002)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SUMIFS(RAB!$F$14:$F$114,RAB!$C$14:$C$114,C1003)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SUMIFS(RAB!$F$14:$F$114,RAB!$C$14:$C$114,C1004)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SUMIFS(RAB!$F$14:$F$114,RAB!$C$14:$C$114,C1005)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SUMIFS(RAB!$F$14:$F$114,RAB!$C$14:$C$114,C1006)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SUMIFS(RAB!$F$14:$F$114,RAB!$C$14:$C$114,C1007)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SUMIFS(RAB!$F$14:$F$114,RAB!$C$14:$C$114,C1008)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SUMIFS(RAB!$F$14:$F$114,RAB!$C$14:$C$114,C1009)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SUMIFS(RAB!$F$14:$F$114,RAB!$C$14:$C$114,C1010)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SUMIFS(RAB!$F$14:$F$114,RAB!$C$14:$C$114,C1011)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SUMIFS(RAB!$F$14:$F$114,RAB!$C$14:$C$114,C1012)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SUMIFS(RAB!$F$14:$F$114,RAB!$C$14:$C$114,C1013)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SUMIFS(RAB!$F$14:$F$114,RAB!$C$14:$C$114,C1014)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SUMIFS(RAB!$F$14:$F$114,RAB!$C$14:$C$114,C1015)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SUMIFS(RAB!$F$14:$F$114,RAB!$C$14:$C$114,C1016)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SUMIFS(RAB!$F$14:$F$114,RAB!$C$14:$C$114,C1017)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SUMIFS(RAB!$F$14:$F$114,RAB!$C$14:$C$114,C1018)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SUMIFS(RAB!$F$14:$F$114,RAB!$C$14:$C$114,C1019)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SUMIFS(RAB!$F$14:$F$114,RAB!$C$14:$C$114,C1020)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SUMIFS(RAB!$F$14:$F$114,RAB!$C$14:$C$114,C1021)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SUMIFS(RAB!$F$14:$F$114,RAB!$C$14:$C$114,C1022)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SUMIFS(RAB!$F$14:$F$114,RAB!$C$14:$C$114,C1023)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SUMIFS(RAB!$F$14:$F$114,RAB!$C$14:$C$114,C1024)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SUMIFS(RAB!$F$14:$F$114,RAB!$C$14:$C$114,C1025)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SUMIFS(RAB!$F$14:$F$114,RAB!$C$14:$C$114,C1026)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SUMIFS(RAB!$F$14:$F$114,RAB!$C$14:$C$114,C1027)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SUMIFS(RAB!$F$14:$F$114,RAB!$C$14:$C$114,C1028)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SUMIFS(RAB!$F$14:$F$114,RAB!$C$14:$C$114,C1029)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SUMIFS(RAB!$F$14:$F$114,RAB!$C$14:$C$114,C1030)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SUMIFS(RAB!$F$14:$F$114,RAB!$C$14:$C$114,C1031)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SUMIFS(RAB!$F$14:$F$114,RAB!$C$14:$C$114,C1032)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SUMIFS(RAB!$F$14:$F$114,RAB!$C$14:$C$114,C1033)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SUMIFS(RAB!$F$14:$F$114,RAB!$C$14:$C$114,C1034)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SUMIFS(RAB!$F$14:$F$114,RAB!$C$14:$C$114,C1035)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SUMIFS(RAB!$F$14:$F$114,RAB!$C$14:$C$114,C1036)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SUMIFS(RAB!$F$14:$F$114,RAB!$C$14:$C$114,C1037)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SUMIFS(RAB!$F$14:$F$114,RAB!$C$14:$C$114,C1038)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SUMIFS(RAB!$F$14:$F$114,RAB!$C$14:$C$114,C1039)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SUMIFS(RAB!$F$14:$F$114,RAB!$C$14:$C$114,C1040)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SUMIFS(RAB!$F$14:$F$114,RAB!$C$14:$C$114,C1041)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SUMIFS(RAB!$F$14:$F$114,RAB!$C$14:$C$114,C1042)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SUMIFS(RAB!$F$14:$F$114,RAB!$C$14:$C$114,C1043)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SUMIFS(RAB!$F$14:$F$114,RAB!$C$14:$C$114,C1044)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SUMIFS(RAB!$F$14:$F$114,RAB!$C$14:$C$114,C1045)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SUMIFS(RAB!$F$14:$F$114,RAB!$C$14:$C$114,C1046)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SUMIFS(RAB!$F$14:$F$114,RAB!$C$14:$C$114,C1047)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SUMIFS(RAB!$F$14:$F$114,RAB!$C$14:$C$114,C1048)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SUMIFS(RAB!$F$14:$F$114,RAB!$C$14:$C$114,C1049)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SUMIFS(RAB!$F$14:$F$114,RAB!$C$14:$C$114,C1050)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SUMIFS(RAB!$F$14:$F$114,RAB!$C$14:$C$114,C1051)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SUMIFS(RAB!$F$14:$F$114,RAB!$C$14:$C$114,C1052)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SUMIFS(RAB!$F$14:$F$114,RAB!$C$14:$C$114,C1053)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SUMIFS(RAB!$F$14:$F$114,RAB!$C$14:$C$114,C1054)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SUMIFS(RAB!$F$14:$F$114,RAB!$C$14:$C$114,C1055)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SUMIFS(RAB!$F$14:$F$114,RAB!$C$14:$C$114,C1056)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SUMIFS(RAB!$F$14:$F$114,RAB!$C$14:$C$114,C1057)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SUMIFS(RAB!$F$14:$F$114,RAB!$C$14:$C$114,C1058)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SUMIFS(RAB!$F$14:$F$114,RAB!$C$14:$C$114,C1059)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SUMIFS(RAB!$F$14:$F$114,RAB!$C$14:$C$114,C1060)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SUMIFS(RAB!$F$14:$F$114,RAB!$C$14:$C$114,C1061)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SUMIFS(RAB!$F$14:$F$114,RAB!$C$14:$C$114,C1062)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SUMIFS(RAB!$F$14:$F$114,RAB!$C$14:$C$114,C1063)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SUMIFS(RAB!$F$14:$F$114,RAB!$C$14:$C$114,C1064)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SUMIFS(RAB!$F$14:$F$114,RAB!$C$14:$C$114,C1065)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SUMIFS(RAB!$F$14:$F$114,RAB!$C$14:$C$114,C1066)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SUMIFS(RAB!$F$14:$F$114,RAB!$C$14:$C$114,C1067)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SUMIFS(RAB!$F$14:$F$114,RAB!$C$14:$C$114,C1068)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SUMIFS(RAB!$F$14:$F$114,RAB!$C$14:$C$114,C1069)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SUMIFS(RAB!$F$14:$F$114,RAB!$C$14:$C$114,C1070)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SUMIFS(RAB!$F$14:$F$114,RAB!$C$14:$C$114,C1071)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SUMIFS(RAB!$F$14:$F$114,RAB!$C$14:$C$114,C1072)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SUMIFS(RAB!$F$14:$F$114,RAB!$C$14:$C$114,C1073)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SUMIFS(RAB!$F$14:$F$114,RAB!$C$14:$C$114,C1074)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SUMIFS(RAB!$F$14:$F$114,RAB!$C$14:$C$114,C1075)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SUMIFS(RAB!$F$14:$F$114,RAB!$C$14:$C$114,C1076)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SUMIFS(RAB!$F$14:$F$114,RAB!$C$14:$C$114,C1077)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SUMIFS(RAB!$F$14:$F$114,RAB!$C$14:$C$114,C1078)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SUMIFS(RAB!$F$14:$F$114,RAB!$C$14:$C$114,C1079)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SUMIFS(RAB!$F$14:$F$114,RAB!$C$14:$C$114,C1080)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SUMIFS(RAB!$F$14:$F$114,RAB!$C$14:$C$114,C1081)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SUMIFS(RAB!$F$14:$F$114,RAB!$C$14:$C$114,C1082)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SUMIFS(RAB!$F$14:$F$114,RAB!$C$14:$C$114,C1083)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SUMIFS(RAB!$F$14:$F$114,RAB!$C$14:$C$114,C1084)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SUMIFS(RAB!$F$14:$F$114,RAB!$C$14:$C$114,C1085)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SUMIFS(RAB!$F$14:$F$114,RAB!$C$14:$C$114,C1086)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SUMIFS(RAB!$F$14:$F$114,RAB!$C$14:$C$114,C1087)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SUMIFS(RAB!$F$14:$F$114,RAB!$C$14:$C$114,C1088)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SUMIFS(RAB!$F$14:$F$114,RAB!$C$14:$C$114,C1089)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SUMIFS(RAB!$F$14:$F$114,RAB!$C$14:$C$114,C1090)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SUMIFS(RAB!$F$14:$F$114,RAB!$C$14:$C$114,C1091)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SUMIFS(RAB!$F$14:$F$114,RAB!$C$14:$C$114,C1092)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SUMIFS(RAB!$F$14:$F$114,RAB!$C$14:$C$114,C1093)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SUMIFS(RAB!$F$14:$F$114,RAB!$C$14:$C$114,C1094)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SUMIFS(RAB!$F$14:$F$114,RAB!$C$14:$C$114,C1095)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SUMIFS(RAB!$F$14:$F$114,RAB!$C$14:$C$114,C1096)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SUMIFS(RAB!$F$14:$F$114,RAB!$C$14:$C$114,C1097)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SUMIFS(RAB!$F$14:$F$114,RAB!$C$14:$C$114,C1098)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SUMIFS(RAB!$F$14:$F$114,RAB!$C$14:$C$114,C1099)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SUMIFS(RAB!$F$14:$F$114,RAB!$C$14:$C$114,C1100)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SUMIFS(RAB!$F$14:$F$114,RAB!$C$14:$C$114,C1101)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SUMIFS(RAB!$F$14:$F$114,RAB!$C$14:$C$114,C1102)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SUMIFS(RAB!$F$14:$F$114,RAB!$C$14:$C$114,C1103)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SUMIFS(RAB!$F$14:$F$114,RAB!$C$14:$C$114,C1104)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SUMIFS(RAB!$F$14:$F$114,RAB!$C$14:$C$114,C1105)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SUMIFS(RAB!$F$14:$F$114,RAB!$C$14:$C$114,C1106)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SUMIFS(RAB!$F$14:$F$114,RAB!$C$14:$C$114,C1107)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SUMIFS(RAB!$F$14:$F$114,RAB!$C$14:$C$114,C1108)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SUMIFS(RAB!$F$14:$F$114,RAB!$C$14:$C$114,C1109)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SUMIFS(RAB!$F$14:$F$114,RAB!$C$14:$C$114,C1110)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SUMIFS(RAB!$F$14:$F$114,RAB!$C$14:$C$114,C1111)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SUMIFS(RAB!$F$14:$F$114,RAB!$C$14:$C$114,C1112)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SUMIFS(RAB!$F$14:$F$114,RAB!$C$14:$C$114,C1113)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SUMIFS(RAB!$F$14:$F$114,RAB!$C$14:$C$114,C1114)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SUMIFS(RAB!$F$14:$F$114,RAB!$C$14:$C$114,C1115)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SUMIFS(RAB!$F$14:$F$114,RAB!$C$14:$C$114,C1116)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SUMIFS(RAB!$F$14:$F$114,RAB!$C$14:$C$114,C1117)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SUMIFS(RAB!$F$14:$F$114,RAB!$C$14:$C$114,C1118)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SUMIFS(RAB!$F$14:$F$114,RAB!$C$14:$C$114,C1119)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SUMIFS(RAB!$F$14:$F$114,RAB!$C$14:$C$114,C1120)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SUMIFS(RAB!$F$14:$F$114,RAB!$C$14:$C$114,C1121)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SUMIFS(RAB!$F$14:$F$114,RAB!$C$14:$C$114,C1122)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SUMIFS(RAB!$F$14:$F$114,RAB!$C$14:$C$114,C1123)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SUMIFS(RAB!$F$14:$F$114,RAB!$C$14:$C$114,C1124)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SUMIFS(RAB!$F$14:$F$114,RAB!$C$14:$C$114,C1125)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SUMIFS(RAB!$F$14:$F$114,RAB!$C$14:$C$114,C1126)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SUMIFS(RAB!$F$14:$F$114,RAB!$C$14:$C$114,C1127)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SUMIFS(RAB!$F$14:$F$114,RAB!$C$14:$C$114,C1128)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SUMIFS(RAB!$F$14:$F$114,RAB!$C$14:$C$114,C1129)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SUMIFS(RAB!$F$14:$F$114,RAB!$C$14:$C$114,C1130)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SUMIFS(RAB!$F$14:$F$114,RAB!$C$14:$C$114,C1131)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SUMIFS(RAB!$F$14:$F$114,RAB!$C$14:$C$114,C1132)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SUMIFS(RAB!$F$14:$F$114,RAB!$C$14:$C$114,C1133)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SUMIFS(RAB!$F$14:$F$114,RAB!$C$14:$C$114,C1134)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SUMIFS(RAB!$F$14:$F$114,RAB!$C$14:$C$114,C1135)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SUMIFS(RAB!$F$14:$F$114,RAB!$C$14:$C$114,C1136)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SUMIFS(RAB!$F$14:$F$114,RAB!$C$14:$C$114,C1137)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SUMIFS(RAB!$F$14:$F$114,RAB!$C$14:$C$114,C1138)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SUMIFS(RAB!$F$14:$F$114,RAB!$C$14:$C$114,C1139)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SUMIFS(RAB!$F$14:$F$114,RAB!$C$14:$C$114,C1140)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SUMIFS(RAB!$F$14:$F$114,RAB!$C$14:$C$114,C1141)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SUMIFS(RAB!$F$14:$F$114,RAB!$C$14:$C$114,C1142)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SUMIFS(RAB!$F$14:$F$114,RAB!$C$14:$C$114,C1143)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SUMIFS(RAB!$F$14:$F$114,RAB!$C$14:$C$114,C1144)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SUMIFS(RAB!$F$14:$F$114,RAB!$C$14:$C$114,C1145)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SUMIFS(RAB!$F$14:$F$114,RAB!$C$14:$C$114,C1146)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SUMIFS(RAB!$F$14:$F$114,RAB!$C$14:$C$114,C1147)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SUMIFS(RAB!$F$14:$F$114,RAB!$C$14:$C$114,C1148)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SUMIFS(RAB!$F$14:$F$114,RAB!$C$14:$C$114,C1149)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SUMIFS(RAB!$F$14:$F$114,RAB!$C$14:$C$114,C1150)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SUMIFS(RAB!$F$14:$F$114,RAB!$C$14:$C$114,C1151)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SUMIFS(RAB!$F$14:$F$114,RAB!$C$14:$C$114,C1152)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SUMIFS(RAB!$F$14:$F$114,RAB!$C$14:$C$114,C1153)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SUMIFS(RAB!$F$14:$F$114,RAB!$C$14:$C$114,C1154)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SUMIFS(RAB!$F$14:$F$114,RAB!$C$14:$C$114,C1155)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SUMIFS(RAB!$F$14:$F$114,RAB!$C$14:$C$114,C1156)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SUMIFS(RAB!$F$14:$F$114,RAB!$C$14:$C$114,C1157)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SUMIFS(RAB!$F$14:$F$114,RAB!$C$14:$C$114,C1158)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SUMIFS(RAB!$F$14:$F$114,RAB!$C$14:$C$114,C1159)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SUMIFS(RAB!$F$14:$F$114,RAB!$C$14:$C$114,C1160)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SUMIFS(RAB!$F$14:$F$114,RAB!$C$14:$C$114,C1161)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SUMIFS(RAB!$F$14:$F$114,RAB!$C$14:$C$114,C1162)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SUMIFS(RAB!$F$14:$F$114,RAB!$C$14:$C$114,C1163)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SUMIFS(RAB!$F$14:$F$114,RAB!$C$14:$C$114,C1164)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SUMIFS(RAB!$F$14:$F$114,RAB!$C$14:$C$114,C1165)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SUMIFS(RAB!$F$14:$F$114,RAB!$C$14:$C$114,C1166)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SUMIFS(RAB!$F$14:$F$114,RAB!$C$14:$C$114,C1167)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SUMIFS(RAB!$F$14:$F$114,RAB!$C$14:$C$114,C1168)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SUMIFS(RAB!$F$14:$F$114,RAB!$C$14:$C$114,C1169)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SUMIFS(RAB!$F$14:$F$114,RAB!$C$14:$C$114,C1170)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SUMIFS(RAB!$F$14:$F$114,RAB!$C$14:$C$114,C1171)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SUMIFS(RAB!$F$14:$F$114,RAB!$C$14:$C$114,C1172)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SUMIFS(RAB!$F$14:$F$114,RAB!$C$14:$C$114,C1173)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SUMIFS(RAB!$F$14:$F$114,RAB!$C$14:$C$114,C1174)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SUMIFS(RAB!$F$14:$F$114,RAB!$C$14:$C$114,C1175)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SUMIFS(RAB!$F$14:$F$114,RAB!$C$14:$C$114,C1176)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SUMIFS(RAB!$F$14:$F$114,RAB!$C$14:$C$114,C1177)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SUMIFS(RAB!$F$14:$F$114,RAB!$C$14:$C$114,C1178)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SUMIFS(RAB!$F$14:$F$114,RAB!$C$14:$C$114,C1179)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SUMIFS(RAB!$F$14:$F$114,RAB!$C$14:$C$114,C1180)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SUMIFS(RAB!$F$14:$F$114,RAB!$C$14:$C$114,C1181)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SUMIFS(RAB!$F$14:$F$114,RAB!$C$14:$C$114,C1182)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SUMIFS(RAB!$F$14:$F$114,RAB!$C$14:$C$114,C1183)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SUMIFS(RAB!$F$14:$F$114,RAB!$C$14:$C$114,C1184)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SUMIFS(RAB!$F$14:$F$114,RAB!$C$14:$C$114,C1185)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SUMIFS(RAB!$F$14:$F$114,RAB!$C$14:$C$114,C1186)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SUMIFS(RAB!$F$14:$F$114,RAB!$C$14:$C$114,C1187)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SUMIFS(RAB!$F$14:$F$114,RAB!$C$14:$C$114,C1188)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SUMIFS(RAB!$F$14:$F$114,RAB!$C$14:$C$114,C1189)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SUMIFS(RAB!$F$14:$F$114,RAB!$C$14:$C$114,C1190)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SUMIFS(RAB!$F$14:$F$114,RAB!$C$14:$C$114,C1191)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SUMIFS(RAB!$F$14:$F$114,RAB!$C$14:$C$114,C1192)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SUMIFS(RAB!$F$14:$F$114,RAB!$C$14:$C$114,C1193)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SUMIFS(RAB!$F$14:$F$114,RAB!$C$14:$C$114,C1194)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SUMIFS(RAB!$F$14:$F$114,RAB!$C$14:$C$114,C1195)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SUMIFS(RAB!$F$14:$F$114,RAB!$C$14:$C$114,C1196)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SUMIFS(RAB!$F$14:$F$114,RAB!$C$14:$C$114,C1197)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SUMIFS(RAB!$F$14:$F$114,RAB!$C$14:$C$114,C1198)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SUMIFS(RAB!$F$14:$F$114,RAB!$C$14:$C$114,C1199)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SUMIFS(RAB!$F$14:$F$114,RAB!$C$14:$C$114,C1200)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SUMIFS(RAB!$F$14:$F$114,RAB!$C$14:$C$114,C1201)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SUMIFS(RAB!$F$14:$F$114,RAB!$C$14:$C$114,C1202)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SUMIFS(RAB!$F$14:$F$114,RAB!$C$14:$C$114,C1203)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SUMIFS(RAB!$F$14:$F$114,RAB!$C$14:$C$114,C1204)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SUMIFS(RAB!$F$14:$F$114,RAB!$C$14:$C$114,C1205)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SUMIFS(RAB!$F$14:$F$114,RAB!$C$14:$C$114,C1206)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SUMIFS(RAB!$F$14:$F$114,RAB!$C$14:$C$114,C1207)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SUMIFS(RAB!$F$14:$F$114,RAB!$C$14:$C$114,C1208)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SUMIFS(RAB!$F$14:$F$114,RAB!$C$14:$C$114,C1209)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SUMIFS(RAB!$F$14:$F$114,RAB!$C$14:$C$114,C1210)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SUMIFS(RAB!$F$14:$F$114,RAB!$C$14:$C$114,C1211)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SUMIFS(RAB!$F$14:$F$114,RAB!$C$14:$C$114,C1212)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SUMIFS(RAB!$F$14:$F$114,RAB!$C$14:$C$114,C1213)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SUMIFS(RAB!$F$14:$F$114,RAB!$C$14:$C$114,C1214)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SUMIFS(RAB!$F$14:$F$114,RAB!$C$14:$C$114,C1215)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SUMIFS(RAB!$F$14:$F$114,RAB!$C$14:$C$114,C1216)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SUMIFS(RAB!$F$14:$F$114,RAB!$C$14:$C$114,C1217)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SUMIFS(RAB!$F$14:$F$114,RAB!$C$14:$C$114,C1218)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SUMIFS(RAB!$F$14:$F$114,RAB!$C$14:$C$114,C1219)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SUMIFS(RAB!$F$14:$F$114,RAB!$C$14:$C$114,C1220)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SUMIFS(RAB!$F$14:$F$114,RAB!$C$14:$C$114,C1221)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SUMIFS(RAB!$F$14:$F$114,RAB!$C$14:$C$114,C1222)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SUMIFS(RAB!$F$14:$F$114,RAB!$C$14:$C$114,C1223)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SUMIFS(RAB!$F$14:$F$114,RAB!$C$14:$C$114,C1224)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SUMIFS(RAB!$F$14:$F$114,RAB!$C$14:$C$114,C1225)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SUMIFS(RAB!$F$14:$F$114,RAB!$C$14:$C$114,C1226)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SUMIFS(RAB!$F$14:$F$114,RAB!$C$14:$C$114,C1227)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SUMIFS(RAB!$F$14:$F$114,RAB!$C$14:$C$114,C1228)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SUMIFS(RAB!$F$14:$F$114,RAB!$C$14:$C$114,C1229)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SUMIFS(RAB!$F$14:$F$114,RAB!$C$14:$C$114,C1230)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SUMIFS(RAB!$F$14:$F$114,RAB!$C$14:$C$114,C1231)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SUMIFS(RAB!$F$14:$F$114,RAB!$C$14:$C$114,C1232)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SUMIFS(RAB!$F$14:$F$114,RAB!$C$14:$C$114,C1233)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SUMIFS(RAB!$F$14:$F$114,RAB!$C$14:$C$114,C1234)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SUMIFS(RAB!$F$14:$F$114,RAB!$C$14:$C$114,C1235)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SUMIFS(RAB!$F$14:$F$114,RAB!$C$14:$C$114,C1236)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SUMIFS(RAB!$F$14:$F$114,RAB!$C$14:$C$114,C1237)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SUMIFS(RAB!$F$14:$F$114,RAB!$C$14:$C$114,C1238)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SUMIFS(RAB!$F$14:$F$114,RAB!$C$14:$C$114,C1239)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SUMIFS(RAB!$F$14:$F$114,RAB!$C$14:$C$114,C1240)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SUMIFS(RAB!$F$14:$F$114,RAB!$C$14:$C$114,C1241)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SUMIFS(RAB!$F$14:$F$114,RAB!$C$14:$C$114,C1242)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SUMIFS(RAB!$F$14:$F$114,RAB!$C$14:$C$114,C1243)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SUMIFS(RAB!$F$14:$F$114,RAB!$C$14:$C$114,C1244)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SUMIFS(RAB!$F$14:$F$114,RAB!$C$14:$C$114,C1245)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SUMIFS(RAB!$F$14:$F$114,RAB!$C$14:$C$114,C1246)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SUMIFS(RAB!$F$14:$F$114,RAB!$C$14:$C$114,C1247)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SUMIFS(RAB!$F$14:$F$114,RAB!$C$14:$C$114,C1248)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SUMIFS(RAB!$F$14:$F$114,RAB!$C$14:$C$114,C1249)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SUMIFS(RAB!$F$14:$F$114,RAB!$C$14:$C$114,C1250)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SUMIFS(RAB!$F$14:$F$114,RAB!$C$14:$C$114,C1251)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SUMIFS(RAB!$F$14:$F$114,RAB!$C$14:$C$114,C1252)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SUMIFS(RAB!$F$14:$F$114,RAB!$C$14:$C$114,C1253)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SUMIFS(RAB!$F$14:$F$114,RAB!$C$14:$C$114,C1254)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SUMIFS(RAB!$F$14:$F$114,RAB!$C$14:$C$114,C1255)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SUMIFS(RAB!$F$14:$F$114,RAB!$C$14:$C$114,C1256)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SUMIFS(RAB!$F$14:$F$114,RAB!$C$14:$C$114,C1257)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SUMIFS(RAB!$F$14:$F$114,RAB!$C$14:$C$114,C1258)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SUMIFS(RAB!$F$14:$F$114,RAB!$C$14:$C$114,C1259)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SUMIFS(RAB!$F$14:$F$114,RAB!$C$14:$C$114,C1260)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SUMIFS(RAB!$F$14:$F$114,RAB!$C$14:$C$114,C1261)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SUMIFS(RAB!$F$14:$F$114,RAB!$C$14:$C$114,C1262)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SUMIFS(RAB!$F$14:$F$114,RAB!$C$14:$C$114,C1263)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SUMIFS(RAB!$F$14:$F$114,RAB!$C$14:$C$114,C1264)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SUMIFS(RAB!$F$14:$F$114,RAB!$C$14:$C$114,C1265)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SUMIFS(RAB!$F$14:$F$114,RAB!$C$14:$C$114,C1266)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SUMIFS(RAB!$F$14:$F$114,RAB!$C$14:$C$114,C1267)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SUMIFS(RAB!$F$14:$F$114,RAB!$C$14:$C$114,C1268)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SUMIFS(RAB!$F$14:$F$114,RAB!$C$14:$C$114,C1269)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SUMIFS(RAB!$F$14:$F$114,RAB!$C$14:$C$114,C1270)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SUMIFS(RAB!$F$14:$F$114,RAB!$C$14:$C$114,C1271)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SUMIFS(RAB!$F$14:$F$114,RAB!$C$14:$C$114,C1272)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SUMIFS(RAB!$F$14:$F$114,RAB!$C$14:$C$114,C1273)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SUMIFS(RAB!$F$14:$F$114,RAB!$C$14:$C$114,C1274)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SUMIFS(RAB!$F$14:$F$114,RAB!$C$14:$C$114,C1275)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SUMIFS(RAB!$F$14:$F$114,RAB!$C$14:$C$114,C1276)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SUMIFS(RAB!$F$14:$F$114,RAB!$C$14:$C$114,C1277)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SUMIFS(RAB!$F$14:$F$114,RAB!$C$14:$C$114,C1278)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SUMIFS(RAB!$F$14:$F$114,RAB!$C$14:$C$114,C1279)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SUMIFS(RAB!$F$14:$F$114,RAB!$C$14:$C$114,C1280)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SUMIFS(RAB!$F$14:$F$114,RAB!$C$14:$C$114,C1281)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SUMIFS(RAB!$F$14:$F$114,RAB!$C$14:$C$114,C1282)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SUMIFS(RAB!$F$14:$F$114,RAB!$C$14:$C$114,C1283)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SUMIFS(RAB!$F$14:$F$114,RAB!$C$14:$C$114,C1284)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SUMIFS(RAB!$F$14:$F$114,RAB!$C$14:$C$114,C1285)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SUMIFS(RAB!$F$14:$F$114,RAB!$C$14:$C$114,C1286)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SUMIFS(RAB!$F$14:$F$114,RAB!$C$14:$C$114,C1287)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SUMIFS(RAB!$F$14:$F$114,RAB!$C$14:$C$114,C1288)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SUMIFS(RAB!$F$14:$F$114,RAB!$C$14:$C$114,C1289)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SUMIFS(RAB!$F$14:$F$114,RAB!$C$14:$C$114,C1290)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SUMIFS(RAB!$F$14:$F$114,RAB!$C$14:$C$114,C1291)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SUMIFS(RAB!$F$14:$F$114,RAB!$C$14:$C$114,C1292)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SUMIFS(RAB!$F$14:$F$114,RAB!$C$14:$C$114,C1293)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SUMIFS(RAB!$F$14:$F$114,RAB!$C$14:$C$114,C1294)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SUMIFS(RAB!$F$14:$F$114,RAB!$C$14:$C$114,C1295)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SUMIFS(RAB!$F$14:$F$114,RAB!$C$14:$C$114,C1296)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SUMIFS(RAB!$F$14:$F$114,RAB!$C$14:$C$114,C1297)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SUMIFS(RAB!$F$14:$F$114,RAB!$C$14:$C$114,C1298)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SUMIFS(RAB!$F$14:$F$114,RAB!$C$14:$C$114,C1299)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SUMIFS(RAB!$F$14:$F$114,RAB!$C$14:$C$114,C1300)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SUMIFS(RAB!$F$14:$F$114,RAB!$C$14:$C$114,C1301)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SUMIFS(RAB!$F$14:$F$114,RAB!$C$14:$C$114,C1302)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SUMIFS(RAB!$F$14:$F$114,RAB!$C$14:$C$114,C1303)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SUMIFS(RAB!$F$14:$F$114,RAB!$C$14:$C$114,C1304)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SUMIFS(RAB!$F$14:$F$114,RAB!$C$14:$C$114,C1305)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SUMIFS(RAB!$F$14:$F$114,RAB!$C$14:$C$114,C1306)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SUMIFS(RAB!$F$14:$F$114,RAB!$C$14:$C$114,C1307)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SUMIFS(RAB!$F$14:$F$114,RAB!$C$14:$C$114,C1308)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SUMIFS(RAB!$F$14:$F$114,RAB!$C$14:$C$114,C1309)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SUMIFS(RAB!$F$14:$F$114,RAB!$C$14:$C$114,C1310)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SUMIFS(RAB!$F$14:$F$114,RAB!$C$14:$C$114,C1311)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SUMIFS(RAB!$F$14:$F$114,RAB!$C$14:$C$114,C1312)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SUMIFS(RAB!$F$14:$F$114,RAB!$C$14:$C$114,C1313)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SUMIFS(RAB!$F$14:$F$114,RAB!$C$14:$C$114,C1314)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SUMIFS(RAB!$F$14:$F$114,RAB!$C$14:$C$114,C1315)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SUMIFS(RAB!$F$14:$F$114,RAB!$C$14:$C$114,C1316)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SUMIFS(RAB!$F$14:$F$114,RAB!$C$14:$C$114,C1317)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SUMIFS(RAB!$F$14:$F$114,RAB!$C$14:$C$114,C1318)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SUMIFS(RAB!$F$14:$F$114,RAB!$C$14:$C$114,C1319)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SUMIFS(RAB!$F$14:$F$114,RAB!$C$14:$C$114,C1320)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0" priority="5" operator="equal">
      <formula>0</formula>
    </cfRule>
  </conditionalFormatting>
  <conditionalFormatting sqref="A10:L65536">
    <cfRule type="cellIs" dxfId="59" priority="1" operator="equal">
      <formula>0</formula>
    </cfRule>
  </conditionalFormatting>
  <conditionalFormatting sqref="C12:C711">
    <cfRule type="cellIs" dxfId="58" priority="66" stopIfTrue="1" operator="equal">
      <formula>0</formula>
    </cfRule>
  </conditionalFormatting>
  <conditionalFormatting sqref="E712:E65536">
    <cfRule type="cellIs" dxfId="57" priority="16" stopIfTrue="1" operator="equal">
      <formula>0</formula>
    </cfRule>
  </conditionalFormatting>
  <conditionalFormatting sqref="G1:G11 E6:E11 E1:E3 H7 H10:H11 F10:F711 G712:G65536">
    <cfRule type="cellIs" dxfId="56" priority="69" stopIfTrue="1" operator="equal">
      <formula>0</formula>
    </cfRule>
  </conditionalFormatting>
  <conditionalFormatting sqref="G12:H711">
    <cfRule type="cellIs" dxfId="55" priority="12" stopIfTrue="1" operator="equal">
      <formula>0</formula>
    </cfRule>
  </conditionalFormatting>
  <conditionalFormatting sqref="I7:K7">
    <cfRule type="cellIs" dxfId="54" priority="4" stopIfTrue="1" operator="equal">
      <formula>0</formula>
    </cfRule>
  </conditionalFormatting>
  <conditionalFormatting sqref="I10:L711">
    <cfRule type="cellIs" dxfId="53" priority="2" stopIfTrue="1" operator="equal">
      <formula>0</formula>
    </cfRule>
  </conditionalFormatting>
  <conditionalFormatting sqref="L1:L6">
    <cfRule type="cellIs" dxfId="52" priority="10" operator="equal">
      <formula>0</formula>
    </cfRule>
  </conditionalFormatting>
  <conditionalFormatting sqref="M1:IV1048576 A8:G9">
    <cfRule type="cellIs" dxfId="5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1127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7" t="str">
        <f>RAB!G6</f>
        <v>AGUNG MULYANTO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JANGKUNGHARJO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42</v>
      </c>
      <c r="E11" s="539" t="s">
        <v>43</v>
      </c>
      <c r="F11" s="539" t="s">
        <v>2</v>
      </c>
      <c r="G11" s="541" t="s">
        <v>41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46</v>
      </c>
      <c r="I12" s="548" t="s">
        <v>5</v>
      </c>
      <c r="J12" s="540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SATUAN'!$C$7:$C$1495,0),0)),"",OFFSET('HARGA SATUAN'!$I$6,MATCH(C16,'HARGA SATUAN'!$C$7:$C$1495,0),0))</f>
        <v>5800000</v>
      </c>
      <c r="H16" s="42">
        <f t="shared" ca="1" si="1"/>
        <v>0</v>
      </c>
      <c r="I16" s="42">
        <f t="shared" ca="1" si="2"/>
        <v>5800000</v>
      </c>
      <c r="J16" s="42">
        <f t="shared" ca="1" si="3"/>
        <v>0</v>
      </c>
      <c r="K16" s="43">
        <f t="shared" ca="1" si="0"/>
        <v>5800000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8" t="s">
        <v>1008</v>
      </c>
      <c r="D38" s="558"/>
      <c r="E38" s="558"/>
      <c r="F38" s="558"/>
      <c r="G38" s="77" t="s">
        <v>9</v>
      </c>
      <c r="H38" s="55">
        <f ca="1">SUM(H14:H37)</f>
        <v>0</v>
      </c>
      <c r="I38" s="55">
        <f ca="1">SUM(I14:I37)</f>
        <v>5800000</v>
      </c>
      <c r="J38" s="55">
        <f ca="1">SUM(J14:J37)</f>
        <v>0</v>
      </c>
      <c r="K38" s="55">
        <f ca="1">SUM(K14:K37)</f>
        <v>5800000</v>
      </c>
      <c r="L38" s="44"/>
      <c r="R38" s="99"/>
      <c r="S38" s="99"/>
      <c r="T38" s="99"/>
    </row>
    <row r="39" spans="1:20" s="36" customFormat="1">
      <c r="A39" s="30"/>
      <c r="B39" s="56"/>
      <c r="C39" s="559" t="s">
        <v>462</v>
      </c>
      <c r="D39" s="559"/>
      <c r="E39" s="559"/>
      <c r="F39" s="559"/>
      <c r="G39" s="59" t="s">
        <v>9</v>
      </c>
      <c r="H39" s="60">
        <f ca="1">H38*0.1</f>
        <v>0</v>
      </c>
      <c r="I39" s="60">
        <f ca="1">I38*0.1</f>
        <v>580000</v>
      </c>
      <c r="J39" s="60">
        <f ca="1">J38*0.1</f>
        <v>0</v>
      </c>
      <c r="K39" s="60">
        <f ca="1">K38*0.1</f>
        <v>580000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0" t="s">
        <v>463</v>
      </c>
      <c r="D40" s="550"/>
      <c r="E40" s="550"/>
      <c r="F40" s="550"/>
      <c r="G40" s="61" t="s">
        <v>9</v>
      </c>
      <c r="H40" s="78">
        <f ca="1">SUM(H38:H39)</f>
        <v>0</v>
      </c>
      <c r="I40" s="78">
        <f ca="1">SUM(I38:I39)</f>
        <v>6380000</v>
      </c>
      <c r="J40" s="61">
        <f ca="1">SUM(J38:J39)</f>
        <v>0</v>
      </c>
      <c r="K40" s="61">
        <f ca="1">SUM(K38:K39)</f>
        <v>6380000</v>
      </c>
      <c r="L40" s="44"/>
      <c r="R40" s="99"/>
      <c r="S40" s="99"/>
      <c r="T40" s="99"/>
    </row>
    <row r="41" spans="1:20" s="36" customFormat="1">
      <c r="A41" s="30"/>
      <c r="B41" s="551" t="e">
        <f ca="1">"Terbilang : ( "&amp;L42&amp;" Rupiah )"</f>
        <v>#NAME?</v>
      </c>
      <c r="C41" s="552"/>
      <c r="D41" s="552"/>
      <c r="E41" s="552"/>
      <c r="F41" s="552"/>
      <c r="G41" s="552"/>
      <c r="H41" s="552"/>
      <c r="I41" s="552"/>
      <c r="J41" s="552"/>
      <c r="K41" s="553"/>
      <c r="L41" s="44"/>
      <c r="R41" s="58"/>
      <c r="S41" s="58"/>
      <c r="T41" s="58"/>
    </row>
    <row r="42" spans="1:20" s="36" customFormat="1">
      <c r="A42" s="30"/>
      <c r="B42" s="554"/>
      <c r="C42" s="555"/>
      <c r="D42" s="555"/>
      <c r="E42" s="555"/>
      <c r="F42" s="555"/>
      <c r="G42" s="555"/>
      <c r="H42" s="555"/>
      <c r="I42" s="555"/>
      <c r="J42" s="555"/>
      <c r="K42" s="556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5"/>
      <c r="I45" s="545"/>
      <c r="J45" s="546"/>
      <c r="K45" s="54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5"/>
      <c r="I46" s="545"/>
      <c r="J46" s="546"/>
      <c r="K46" s="54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5"/>
      <c r="I47" s="545"/>
      <c r="J47" s="546"/>
      <c r="K47" s="54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5"/>
      <c r="I52" s="545"/>
      <c r="J52" s="546"/>
      <c r="K52" s="54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SUMIFS(RAB!$F$14:$F$114,RAB!$C$14:$C$114,'REKAP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SUMIFS(RAB!$F$14:$F$114,RAB!$C$14:$C$114,'REKAP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SUMIFS(RAB!$F$14:$F$114,RAB!$C$14:$C$114,'REKAP TIANG'!C59)</f>
        <v>1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SUMIFS(RAB!$F$14:$F$114,RAB!$C$14:$C$114,'REKAP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SUMIFS(RAB!$F$14:$F$114,RAB!$C$14:$C$114,'REKAP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SUMIFS(RAB!$F$14:$F$114,RAB!$C$14:$C$114,'REKAP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SUMIFS(RAB!$F$14:$F$114,RAB!$C$14:$C$114,'REKAP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SUMIFS(RAB!$F$14:$F$114,RAB!$C$14:$C$114,'REKAP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SUMIFS(RAB!$F$14:$F$114,RAB!$C$14:$C$114,'REKAP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SUMIFS(RAB!$F$14:$F$114,RAB!$C$14:$C$114,'REKAP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SUMIFS(RAB!$F$14:$F$114,RAB!$C$14:$C$114,'REKAP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SUMIFS(RAB!$F$14:$F$114,RAB!$C$14:$C$114,'REKAP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SUMIFS(RAB!$F$14:$F$114,RAB!$C$14:$C$114,'REKAP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SUMIFS(RAB!$F$14:$F$114,RAB!$C$14:$C$114,'REKAP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SUMIFS(RAB!$F$14:$F$114,RAB!$C$14:$C$114,'REKAP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SUMIFS(RAB!$F$14:$F$114,RAB!$C$14:$C$114,'REKAP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SUMIFS(RAB!$F$14:$F$114,RAB!$C$14:$C$114,'REKAP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SUMIFS(RAB!$F$14:$F$114,RAB!$C$14:$C$114,'REKAP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SUMIFS(RAB!$F$14:$F$114,RAB!$C$14:$C$114,'REKAP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SUMIFS(RAB!$F$14:$F$114,RAB!$C$14:$C$114,'REKAP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5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1034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7" t="str">
        <f>RAB!G6</f>
        <v>AGUNG MULYANTO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JANGKUNGHARJO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42</v>
      </c>
      <c r="E11" s="539" t="s">
        <v>43</v>
      </c>
      <c r="F11" s="539" t="s">
        <v>2</v>
      </c>
      <c r="G11" s="541" t="s">
        <v>41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46</v>
      </c>
      <c r="I12" s="548" t="s">
        <v>5</v>
      </c>
      <c r="J12" s="540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16.5 kVA MCCB 25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160 kVA YNyn0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77674900</v>
      </c>
      <c r="H18" s="42">
        <f t="shared" ca="1" si="1"/>
        <v>77674900</v>
      </c>
      <c r="I18" s="42">
        <f t="shared" ca="1" si="2"/>
        <v>0</v>
      </c>
      <c r="J18" s="42">
        <f t="shared" ca="1" si="3"/>
        <v>0</v>
      </c>
      <c r="K18" s="43">
        <f t="shared" ca="1" si="0"/>
        <v>77674900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NFA2X-T 3x35+1x35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01">
        <f t="shared" ca="1" si="6"/>
        <v>50</v>
      </c>
      <c r="G19" s="41">
        <f ca="1">IF(ISERROR(OFFSET('HARGA SATUAN'!$I$6,MATCH(C19,'HARGA SATUAN'!$C$7:$C$1495,0),0)),"",OFFSET('HARGA SATUAN'!$I$6,MATCH(C19,'HARGA SATUAN'!$C$7:$C$1495,0),0))</f>
        <v>30400</v>
      </c>
      <c r="H19" s="42">
        <f t="shared" ca="1" si="1"/>
        <v>1520000</v>
      </c>
      <c r="I19" s="42">
        <f t="shared" ca="1" si="2"/>
        <v>0</v>
      </c>
      <c r="J19" s="42">
        <f t="shared" ca="1" si="3"/>
        <v>0</v>
      </c>
      <c r="K19" s="43">
        <f t="shared" ca="1" si="0"/>
        <v>1520000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NFA2X-T 3x70+1x70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Mtr</v>
      </c>
      <c r="F20" s="101">
        <f t="shared" ca="1" si="6"/>
        <v>60</v>
      </c>
      <c r="G20" s="41">
        <f ca="1">IF(ISERROR(OFFSET('HARGA SATUAN'!$I$6,MATCH(C20,'HARGA SATUAN'!$C$7:$C$1495,0),0)),"",OFFSET('HARGA SATUAN'!$I$6,MATCH(C20,'HARGA SATUAN'!$C$7:$C$1495,0),0))</f>
        <v>54500</v>
      </c>
      <c r="H20" s="42">
        <f t="shared" ca="1" si="1"/>
        <v>3270000</v>
      </c>
      <c r="I20" s="42">
        <f t="shared" ca="1" si="2"/>
        <v>0</v>
      </c>
      <c r="J20" s="42">
        <f t="shared" ca="1" si="3"/>
        <v>0</v>
      </c>
      <c r="K20" s="43">
        <f t="shared" ca="1" si="0"/>
        <v>3270000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6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6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8" t="s">
        <v>1008</v>
      </c>
      <c r="D168" s="558"/>
      <c r="E168" s="558"/>
      <c r="F168" s="558"/>
      <c r="G168" s="77" t="s">
        <v>9</v>
      </c>
      <c r="H168" s="55">
        <f ca="1">SUM(H14:H167)</f>
        <v>87457200</v>
      </c>
      <c r="I168" s="55">
        <f ca="1">SUM(I14:I167)</f>
        <v>0</v>
      </c>
      <c r="J168" s="55">
        <f ca="1">SUM(J14:J167)</f>
        <v>0</v>
      </c>
      <c r="K168" s="55">
        <f ca="1">SUM(K14:K167)</f>
        <v>87457200</v>
      </c>
      <c r="L168" s="44"/>
      <c r="R168" s="99"/>
      <c r="S168" s="99"/>
      <c r="T168" s="99"/>
    </row>
    <row r="169" spans="1:20" s="36" customFormat="1">
      <c r="A169" s="30"/>
      <c r="B169" s="56"/>
      <c r="C169" s="559" t="s">
        <v>462</v>
      </c>
      <c r="D169" s="559"/>
      <c r="E169" s="559"/>
      <c r="F169" s="559"/>
      <c r="G169" s="59" t="s">
        <v>9</v>
      </c>
      <c r="H169" s="60">
        <f ca="1">H168*0.1</f>
        <v>8745720</v>
      </c>
      <c r="I169" s="60">
        <f ca="1">I168*0.1</f>
        <v>0</v>
      </c>
      <c r="J169" s="60">
        <f ca="1">J168*0.1</f>
        <v>0</v>
      </c>
      <c r="K169" s="60">
        <f ca="1">K168*0.1</f>
        <v>8745720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0" t="s">
        <v>463</v>
      </c>
      <c r="D170" s="550"/>
      <c r="E170" s="550"/>
      <c r="F170" s="550"/>
      <c r="G170" s="61" t="s">
        <v>9</v>
      </c>
      <c r="H170" s="78">
        <f ca="1">SUM(H168:H169)</f>
        <v>96202920</v>
      </c>
      <c r="I170" s="78">
        <f ca="1">SUM(I168:I169)</f>
        <v>0</v>
      </c>
      <c r="J170" s="61">
        <f ca="1">SUM(J168:J169)</f>
        <v>0</v>
      </c>
      <c r="K170" s="61">
        <f ca="1">SUM(K168:K169)</f>
        <v>96202920</v>
      </c>
      <c r="L170" s="44"/>
      <c r="R170" s="99"/>
      <c r="S170" s="99"/>
      <c r="T170" s="99"/>
    </row>
    <row r="171" spans="1:20" s="36" customFormat="1">
      <c r="A171" s="30"/>
      <c r="B171" s="551" t="e">
        <f ca="1">"Terbilang : ( "&amp;L172&amp;" Rupiah )"</f>
        <v>#NAME?</v>
      </c>
      <c r="C171" s="552"/>
      <c r="D171" s="552"/>
      <c r="E171" s="552"/>
      <c r="F171" s="552"/>
      <c r="G171" s="552"/>
      <c r="H171" s="552"/>
      <c r="I171" s="552"/>
      <c r="J171" s="552"/>
      <c r="K171" s="553"/>
      <c r="L171" s="44"/>
      <c r="R171" s="58"/>
      <c r="S171" s="58"/>
      <c r="T171" s="58"/>
    </row>
    <row r="172" spans="1:20" s="36" customFormat="1">
      <c r="A172" s="30"/>
      <c r="B172" s="554"/>
      <c r="C172" s="555"/>
      <c r="D172" s="555"/>
      <c r="E172" s="555"/>
      <c r="F172" s="555"/>
      <c r="G172" s="555"/>
      <c r="H172" s="555"/>
      <c r="I172" s="555"/>
      <c r="J172" s="555"/>
      <c r="K172" s="556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5"/>
      <c r="I175" s="545"/>
      <c r="J175" s="546"/>
      <c r="K175" s="54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5"/>
      <c r="I176" s="545"/>
      <c r="J176" s="546"/>
      <c r="K176" s="54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5"/>
      <c r="I177" s="545"/>
      <c r="J177" s="546"/>
      <c r="K177" s="54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5"/>
      <c r="I182" s="545"/>
      <c r="J182" s="546"/>
      <c r="K182" s="54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SUMIFS(RAB!$F$14:$F$114,RAB!$C$14:$C$114,C224)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SUMIFS(RAB!$F$14:$F$114,RAB!$C$14:$C$114,C225)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SUMIFS(RAB!$F$14:$F$114,RAB!$C$14:$C$114,C226)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SUMIFS(RAB!$F$14:$F$114,RAB!$C$14:$C$114,C227)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SUMIFS(RAB!$F$14:$F$114,RAB!$C$14:$C$114,C228)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SUMIFS(RAB!$F$14:$F$114,RAB!$C$14:$C$114,C229)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SUMIFS(RAB!$F$14:$F$114,RAB!$C$14:$C$114,C230)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SUMIFS(RAB!$F$14:$F$114,RAB!$C$14:$C$114,C231)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SUMIFS(RAB!$F$14:$F$114,RAB!$C$14:$C$114,C232)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SUMIFS(RAB!$F$14:$F$114,RAB!$C$14:$C$114,C233)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SUMIFS(RAB!$F$14:$F$114,RAB!$C$14:$C$114,C234)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SUMIFS(RAB!$F$14:$F$114,RAB!$C$14:$C$114,C235)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SUMIFS(RAB!$F$14:$F$114,RAB!$C$14:$C$114,C236)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SUMIFS(RAB!$F$14:$F$114,RAB!$C$14:$C$114,C237)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SUMIFS(RAB!$F$14:$F$114,RAB!$C$14:$C$114,C238)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SUMIFS(RAB!$F$14:$F$114,RAB!$C$14:$C$114,C239)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SUMIFS(RAB!$F$14:$F$114,RAB!$C$14:$C$114,C240)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SUMIFS(RAB!$F$14:$F$114,RAB!$C$14:$C$114,C241)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SUMIFS(RAB!$F$14:$F$114,RAB!$C$14:$C$114,C242)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SUMIFS(RAB!$F$14:$F$114,RAB!$C$14:$C$114,C243)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SUMIFS(RAB!$F$14:$F$114,RAB!$C$14:$C$114,C244)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SUMIFS(RAB!$F$14:$F$114,RAB!$C$14:$C$114,C245)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SUMIFS(RAB!$F$14:$F$114,RAB!$C$14:$C$114,C246)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SUMIFS(RAB!$F$14:$F$114,RAB!$C$14:$C$114,C247)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SUMIFS(RAB!$F$14:$F$114,RAB!$C$14:$C$114,C248)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SUMIFS(RAB!$F$14:$F$114,RAB!$C$14:$C$114,C249)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SUMIFS(RAB!$F$14:$F$114,RAB!$C$14:$C$114,C250)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SUMIFS(RAB!$F$14:$F$114,RAB!$C$14:$C$114,C251)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SUMIFS(RAB!$F$14:$F$114,RAB!$C$14:$C$114,C252)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SUMIFS(RAB!$F$14:$F$114,RAB!$C$14:$C$114,C253)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SUMIFS(RAB!$F$14:$F$114,RAB!$C$14:$C$114,C254)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SUMIFS(RAB!$F$14:$F$114,RAB!$C$14:$C$114,C255)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SUMIFS(RAB!$F$14:$F$114,RAB!$C$14:$C$114,C256)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SUMIFS(RAB!$F$14:$F$114,RAB!$C$14:$C$114,C257)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SUMIFS(RAB!$F$14:$F$114,RAB!$C$14:$C$114,C258)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SUMIFS(RAB!$F$14:$F$114,RAB!$C$14:$C$114,C259)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SUMIFS(RAB!$F$14:$F$114,RAB!$C$14:$C$114,C260)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SUMIFS(RAB!$F$14:$F$114,RAB!$C$14:$C$114,C261)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SUMIFS(RAB!$F$14:$F$114,RAB!$C$14:$C$114,C262)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SUMIFS(RAB!$F$14:$F$114,RAB!$C$14:$C$114,C263)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SUMIFS(RAB!$F$14:$F$114,RAB!$C$14:$C$114,C264)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SUMIFS(RAB!$F$14:$F$114,RAB!$C$14:$C$114,C265)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SUMIFS(RAB!$F$14:$F$114,RAB!$C$14:$C$114,C266)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SUMIFS(RAB!$F$14:$F$114,RAB!$C$14:$C$114,C267)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SUMIFS(RAB!$F$14:$F$114,RAB!$C$14:$C$114,C268)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SUMIFS(RAB!$F$14:$F$114,RAB!$C$14:$C$114,C269)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SUMIFS(RAB!$F$14:$F$114,RAB!$C$14:$C$114,C270)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SUMIFS(RAB!$F$14:$F$114,RAB!$C$14:$C$114,C271)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SUMIFS(RAB!$F$14:$F$114,RAB!$C$14:$C$114,C272)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SUMIFS(RAB!$F$14:$F$114,RAB!$C$14:$C$114,C273)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SUMIFS(RAB!$F$14:$F$114,RAB!$C$14:$C$114,C274)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SUMIFS(RAB!$F$14:$F$114,RAB!$C$14:$C$114,C275)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SUMIFS(RAB!$F$14:$F$114,RAB!$C$14:$C$114,C276)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SUMIFS(RAB!$F$14:$F$114,RAB!$C$14:$C$114,C277)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SUMIFS(RAB!$F$14:$F$114,RAB!$C$14:$C$114,C278)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SUMIFS(RAB!$F$14:$F$114,RAB!$C$14:$C$114,C279)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SUMIFS(RAB!$F$14:$F$114,RAB!$C$14:$C$114,C280)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SUMIFS(RAB!$F$14:$F$114,RAB!$C$14:$C$114,C281)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SUMIFS(RAB!$F$14:$F$114,RAB!$C$14:$C$114,C282)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SUMIFS(RAB!$F$14:$F$114,RAB!$C$14:$C$114,C283)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SUMIFS(RAB!$F$14:$F$114,RAB!$C$14:$C$114,C284)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SUMIFS(RAB!$F$14:$F$114,RAB!$C$14:$C$114,C285)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SUMIFS(RAB!$F$14:$F$114,RAB!$C$14:$C$114,C286)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SUMIFS(RAB!$F$14:$F$114,RAB!$C$14:$C$114,C287)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SUMIFS(RAB!$F$14:$F$114,RAB!$C$14:$C$114,C288)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SUMIFS(RAB!$F$14:$F$114,RAB!$C$14:$C$114,C289)</f>
        <v>1</v>
      </c>
      <c r="E289" s="24">
        <f t="shared" ref="E289:E352" ca="1" si="22">IF(D289=0,0,1)</f>
        <v>1</v>
      </c>
      <c r="F289" s="24">
        <f ca="1">IF(D289=0,0,SUM($E$223:E289))</f>
        <v>2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SUMIFS(RAB!$F$14:$F$114,RAB!$C$14:$C$114,C290)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SUMIFS(RAB!$F$14:$F$114,RAB!$C$14:$C$114,C291)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SUMIFS(RAB!$F$14:$F$114,RAB!$C$14:$C$114,C292)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SUMIFS(RAB!$F$14:$F$114,RAB!$C$14:$C$114,C293)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SUMIFS(RAB!$F$14:$F$114,RAB!$C$14:$C$114,C294)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SUMIFS(RAB!$F$14:$F$114,RAB!$C$14:$C$114,C295)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SUMIFS(RAB!$F$14:$F$114,RAB!$C$14:$C$114,C296)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SUMIFS(RAB!$F$14:$F$114,RAB!$C$14:$C$114,C297)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SUMIFS(RAB!$F$14:$F$114,RAB!$C$14:$C$114,C298)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SUMIFS(RAB!$F$14:$F$114,RAB!$C$14:$C$114,C299)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SUMIFS(RAB!$F$14:$F$114,RAB!$C$14:$C$114,C300)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SUMIFS(RAB!$F$14:$F$114,RAB!$C$14:$C$114,C301)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SUMIFS(RAB!$F$14:$F$114,RAB!$C$14:$C$114,C302)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SUMIFS(RAB!$F$14:$F$114,RAB!$C$14:$C$114,C303)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SUMIFS(RAB!$F$14:$F$114,RAB!$C$14:$C$114,C304)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SUMIFS(RAB!$F$14:$F$114,RAB!$C$14:$C$114,C305)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SUMIFS(RAB!$F$14:$F$114,RAB!$C$14:$C$114,C306)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SUMIFS(RAB!$F$14:$F$114,RAB!$C$14:$C$114,C307)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SUMIFS(RAB!$F$14:$F$114,RAB!$C$14:$C$114,C308)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SUMIFS(RAB!$F$14:$F$114,RAB!$C$14:$C$114,C309)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SUMIFS(RAB!$F$14:$F$114,RAB!$C$14:$C$114,C310)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SUMIFS(RAB!$F$14:$F$114,RAB!$C$14:$C$114,C311)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SUMIFS(RAB!$F$14:$F$114,RAB!$C$14:$C$114,C312)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SUMIFS(RAB!$F$14:$F$114,RAB!$C$14:$C$114,C313)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SUMIFS(RAB!$F$14:$F$114,RAB!$C$14:$C$114,C314)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SUMIFS(RAB!$F$14:$F$114,RAB!$C$14:$C$114,C315)</f>
        <v>1</v>
      </c>
      <c r="E315" s="24">
        <f t="shared" ca="1" si="22"/>
        <v>1</v>
      </c>
      <c r="F315" s="24">
        <f ca="1">IF(D315=0,0,SUM($E$223:E315))</f>
        <v>3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SUMIFS(RAB!$F$14:$F$114,RAB!$C$14:$C$114,C316)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SUMIFS(RAB!$F$14:$F$114,RAB!$C$14:$C$114,C317)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SUMIFS(RAB!$F$14:$F$114,RAB!$C$14:$C$114,C318)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SUMIFS(RAB!$F$14:$F$114,RAB!$C$14:$C$114,C319)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SUMIFS(RAB!$F$14:$F$114,RAB!$C$14:$C$114,C320)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SUMIFS(RAB!$F$14:$F$114,RAB!$C$14:$C$114,C321)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SUMIFS(RAB!$F$14:$F$114,RAB!$C$14:$C$114,C322)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SUMIFS(RAB!$F$14:$F$114,RAB!$C$14:$C$114,C323)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SUMIFS(RAB!$F$14:$F$114,RAB!$C$14:$C$114,C324)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SUMIFS(RAB!$F$14:$F$114,RAB!$C$14:$C$114,C325)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SUMIFS(RAB!$F$14:$F$114,RAB!$C$14:$C$114,C326)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SUMIFS(RAB!$F$14:$F$114,RAB!$C$14:$C$114,C327)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SUMIFS(RAB!$F$14:$F$114,RAB!$C$14:$C$114,C328)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SUMIFS(RAB!$F$14:$F$114,RAB!$C$14:$C$114,C329)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SUMIFS(RAB!$F$14:$F$114,RAB!$C$14:$C$114,C330)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SUMIFS(RAB!$F$14:$F$114,RAB!$C$14:$C$114,C331)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SUMIFS(RAB!$F$14:$F$114,RAB!$C$14:$C$114,C332)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SUMIFS(RAB!$F$14:$F$114,RAB!$C$14:$C$114,C333)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SUMIFS(RAB!$F$14:$F$114,RAB!$C$14:$C$114,C334)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SUMIFS(RAB!$F$14:$F$114,RAB!$C$14:$C$114,C335)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SUMIFS(RAB!$F$14:$F$114,RAB!$C$14:$C$114,C336)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SUMIFS(RAB!$F$14:$F$114,RAB!$C$14:$C$114,C337)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SUMIFS(RAB!$F$14:$F$114,RAB!$C$14:$C$114,C338)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SUMIFS(RAB!$F$14:$F$114,RAB!$C$14:$C$114,C339)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SUMIFS(RAB!$F$14:$F$114,RAB!$C$14:$C$114,C340)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SUMIFS(RAB!$F$14:$F$114,RAB!$C$14:$C$114,C341)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SUMIFS(RAB!$F$14:$F$114,RAB!$C$14:$C$114,C342)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SUMIFS(RAB!$F$14:$F$114,RAB!$C$14:$C$114,C343)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SUMIFS(RAB!$F$14:$F$114,RAB!$C$14:$C$114,C344)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SUMIFS(RAB!$F$14:$F$114,RAB!$C$14:$C$114,C345)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SUMIFS(RAB!$F$14:$F$114,RAB!$C$14:$C$114,C346)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SUMIFS(RAB!$F$14:$F$114,RAB!$C$14:$C$114,C347)</f>
        <v>50</v>
      </c>
      <c r="E347" s="24">
        <f t="shared" ca="1" si="22"/>
        <v>1</v>
      </c>
      <c r="F347" s="24">
        <f ca="1">IF(D347=0,0,SUM($E$223:E347))</f>
        <v>4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SUMIFS(RAB!$F$14:$F$114,RAB!$C$14:$C$114,C348)</f>
        <v>60</v>
      </c>
      <c r="E348" s="24">
        <f t="shared" ca="1" si="22"/>
        <v>1</v>
      </c>
      <c r="F348" s="24">
        <f ca="1">IF(D348=0,0,SUM($E$223:E348))</f>
        <v>5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SUMIFS(RAB!$F$14:$F$114,RAB!$C$14:$C$114,C349)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SUMIFS(RAB!$F$14:$F$114,RAB!$C$14:$C$114,C350)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SUMIFS(RAB!$F$14:$F$114,RAB!$C$14:$C$114,C351)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SUMIFS(RAB!$F$14:$F$114,RAB!$C$14:$C$114,C352)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SUMIFS(RAB!$F$14:$F$114,RAB!$C$14:$C$114,C353)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SUMIFS(RAB!$F$14:$F$114,RAB!$C$14:$C$114,C354)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SUMIFS(RAB!$F$14:$F$114,RAB!$C$14:$C$114,C355)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SUMIFS(RAB!$F$14:$F$114,RAB!$C$14:$C$114,C356)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SUMIFS(RAB!$F$14:$F$114,RAB!$C$14:$C$114,C357)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SUMIFS(RAB!$F$14:$F$114,RAB!$C$14:$C$114,C358)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SUMIFS(RAB!$F$14:$F$114,RAB!$C$14:$C$114,C359)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SUMIFS(RAB!$F$14:$F$114,RAB!$C$14:$C$114,C360)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SUMIFS(RAB!$F$14:$F$114,RAB!$C$14:$C$114,C361)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SUMIFS(RAB!$F$14:$F$114,RAB!$C$14:$C$114,C362)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SUMIFS(RAB!$F$14:$F$114,RAB!$C$14:$C$114,C363)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SUMIFS(RAB!$F$14:$F$114,RAB!$C$14:$C$114,C364)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SUMIFS(RAB!$F$14:$F$114,RAB!$C$14:$C$114,C365)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SUMIFS(RAB!$F$14:$F$114,RAB!$C$14:$C$114,C366)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SUMIFS(RAB!$F$14:$F$114,RAB!$C$14:$C$114,C367)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SUMIFS(RAB!$F$14:$F$114,RAB!$C$14:$C$114,C368)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SUMIFS(RAB!$F$14:$F$114,RAB!$C$14:$C$114,C369)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SUMIFS(RAB!$F$14:$F$114,RAB!$C$14:$C$114,C370)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SUMIFS(RAB!$F$14:$F$114,RAB!$C$14:$C$114,C371)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SUMIFS(RAB!$F$14:$F$114,RAB!$C$14:$C$114,C372)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SUMIFS(RAB!$F$14:$F$114,RAB!$C$14:$C$114,C373)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8" priority="5" operator="equal">
      <formula>0</formula>
    </cfRule>
  </conditionalFormatting>
  <conditionalFormatting sqref="C16:C165">
    <cfRule type="cellIs" dxfId="47" priority="4" stopIfTrue="1" operator="equal">
      <formula>0</formula>
    </cfRule>
  </conditionalFormatting>
  <conditionalFormatting sqref="C16:E165">
    <cfRule type="cellIs" dxfId="46" priority="1" operator="equal">
      <formula>0</formula>
    </cfRule>
  </conditionalFormatting>
  <conditionalFormatting sqref="D224:F373">
    <cfRule type="cellIs" dxfId="45" priority="8" operator="equal">
      <formula>0</formula>
    </cfRule>
  </conditionalFormatting>
  <conditionalFormatting sqref="E1:E3 G1:G115 E6:E15 H12:I12 N13 F14:F15 H14:K115 E166:K166 G166:G223 E167:F167 H167:K167">
    <cfRule type="cellIs" dxfId="44" priority="43" stopIfTrue="1" operator="equal">
      <formula>0</formula>
    </cfRule>
  </conditionalFormatting>
  <conditionalFormatting sqref="E171:E65536">
    <cfRule type="cellIs" dxfId="43" priority="9" stopIfTrue="1" operator="equal">
      <formula>0</formula>
    </cfRule>
  </conditionalFormatting>
  <conditionalFormatting sqref="G224">
    <cfRule type="cellIs" dxfId="42" priority="10" operator="equal">
      <formula>0</formula>
    </cfRule>
  </conditionalFormatting>
  <conditionalFormatting sqref="G225:G65536">
    <cfRule type="cellIs" dxfId="41" priority="14" stopIfTrue="1" operator="equal">
      <formula>0</formula>
    </cfRule>
  </conditionalFormatting>
  <conditionalFormatting sqref="R14:T166 G116:K165">
    <cfRule type="cellIs" dxfId="4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0"/>
    </row>
    <row r="4" spans="4:4" ht="57" customHeight="1">
      <c r="D4" s="390">
        <v>3</v>
      </c>
    </row>
    <row r="5" spans="4:4" ht="57" customHeight="1">
      <c r="D5" s="39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223" activePane="bottomRight" state="frozen"/>
      <selection activeCell="D209" sqref="D209"/>
      <selection pane="topRight" activeCell="D209" sqref="D209"/>
      <selection pane="bottomLeft" activeCell="D209" sqref="D209"/>
      <selection pane="bottomRight" activeCell="C231" sqref="C231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1" t="s">
        <v>41</v>
      </c>
      <c r="C2" s="56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2" t="s">
        <v>23</v>
      </c>
      <c r="C4" s="563" t="s">
        <v>1012</v>
      </c>
      <c r="D4" s="563" t="s">
        <v>42</v>
      </c>
      <c r="E4" s="562" t="s">
        <v>43</v>
      </c>
      <c r="F4" s="108" t="s">
        <v>1599</v>
      </c>
      <c r="G4" s="108" t="s">
        <v>1598</v>
      </c>
      <c r="H4" s="560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2"/>
      <c r="C5" s="563"/>
      <c r="D5" s="563"/>
      <c r="E5" s="562"/>
      <c r="F5" s="93"/>
      <c r="G5" s="93"/>
      <c r="H5" s="560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7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8" t="s">
        <v>1615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8" t="s">
        <v>1616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3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3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4">
        <v>2740</v>
      </c>
      <c r="G1436" s="414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5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5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5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5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5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9" priority="4" operator="equal">
      <formula>0</formula>
    </cfRule>
  </conditionalFormatting>
  <conditionalFormatting sqref="B217 D217:G217">
    <cfRule type="cellIs" dxfId="38" priority="11" operator="equal">
      <formula>0</formula>
    </cfRule>
  </conditionalFormatting>
  <conditionalFormatting sqref="B8:C135">
    <cfRule type="cellIs" dxfId="37" priority="66" operator="equal">
      <formula>0</formula>
    </cfRule>
  </conditionalFormatting>
  <conditionalFormatting sqref="B216:G216">
    <cfRule type="cellIs" dxfId="36" priority="16" operator="equal">
      <formula>0</formula>
    </cfRule>
  </conditionalFormatting>
  <conditionalFormatting sqref="B218:G1496">
    <cfRule type="cellIs" dxfId="35" priority="1" operator="equal">
      <formula>0</formula>
    </cfRule>
  </conditionalFormatting>
  <conditionalFormatting sqref="C143:G149">
    <cfRule type="cellIs" dxfId="34" priority="20" operator="equal">
      <formula>0</formula>
    </cfRule>
  </conditionalFormatting>
  <conditionalFormatting sqref="D9:G142">
    <cfRule type="cellIs" dxfId="33" priority="26" operator="equal">
      <formula>0</formula>
    </cfRule>
  </conditionalFormatting>
  <conditionalFormatting sqref="D1:IV5 A1:C7 D6:K6 H1458:IV1460 H1461:XFD1488 H1489:H1496 I1489:XFD1497 A1497:H1497 A1498:XFD65539">
    <cfRule type="cellIs" dxfId="32" priority="178" operator="equal">
      <formula>0</formula>
    </cfRule>
  </conditionalFormatting>
  <conditionalFormatting sqref="D7:IV8 C136:C142 B136:B149 B150:G213 B214:B215 D214:G215">
    <cfRule type="cellIs" dxfId="31" priority="77" operator="equal">
      <formula>0</formula>
    </cfRule>
  </conditionalFormatting>
  <conditionalFormatting sqref="H9:H1421">
    <cfRule type="cellIs" dxfId="30" priority="3" operator="equal">
      <formula>0</formula>
    </cfRule>
  </conditionalFormatting>
  <conditionalFormatting sqref="H1422:I1457">
    <cfRule type="cellIs" dxfId="29" priority="143" operator="equal">
      <formula>0</formula>
    </cfRule>
  </conditionalFormatting>
  <conditionalFormatting sqref="I108:I1421">
    <cfRule type="cellIs" dxfId="28" priority="2" operator="equal">
      <formula>0</formula>
    </cfRule>
  </conditionalFormatting>
  <conditionalFormatting sqref="I9:IV107">
    <cfRule type="cellIs" dxfId="27" priority="153" operator="equal">
      <formula>0</formula>
    </cfRule>
  </conditionalFormatting>
  <conditionalFormatting sqref="J108:IV1457">
    <cfRule type="cellIs" dxfId="26" priority="5" operator="equal">
      <formula>0</formula>
    </cfRule>
  </conditionalFormatting>
  <conditionalFormatting sqref="M6:IV6">
    <cfRule type="cellIs" dxfId="25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16" zoomScale="55" zoomScaleNormal="55" zoomScaleSheetLayoutView="85" workbookViewId="0">
      <selection activeCell="N24" sqref="N24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95" t="s">
        <v>1453</v>
      </c>
      <c r="C2" s="595"/>
      <c r="D2" s="595"/>
      <c r="E2" s="595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600" t="s">
        <v>1528</v>
      </c>
      <c r="C4" s="601"/>
      <c r="D4" s="601"/>
      <c r="E4" s="602"/>
      <c r="F4" s="372"/>
      <c r="G4" s="372"/>
      <c r="H4" s="373"/>
      <c r="I4" s="564" t="s">
        <v>1529</v>
      </c>
      <c r="J4" s="565"/>
      <c r="K4" s="565"/>
      <c r="L4" s="566"/>
    </row>
    <row r="5" spans="1:12" ht="34.5" customHeight="1">
      <c r="A5" s="193"/>
      <c r="B5" s="375" t="s">
        <v>1378</v>
      </c>
      <c r="C5" s="224" t="s">
        <v>9</v>
      </c>
      <c r="D5" s="596" t="str">
        <f>DATA!D14</f>
        <v>AGUNG MULYANTO</v>
      </c>
      <c r="E5" s="597"/>
      <c r="F5" s="197"/>
      <c r="G5" s="197"/>
      <c r="I5" s="376" t="s">
        <v>1378</v>
      </c>
      <c r="J5" s="224" t="s">
        <v>9</v>
      </c>
      <c r="K5" s="567" t="str">
        <f>D5</f>
        <v>AGUNG MULYANTO</v>
      </c>
      <c r="L5" s="568"/>
    </row>
    <row r="6" spans="1:12" ht="31.5" customHeight="1">
      <c r="A6" s="193"/>
      <c r="B6" s="375" t="s">
        <v>1525</v>
      </c>
      <c r="C6" s="224" t="s">
        <v>9</v>
      </c>
      <c r="D6" s="605">
        <f>DATA!D17*1000</f>
        <v>0</v>
      </c>
      <c r="E6" s="606"/>
      <c r="F6" s="197"/>
      <c r="G6" s="197"/>
      <c r="I6" s="376" t="s">
        <v>1526</v>
      </c>
      <c r="J6" s="224" t="s">
        <v>9</v>
      </c>
      <c r="K6" s="569">
        <f>DATA!D20*1000</f>
        <v>16500</v>
      </c>
      <c r="L6" s="570"/>
    </row>
    <row r="7" spans="1:12" ht="30.75" customHeight="1">
      <c r="A7" s="193"/>
      <c r="B7" s="375" t="s">
        <v>1440</v>
      </c>
      <c r="C7" s="224" t="s">
        <v>9</v>
      </c>
      <c r="D7" s="603">
        <f>DATA!D18</f>
        <v>1</v>
      </c>
      <c r="E7" s="604"/>
      <c r="F7" s="374" t="s">
        <v>1452</v>
      </c>
      <c r="I7" s="376" t="s">
        <v>1440</v>
      </c>
      <c r="J7" s="224" t="s">
        <v>9</v>
      </c>
      <c r="K7" s="571">
        <f>DATA!D21</f>
        <v>3</v>
      </c>
      <c r="L7" s="572"/>
    </row>
    <row r="8" spans="1:12" ht="51" customHeight="1">
      <c r="A8" s="193"/>
      <c r="B8" s="375" t="s">
        <v>1441</v>
      </c>
      <c r="C8" s="224" t="s">
        <v>9</v>
      </c>
      <c r="D8" s="603">
        <f>DATA!D19</f>
        <v>220</v>
      </c>
      <c r="E8" s="604"/>
      <c r="F8" s="374" t="s">
        <v>1452</v>
      </c>
      <c r="G8" s="369">
        <v>220</v>
      </c>
      <c r="I8" s="376" t="s">
        <v>1441</v>
      </c>
      <c r="J8" s="224" t="s">
        <v>9</v>
      </c>
      <c r="K8" s="571">
        <f>DATA!D22</f>
        <v>380</v>
      </c>
      <c r="L8" s="572"/>
    </row>
    <row r="9" spans="1:12" ht="30" customHeight="1" thickBot="1">
      <c r="A9" s="193"/>
      <c r="B9" s="381" t="s">
        <v>1537</v>
      </c>
      <c r="C9" s="371" t="s">
        <v>9</v>
      </c>
      <c r="D9" s="598">
        <f>IF(D7=1,D6/(380/3^0.5),(D6/(380*3^0.5)))</f>
        <v>0</v>
      </c>
      <c r="E9" s="599"/>
      <c r="F9" s="196"/>
      <c r="G9" s="370">
        <v>380</v>
      </c>
      <c r="I9" s="382" t="s">
        <v>1537</v>
      </c>
      <c r="J9" s="371" t="s">
        <v>9</v>
      </c>
      <c r="K9" s="575">
        <f>IF(K7=1,K6/(380/3^0.5),(K6/(380*3^0.5)))</f>
        <v>25.069156425339017</v>
      </c>
      <c r="L9" s="576"/>
    </row>
    <row r="10" spans="1:12" ht="24.75" customHeight="1">
      <c r="B10" s="383"/>
      <c r="C10" s="380"/>
      <c r="D10" s="384"/>
      <c r="E10" s="384"/>
      <c r="F10" s="196"/>
      <c r="G10" s="370"/>
      <c r="I10" s="383"/>
      <c r="J10" s="380"/>
      <c r="K10" s="384"/>
      <c r="L10" s="384"/>
    </row>
    <row r="11" spans="1:12" ht="16.5" thickBot="1">
      <c r="B11" s="377" t="s">
        <v>1538</v>
      </c>
      <c r="I11" s="377" t="s">
        <v>1532</v>
      </c>
    </row>
    <row r="12" spans="1:12" ht="34.5" customHeight="1">
      <c r="A12" s="193"/>
      <c r="B12" s="405" t="s">
        <v>1530</v>
      </c>
      <c r="C12" s="399" t="s">
        <v>9</v>
      </c>
      <c r="D12" s="607" t="s">
        <v>1648</v>
      </c>
      <c r="E12" s="608"/>
      <c r="F12" s="197"/>
      <c r="G12" s="197"/>
      <c r="I12" s="398" t="s">
        <v>1530</v>
      </c>
      <c r="J12" s="399" t="s">
        <v>9</v>
      </c>
      <c r="K12" s="607" t="s">
        <v>1648</v>
      </c>
      <c r="L12" s="608"/>
    </row>
    <row r="13" spans="1:12" ht="31.5" customHeight="1">
      <c r="A13" s="193"/>
      <c r="B13" s="406" t="s">
        <v>1379</v>
      </c>
      <c r="C13" s="386" t="s">
        <v>9</v>
      </c>
      <c r="D13" s="573" t="s">
        <v>1647</v>
      </c>
      <c r="E13" s="574"/>
      <c r="F13" s="197"/>
      <c r="G13" s="197"/>
      <c r="I13" s="400" t="s">
        <v>1379</v>
      </c>
      <c r="J13" s="386" t="s">
        <v>9</v>
      </c>
      <c r="K13" s="573" t="s">
        <v>1647</v>
      </c>
      <c r="L13" s="574"/>
    </row>
    <row r="14" spans="1:12" ht="30.75" customHeight="1">
      <c r="A14" s="193"/>
      <c r="B14" s="406" t="s">
        <v>1531</v>
      </c>
      <c r="C14" s="386" t="s">
        <v>9</v>
      </c>
      <c r="D14" s="577">
        <v>50</v>
      </c>
      <c r="E14" s="578"/>
      <c r="F14" s="374" t="s">
        <v>1452</v>
      </c>
      <c r="G14" s="378">
        <v>50</v>
      </c>
      <c r="I14" s="400" t="s">
        <v>1531</v>
      </c>
      <c r="J14" s="386" t="s">
        <v>9</v>
      </c>
      <c r="K14" s="579">
        <v>160</v>
      </c>
      <c r="L14" s="580"/>
    </row>
    <row r="15" spans="1:12" ht="57" customHeight="1">
      <c r="A15" s="193"/>
      <c r="B15" s="406" t="s">
        <v>1440</v>
      </c>
      <c r="C15" s="386" t="s">
        <v>9</v>
      </c>
      <c r="D15" s="392">
        <v>3</v>
      </c>
      <c r="E15" s="401"/>
      <c r="F15" s="374" t="s">
        <v>1452</v>
      </c>
      <c r="G15" s="378">
        <v>100</v>
      </c>
      <c r="I15" s="400" t="s">
        <v>1440</v>
      </c>
      <c r="J15" s="386" t="s">
        <v>9</v>
      </c>
      <c r="K15" s="392">
        <v>3</v>
      </c>
      <c r="L15" s="401"/>
    </row>
    <row r="16" spans="1:12" ht="44.25" customHeight="1">
      <c r="A16" s="193"/>
      <c r="B16" s="406" t="s">
        <v>1541</v>
      </c>
      <c r="C16" s="386"/>
      <c r="D16" s="581">
        <f>35+63</f>
        <v>98</v>
      </c>
      <c r="E16" s="582"/>
      <c r="F16" s="374"/>
      <c r="G16" s="378">
        <v>160</v>
      </c>
      <c r="I16" s="400" t="s">
        <v>1533</v>
      </c>
      <c r="J16" s="386" t="s">
        <v>9</v>
      </c>
      <c r="K16" s="585">
        <f>K9</f>
        <v>25.069156425339017</v>
      </c>
      <c r="L16" s="586"/>
    </row>
    <row r="17" spans="1:12" ht="34.5" customHeight="1">
      <c r="A17" s="193"/>
      <c r="B17" s="406" t="s">
        <v>1534</v>
      </c>
      <c r="C17" s="386" t="s">
        <v>9</v>
      </c>
      <c r="D17" s="583">
        <f>IF(D15=1,D14/(20/3^0.5),(D14/(20*3^0.5)))</f>
        <v>1.4433756729740645</v>
      </c>
      <c r="E17" s="584"/>
      <c r="F17" s="374" t="s">
        <v>1452</v>
      </c>
      <c r="G17" s="379">
        <v>200</v>
      </c>
      <c r="I17" s="400" t="s">
        <v>1534</v>
      </c>
      <c r="J17" s="386" t="s">
        <v>9</v>
      </c>
      <c r="K17" s="589">
        <f>IF(K15=1,K14/(20/3^0.5),(K14/(20*3^0.5)))</f>
        <v>4.6188021535170067</v>
      </c>
      <c r="L17" s="590"/>
    </row>
    <row r="18" spans="1:12" ht="34.5" customHeight="1">
      <c r="A18" s="193"/>
      <c r="B18" s="406" t="s">
        <v>1535</v>
      </c>
      <c r="C18" s="386" t="s">
        <v>9</v>
      </c>
      <c r="D18" s="583">
        <f>IF(D15=1,D14/(380/3^0.5),(D14/(380*3^0.5)))*1000</f>
        <v>75.96714068284551</v>
      </c>
      <c r="E18" s="584"/>
      <c r="F18" s="374" t="s">
        <v>1452</v>
      </c>
      <c r="G18" s="379">
        <v>250</v>
      </c>
      <c r="I18" s="400" t="s">
        <v>1535</v>
      </c>
      <c r="J18" s="386" t="s">
        <v>9</v>
      </c>
      <c r="K18" s="589">
        <f>IF(K15=1,K14/(380/3^0.5),(K14/(380*3^0.5)))*1000</f>
        <v>243.0948501851056</v>
      </c>
      <c r="L18" s="590"/>
    </row>
    <row r="19" spans="1:12" ht="30" customHeight="1">
      <c r="A19" s="193"/>
      <c r="B19" s="407" t="s">
        <v>1527</v>
      </c>
      <c r="C19" s="385" t="s">
        <v>9</v>
      </c>
      <c r="D19" s="583">
        <f>IF(D15=1,D14/(380/3^0.5),(D14/(380*3^0.5)))</f>
        <v>7.5967140682845505E-2</v>
      </c>
      <c r="E19" s="584"/>
      <c r="F19" s="196"/>
      <c r="G19" s="370"/>
      <c r="I19" s="402" t="s">
        <v>1527</v>
      </c>
      <c r="J19" s="385" t="s">
        <v>9</v>
      </c>
      <c r="K19" s="589">
        <f>IF(K15=1,K14/(380/3^0.5),(K14/(380*3^0.5)))</f>
        <v>0.2430948501851056</v>
      </c>
      <c r="L19" s="590"/>
    </row>
    <row r="20" spans="1:12" ht="30" customHeight="1" thickBot="1">
      <c r="A20" s="193"/>
      <c r="B20" s="408" t="s">
        <v>1536</v>
      </c>
      <c r="C20" s="404" t="s">
        <v>9</v>
      </c>
      <c r="D20" s="609">
        <f>D16/D18</f>
        <v>1.2900314414772995</v>
      </c>
      <c r="E20" s="610"/>
      <c r="F20" s="196"/>
      <c r="G20" s="370"/>
      <c r="I20" s="403" t="s">
        <v>1527</v>
      </c>
      <c r="J20" s="404" t="s">
        <v>9</v>
      </c>
      <c r="K20" s="587">
        <f>K16/K18</f>
        <v>0.10312500000000001</v>
      </c>
      <c r="L20" s="588"/>
    </row>
    <row r="21" spans="1:12" ht="9.75" customHeight="1">
      <c r="A21" s="193"/>
      <c r="B21" s="393" t="s">
        <v>1536</v>
      </c>
      <c r="C21" s="394" t="s">
        <v>9</v>
      </c>
      <c r="D21" s="594">
        <v>1</v>
      </c>
      <c r="E21" s="594"/>
      <c r="F21" s="395"/>
      <c r="G21" s="396"/>
      <c r="H21" s="397"/>
      <c r="I21" s="393" t="s">
        <v>1527</v>
      </c>
      <c r="J21" s="394" t="s">
        <v>9</v>
      </c>
      <c r="K21" s="594">
        <v>1</v>
      </c>
      <c r="L21" s="594"/>
    </row>
    <row r="22" spans="1:12" ht="6.75" customHeight="1">
      <c r="B22" s="383"/>
      <c r="C22" s="380"/>
      <c r="D22" s="391"/>
      <c r="E22" s="391"/>
      <c r="F22" s="196"/>
      <c r="G22" s="370"/>
      <c r="J22" s="380"/>
      <c r="K22" s="391"/>
      <c r="L22" s="391"/>
    </row>
    <row r="23" spans="1:12" ht="15.75" thickBot="1"/>
    <row r="24" spans="1:12" ht="200.25" customHeight="1" thickBot="1">
      <c r="B24" s="591"/>
      <c r="C24" s="592"/>
      <c r="D24" s="592"/>
      <c r="E24" s="593"/>
      <c r="I24" s="591"/>
      <c r="J24" s="592"/>
      <c r="K24" s="592"/>
      <c r="L24" s="593"/>
    </row>
    <row r="26" spans="1:12">
      <c r="D26" s="388"/>
    </row>
    <row r="27" spans="1:12">
      <c r="D27" s="38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4" priority="5" stopIfTrue="1" operator="greaterThan">
      <formula>0.89</formula>
    </cfRule>
    <cfRule type="cellIs" dxfId="2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4" zoomScale="85" zoomScaleNormal="85" workbookViewId="0">
      <selection activeCell="D23" sqref="D23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11"/>
      <c r="C1" s="611"/>
      <c r="D1" s="611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6">
        <v>1084.1250458865841</v>
      </c>
      <c r="F5" s="412" t="s">
        <v>1600</v>
      </c>
      <c r="K5" s="411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2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16.5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15988500</v>
      </c>
    </row>
    <row r="10" spans="2:11" ht="20.100000000000001" customHeight="1">
      <c r="B10" s="238" t="s">
        <v>1445</v>
      </c>
      <c r="C10" s="239" t="s">
        <v>9</v>
      </c>
      <c r="D10" s="245">
        <f ca="1">RAB!K120</f>
        <v>113460034.01275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2269200.680255</v>
      </c>
    </row>
    <row r="12" spans="2:11" ht="9" customHeight="1">
      <c r="B12" s="612"/>
      <c r="C12" s="612"/>
      <c r="D12" s="612"/>
    </row>
    <row r="13" spans="2:11" ht="15.75" customHeight="1">
      <c r="B13" s="246"/>
      <c r="C13" s="246"/>
      <c r="D13" s="246"/>
    </row>
    <row r="14" spans="2:11" ht="48.75" customHeight="1">
      <c r="B14" s="359" t="s">
        <v>1378</v>
      </c>
      <c r="C14" s="360" t="s">
        <v>9</v>
      </c>
      <c r="D14" s="365" t="str">
        <f>RAB!G6</f>
        <v>AGUNG MULYANTO</v>
      </c>
      <c r="E14" s="247" t="s">
        <v>1452</v>
      </c>
    </row>
    <row r="15" spans="2:11" ht="20.100000000000001" customHeight="1">
      <c r="B15" s="361" t="s">
        <v>1446</v>
      </c>
      <c r="C15" s="362" t="s">
        <v>9</v>
      </c>
      <c r="D15" s="366" t="s">
        <v>1626</v>
      </c>
      <c r="E15" s="247" t="s">
        <v>1452</v>
      </c>
    </row>
    <row r="16" spans="2:11" ht="20.100000000000001" customHeight="1">
      <c r="B16" s="361" t="s">
        <v>1447</v>
      </c>
      <c r="C16" s="362" t="s">
        <v>9</v>
      </c>
      <c r="D16" s="366" t="s">
        <v>1450</v>
      </c>
      <c r="E16" s="247" t="s">
        <v>1452</v>
      </c>
    </row>
    <row r="17" spans="2:5" ht="20.100000000000001" customHeight="1">
      <c r="B17" s="361" t="s">
        <v>1448</v>
      </c>
      <c r="C17" s="362" t="s">
        <v>9</v>
      </c>
      <c r="D17" s="367">
        <v>0</v>
      </c>
      <c r="E17" s="247" t="s">
        <v>1452</v>
      </c>
    </row>
    <row r="18" spans="2:5" ht="20.100000000000001" hidden="1" customHeight="1">
      <c r="B18" s="361" t="s">
        <v>1539</v>
      </c>
      <c r="C18" s="362"/>
      <c r="D18" s="367">
        <f>IF((D17&lt;=11),1,3)</f>
        <v>1</v>
      </c>
      <c r="E18" s="247"/>
    </row>
    <row r="19" spans="2:5" ht="20.100000000000001" hidden="1" customHeight="1">
      <c r="B19" s="361" t="s">
        <v>1540</v>
      </c>
      <c r="C19" s="362"/>
      <c r="D19" s="367">
        <f>IF((D17&lt;=11),220,380)</f>
        <v>220</v>
      </c>
      <c r="E19" s="247"/>
    </row>
    <row r="20" spans="2:5" ht="20.100000000000001" customHeight="1">
      <c r="B20" s="361" t="s">
        <v>1449</v>
      </c>
      <c r="C20" s="362" t="s">
        <v>9</v>
      </c>
      <c r="D20" s="366">
        <v>16.5</v>
      </c>
      <c r="E20" s="247" t="s">
        <v>1452</v>
      </c>
    </row>
    <row r="21" spans="2:5" ht="20.100000000000001" hidden="1" customHeight="1">
      <c r="B21" s="361" t="s">
        <v>1539</v>
      </c>
      <c r="C21" s="362"/>
      <c r="D21" s="367">
        <f>IF((D20&lt;=11),1,3)</f>
        <v>3</v>
      </c>
      <c r="E21" s="247"/>
    </row>
    <row r="22" spans="2:5" ht="20.100000000000001" hidden="1" customHeight="1">
      <c r="B22" s="361" t="s">
        <v>1540</v>
      </c>
      <c r="C22" s="362"/>
      <c r="D22" s="367">
        <f>IF((D20&lt;=11),220,380)</f>
        <v>380</v>
      </c>
      <c r="E22" s="247"/>
    </row>
    <row r="23" spans="2:5" ht="20.100000000000001" customHeight="1">
      <c r="B23" s="361" t="s">
        <v>1352</v>
      </c>
      <c r="C23" s="362" t="s">
        <v>9</v>
      </c>
      <c r="D23" s="366">
        <v>1444.7</v>
      </c>
      <c r="E23" s="247" t="s">
        <v>1452</v>
      </c>
    </row>
    <row r="24" spans="2:5" ht="20.100000000000001" customHeight="1">
      <c r="B24" s="361" t="s">
        <v>1353</v>
      </c>
      <c r="C24" s="362" t="s">
        <v>9</v>
      </c>
      <c r="D24" s="366">
        <v>1444.7</v>
      </c>
      <c r="E24" s="247" t="s">
        <v>1452</v>
      </c>
    </row>
    <row r="25" spans="2:5" ht="20.100000000000001" customHeight="1">
      <c r="B25" s="361" t="s">
        <v>1451</v>
      </c>
      <c r="C25" s="362" t="s">
        <v>9</v>
      </c>
      <c r="D25" s="367">
        <v>969</v>
      </c>
      <c r="E25" s="247" t="s">
        <v>1452</v>
      </c>
    </row>
    <row r="26" spans="2:5" ht="20.100000000000001" customHeight="1">
      <c r="B26" s="363" t="s">
        <v>1354</v>
      </c>
      <c r="C26" s="364" t="s">
        <v>9</v>
      </c>
      <c r="D26" s="368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9" t="s">
        <v>1356</v>
      </c>
      <c r="C3" s="619"/>
      <c r="D3" s="619"/>
      <c r="E3" s="619"/>
      <c r="F3" s="252" t="str">
        <f>DATA!D14</f>
        <v>AGUNG MULYANTO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3" t="s">
        <v>1348</v>
      </c>
      <c r="C5" s="613" t="s">
        <v>1357</v>
      </c>
      <c r="D5" s="618" t="s">
        <v>1358</v>
      </c>
      <c r="E5" s="618" t="s">
        <v>1359</v>
      </c>
      <c r="F5" s="613" t="s">
        <v>1360</v>
      </c>
      <c r="G5" s="613"/>
      <c r="H5" s="613"/>
      <c r="I5" s="613"/>
      <c r="J5" s="613"/>
      <c r="K5" s="613" t="s">
        <v>1361</v>
      </c>
      <c r="L5" s="613"/>
      <c r="M5" s="254"/>
      <c r="N5" s="616" t="s">
        <v>1362</v>
      </c>
      <c r="O5" s="618" t="s">
        <v>1363</v>
      </c>
      <c r="P5" s="618" t="s">
        <v>1364</v>
      </c>
      <c r="Q5" s="618" t="s">
        <v>1365</v>
      </c>
      <c r="R5" s="255"/>
      <c r="S5" s="256"/>
      <c r="T5" s="614" t="s">
        <v>1366</v>
      </c>
      <c r="U5" s="257"/>
    </row>
    <row r="6" spans="1:21" ht="20.100000000000001" customHeight="1">
      <c r="B6" s="613"/>
      <c r="C6" s="613"/>
      <c r="D6" s="613"/>
      <c r="E6" s="613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7"/>
      <c r="O6" s="613"/>
      <c r="P6" s="613"/>
      <c r="Q6" s="613"/>
      <c r="R6" s="255"/>
      <c r="S6" s="256"/>
      <c r="T6" s="613"/>
      <c r="U6" s="259"/>
    </row>
    <row r="7" spans="1:21" ht="20.100000000000001" customHeight="1">
      <c r="A7" s="260">
        <v>0</v>
      </c>
      <c r="B7" s="261">
        <v>2023</v>
      </c>
      <c r="C7" s="409">
        <f>DATA!D8*DATA!D26*4</f>
        <v>2640</v>
      </c>
      <c r="D7" s="263">
        <f>C7*4/24</f>
        <v>440</v>
      </c>
      <c r="E7" s="263">
        <f>C7-D7</f>
        <v>2200</v>
      </c>
      <c r="F7" s="264">
        <f ca="1">DATA!D10/1000000</f>
        <v>113.46003401275</v>
      </c>
      <c r="G7" s="265">
        <f ca="1">DATA!$D$11/1000000</f>
        <v>2.269200680255</v>
      </c>
      <c r="H7" s="265">
        <f>C7*DATA!$D$5/1000000</f>
        <v>2.8620901211405818</v>
      </c>
      <c r="I7" s="265">
        <f>(C7*DATA!$D$5*DATA!$D$7)/1000000</f>
        <v>6.4397027725663095E-2</v>
      </c>
      <c r="J7" s="263">
        <f ca="1">SUM(F7:I7)</f>
        <v>118.65572184187124</v>
      </c>
      <c r="K7" s="266">
        <f>DATA!D9/1000000</f>
        <v>15.9885</v>
      </c>
      <c r="L7" s="263">
        <f>((D7*DATA!$D$23)/1000000)+((E7*DATA!$D$24)/1000000)</f>
        <v>3.8140079999999998</v>
      </c>
      <c r="M7" s="263">
        <f>K7+L7</f>
        <v>19.802508</v>
      </c>
      <c r="N7" s="263">
        <f ca="1">M7-J7</f>
        <v>-98.853213841871238</v>
      </c>
      <c r="O7" s="261">
        <v>1</v>
      </c>
      <c r="P7" s="263">
        <f ca="1">O7*N7</f>
        <v>-98.853213841871238</v>
      </c>
      <c r="Q7" s="263">
        <f ca="1">P7</f>
        <v>-98.853213841871238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7920</v>
      </c>
      <c r="D8" s="263">
        <f>C8*4/24</f>
        <v>1320</v>
      </c>
      <c r="E8" s="263">
        <f t="shared" ref="E8:E32" si="0">C8-D8</f>
        <v>6600</v>
      </c>
      <c r="F8" s="261"/>
      <c r="G8" s="265">
        <f ca="1">DATA!$D$11/1000000</f>
        <v>2.269200680255</v>
      </c>
      <c r="H8" s="265">
        <f>C8*DATA!$D$5/1000000</f>
        <v>8.586270363421745</v>
      </c>
      <c r="I8" s="265">
        <f>(C8*DATA!$D$5*DATA!$D$7)/1000000</f>
        <v>0.19319108317698927</v>
      </c>
      <c r="J8" s="263">
        <f t="shared" ref="J8:J32" ca="1" si="1">SUM(F8:I8)</f>
        <v>11.048662126853735</v>
      </c>
      <c r="K8" s="268"/>
      <c r="L8" s="263">
        <f>((D8*DATA!$D$23)/1000000)+((E8*DATA!$D$24)/1000000)</f>
        <v>11.442024</v>
      </c>
      <c r="M8" s="263">
        <f t="shared" ref="M8:M32" si="2">K8+L8</f>
        <v>11.442024</v>
      </c>
      <c r="N8" s="263">
        <f ca="1">M8-J8</f>
        <v>0.39336187314626514</v>
      </c>
      <c r="O8" s="262">
        <f>1/(1+'[93]Asumsi I'!$C$3)^(KKF!A8)</f>
        <v>0.89285714285714279</v>
      </c>
      <c r="P8" s="263">
        <f ca="1">O8*N8</f>
        <v>0.35121595816630813</v>
      </c>
      <c r="Q8" s="263">
        <f ca="1">Q7+P8</f>
        <v>-98.501997883704931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7920</v>
      </c>
      <c r="D9" s="263">
        <f t="shared" ref="D9:D32" si="5">C9*4/24</f>
        <v>1320</v>
      </c>
      <c r="E9" s="263">
        <f t="shared" si="0"/>
        <v>6600</v>
      </c>
      <c r="F9" s="261"/>
      <c r="G9" s="265">
        <f ca="1">DATA!$D$11/1000000</f>
        <v>2.269200680255</v>
      </c>
      <c r="H9" s="265">
        <f>C9*DATA!$D$5/1000000</f>
        <v>8.586270363421745</v>
      </c>
      <c r="I9" s="265">
        <f>(C9*DATA!$D$5*DATA!$D$7)/1000000</f>
        <v>0.19319108317698927</v>
      </c>
      <c r="J9" s="263">
        <f t="shared" ca="1" si="1"/>
        <v>11.048662126853735</v>
      </c>
      <c r="K9" s="263"/>
      <c r="L9" s="263">
        <f>((D9*DATA!$D$23)/1000000)+((E9*DATA!$D$24)/1000000)</f>
        <v>11.442024</v>
      </c>
      <c r="M9" s="263">
        <f t="shared" si="2"/>
        <v>11.442024</v>
      </c>
      <c r="N9" s="263">
        <f t="shared" ref="N9:N32" ca="1" si="6">M9-J9</f>
        <v>0.39336187314626514</v>
      </c>
      <c r="O9" s="269">
        <f>1/(1+'[93]Asumsi I'!$C$3)^(KKF!A9)</f>
        <v>0.79719387755102034</v>
      </c>
      <c r="P9" s="263">
        <f t="shared" ref="P9:P32" ca="1" si="7">O9*N9</f>
        <v>0.31358567693420369</v>
      </c>
      <c r="Q9" s="263">
        <f ca="1">Q8+P9</f>
        <v>-98.188412206770721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7920</v>
      </c>
      <c r="D10" s="263">
        <f t="shared" si="5"/>
        <v>1320</v>
      </c>
      <c r="E10" s="263">
        <f t="shared" si="0"/>
        <v>6600</v>
      </c>
      <c r="F10" s="261"/>
      <c r="G10" s="265">
        <f ca="1">DATA!$D$11/1000000</f>
        <v>2.269200680255</v>
      </c>
      <c r="H10" s="265">
        <f>C10*DATA!$D$5/1000000</f>
        <v>8.586270363421745</v>
      </c>
      <c r="I10" s="265">
        <f>(C10*DATA!$D$5*DATA!$D$7)/1000000</f>
        <v>0.19319108317698927</v>
      </c>
      <c r="J10" s="263">
        <f t="shared" ca="1" si="1"/>
        <v>11.048662126853735</v>
      </c>
      <c r="K10" s="261"/>
      <c r="L10" s="263">
        <f>((D10*DATA!$D$23)/1000000)+((E10*DATA!$D$24)/1000000)</f>
        <v>11.442024</v>
      </c>
      <c r="M10" s="263">
        <f t="shared" si="2"/>
        <v>11.442024</v>
      </c>
      <c r="N10" s="263">
        <f t="shared" ca="1" si="6"/>
        <v>0.39336187314626514</v>
      </c>
      <c r="O10" s="262">
        <f>1/(1+'[93]Asumsi I'!$C$3)^(KKF!A10)</f>
        <v>0.71178024781341087</v>
      </c>
      <c r="P10" s="263">
        <f t="shared" ca="1" si="7"/>
        <v>0.27998721154839612</v>
      </c>
      <c r="Q10" s="263">
        <f t="shared" ref="Q10:Q30" ca="1" si="9">Q9+P10</f>
        <v>-97.908424995222319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7920</v>
      </c>
      <c r="D11" s="263">
        <f t="shared" si="5"/>
        <v>1320</v>
      </c>
      <c r="E11" s="263">
        <f t="shared" si="0"/>
        <v>6600</v>
      </c>
      <c r="F11" s="261"/>
      <c r="G11" s="265">
        <f ca="1">DATA!$D$11/1000000</f>
        <v>2.269200680255</v>
      </c>
      <c r="H11" s="265">
        <f>C11*DATA!$D$5/1000000</f>
        <v>8.586270363421745</v>
      </c>
      <c r="I11" s="265">
        <f>(C11*DATA!$D$5*DATA!$D$7)/1000000</f>
        <v>0.19319108317698927</v>
      </c>
      <c r="J11" s="263">
        <f t="shared" ca="1" si="1"/>
        <v>11.048662126853735</v>
      </c>
      <c r="K11" s="261"/>
      <c r="L11" s="263">
        <f>((D11*DATA!$D$23)/1000000)+((E11*DATA!$D$24)/1000000)</f>
        <v>11.442024</v>
      </c>
      <c r="M11" s="263">
        <f t="shared" si="2"/>
        <v>11.442024</v>
      </c>
      <c r="N11" s="263">
        <f t="shared" ca="1" si="6"/>
        <v>0.39336187314626514</v>
      </c>
      <c r="O11" s="262">
        <f>1/(1+'[93]Asumsi I'!$C$3)^(KKF!A11)</f>
        <v>0.63551807840483121</v>
      </c>
      <c r="P11" s="263">
        <f t="shared" ca="1" si="7"/>
        <v>0.24998858173963939</v>
      </c>
      <c r="Q11" s="263">
        <f t="shared" ca="1" si="9"/>
        <v>-97.658436413482676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7920</v>
      </c>
      <c r="D12" s="263">
        <f t="shared" si="5"/>
        <v>1320</v>
      </c>
      <c r="E12" s="263">
        <f t="shared" si="0"/>
        <v>6600</v>
      </c>
      <c r="F12" s="261"/>
      <c r="G12" s="265">
        <f ca="1">DATA!$D$11/1000000</f>
        <v>2.269200680255</v>
      </c>
      <c r="H12" s="265">
        <f>C12*DATA!$D$5/1000000</f>
        <v>8.586270363421745</v>
      </c>
      <c r="I12" s="265">
        <f>(C12*DATA!$D$5*DATA!$D$7)/1000000</f>
        <v>0.19319108317698927</v>
      </c>
      <c r="J12" s="263">
        <f t="shared" ca="1" si="1"/>
        <v>11.048662126853735</v>
      </c>
      <c r="K12" s="261"/>
      <c r="L12" s="263">
        <f>((D12*DATA!$D$23)/1000000)+((E12*DATA!$D$24)/1000000)</f>
        <v>11.442024</v>
      </c>
      <c r="M12" s="263">
        <f t="shared" si="2"/>
        <v>11.442024</v>
      </c>
      <c r="N12" s="263">
        <f t="shared" ca="1" si="6"/>
        <v>0.39336187314626514</v>
      </c>
      <c r="O12" s="262">
        <f>1/(1+'[93]Asumsi I'!$C$3)^(KKF!A12)</f>
        <v>0.56742685571859919</v>
      </c>
      <c r="P12" s="263">
        <f t="shared" ca="1" si="7"/>
        <v>0.2232040908389637</v>
      </c>
      <c r="Q12" s="263">
        <f t="shared" ca="1" si="9"/>
        <v>-97.435232322643714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7920</v>
      </c>
      <c r="D13" s="263">
        <f t="shared" si="5"/>
        <v>1320</v>
      </c>
      <c r="E13" s="263">
        <f t="shared" si="0"/>
        <v>6600</v>
      </c>
      <c r="F13" s="261"/>
      <c r="G13" s="265">
        <f ca="1">DATA!$D$11/1000000</f>
        <v>2.269200680255</v>
      </c>
      <c r="H13" s="265">
        <f>C13*DATA!$D$5/1000000</f>
        <v>8.586270363421745</v>
      </c>
      <c r="I13" s="265">
        <f>(C13*DATA!$D$5*DATA!$D$7)/1000000</f>
        <v>0.19319108317698927</v>
      </c>
      <c r="J13" s="263">
        <f t="shared" ca="1" si="1"/>
        <v>11.048662126853735</v>
      </c>
      <c r="K13" s="261"/>
      <c r="L13" s="263">
        <f>((D13*DATA!$D$23)/1000000)+((E13*DATA!$D$24)/1000000)</f>
        <v>11.442024</v>
      </c>
      <c r="M13" s="263">
        <f t="shared" si="2"/>
        <v>11.442024</v>
      </c>
      <c r="N13" s="263">
        <f t="shared" ca="1" si="6"/>
        <v>0.39336187314626514</v>
      </c>
      <c r="O13" s="262">
        <f>1/(1+'[93]Asumsi I'!$C$3)^(KKF!A13)</f>
        <v>0.50663112117732068</v>
      </c>
      <c r="P13" s="263">
        <f t="shared" ca="1" si="7"/>
        <v>0.1992893668205033</v>
      </c>
      <c r="Q13" s="263">
        <f t="shared" ca="1" si="9"/>
        <v>-97.235942955823205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7920</v>
      </c>
      <c r="D14" s="263">
        <f t="shared" si="5"/>
        <v>1320</v>
      </c>
      <c r="E14" s="263">
        <f t="shared" si="0"/>
        <v>6600</v>
      </c>
      <c r="F14" s="261"/>
      <c r="G14" s="265">
        <f ca="1">DATA!$D$11/1000000</f>
        <v>2.269200680255</v>
      </c>
      <c r="H14" s="265">
        <f>C14*DATA!$D$5/1000000</f>
        <v>8.586270363421745</v>
      </c>
      <c r="I14" s="265">
        <f>(C14*DATA!$D$5*DATA!$D$7)/1000000</f>
        <v>0.19319108317698927</v>
      </c>
      <c r="J14" s="263">
        <f t="shared" ca="1" si="1"/>
        <v>11.048662126853735</v>
      </c>
      <c r="K14" s="261"/>
      <c r="L14" s="263">
        <f>((D14*DATA!$D$23)/1000000)+((E14*DATA!$D$24)/1000000)</f>
        <v>11.442024</v>
      </c>
      <c r="M14" s="263">
        <f t="shared" si="2"/>
        <v>11.442024</v>
      </c>
      <c r="N14" s="263">
        <f t="shared" ca="1" si="6"/>
        <v>0.39336187314626514</v>
      </c>
      <c r="O14" s="262">
        <f>1/(1+'[93]Asumsi I'!$C$3)^(KKF!A14)</f>
        <v>0.45234921533689343</v>
      </c>
      <c r="P14" s="263">
        <f t="shared" ca="1" si="7"/>
        <v>0.17793693466116364</v>
      </c>
      <c r="Q14" s="263">
        <f t="shared" ca="1" si="9"/>
        <v>-97.058006021162043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7920</v>
      </c>
      <c r="D15" s="263">
        <f t="shared" si="5"/>
        <v>1320</v>
      </c>
      <c r="E15" s="263">
        <f t="shared" si="0"/>
        <v>6600</v>
      </c>
      <c r="F15" s="261"/>
      <c r="G15" s="265">
        <f ca="1">DATA!$D$11/1000000</f>
        <v>2.269200680255</v>
      </c>
      <c r="H15" s="265">
        <f>C15*DATA!$D$5/1000000</f>
        <v>8.586270363421745</v>
      </c>
      <c r="I15" s="265">
        <f>(C15*DATA!$D$5*DATA!$D$7)/1000000</f>
        <v>0.19319108317698927</v>
      </c>
      <c r="J15" s="263">
        <f t="shared" ca="1" si="1"/>
        <v>11.048662126853735</v>
      </c>
      <c r="K15" s="261"/>
      <c r="L15" s="263">
        <f>((D15*DATA!$D$23)/1000000)+((E15*DATA!$D$24)/1000000)</f>
        <v>11.442024</v>
      </c>
      <c r="M15" s="263">
        <f t="shared" si="2"/>
        <v>11.442024</v>
      </c>
      <c r="N15" s="263">
        <f t="shared" ca="1" si="6"/>
        <v>0.39336187314626514</v>
      </c>
      <c r="O15" s="262">
        <f>1/(1+'[93]Asumsi I'!$C$3)^(KKF!A15)</f>
        <v>0.4038832279793691</v>
      </c>
      <c r="P15" s="263">
        <f t="shared" ca="1" si="7"/>
        <v>0.15887226309032468</v>
      </c>
      <c r="Q15" s="263">
        <f t="shared" ca="1" si="9"/>
        <v>-96.899133758071713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7920</v>
      </c>
      <c r="D16" s="263">
        <f t="shared" si="5"/>
        <v>1320</v>
      </c>
      <c r="E16" s="263">
        <f t="shared" si="0"/>
        <v>6600</v>
      </c>
      <c r="F16" s="261"/>
      <c r="G16" s="265">
        <f ca="1">DATA!$D$11/1000000</f>
        <v>2.269200680255</v>
      </c>
      <c r="H16" s="265">
        <f>C16*DATA!$D$5/1000000</f>
        <v>8.586270363421745</v>
      </c>
      <c r="I16" s="265">
        <f>(C16*DATA!$D$5*DATA!$D$7)/1000000</f>
        <v>0.19319108317698927</v>
      </c>
      <c r="J16" s="263">
        <f t="shared" ca="1" si="1"/>
        <v>11.048662126853735</v>
      </c>
      <c r="K16" s="261"/>
      <c r="L16" s="263">
        <f>((D16*DATA!$D$23)/1000000)+((E16*DATA!$D$24)/1000000)</f>
        <v>11.442024</v>
      </c>
      <c r="M16" s="263">
        <f t="shared" si="2"/>
        <v>11.442024</v>
      </c>
      <c r="N16" s="263">
        <f t="shared" ca="1" si="6"/>
        <v>0.39336187314626514</v>
      </c>
      <c r="O16" s="262">
        <f>1/(1+'[93]Asumsi I'!$C$3)^(KKF!A16)</f>
        <v>0.36061002498157957</v>
      </c>
      <c r="P16" s="263">
        <f t="shared" ca="1" si="7"/>
        <v>0.1418502349020756</v>
      </c>
      <c r="Q16" s="263">
        <f t="shared" ca="1" si="9"/>
        <v>-96.757283523169633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7920</v>
      </c>
      <c r="D17" s="263">
        <f t="shared" si="5"/>
        <v>1320</v>
      </c>
      <c r="E17" s="263">
        <f t="shared" si="0"/>
        <v>6600</v>
      </c>
      <c r="F17" s="261"/>
      <c r="G17" s="265">
        <f ca="1">DATA!$D$11/1000000</f>
        <v>2.269200680255</v>
      </c>
      <c r="H17" s="265">
        <f>C17*DATA!$D$5/1000000</f>
        <v>8.586270363421745</v>
      </c>
      <c r="I17" s="265">
        <f>(C17*DATA!$D$5*DATA!$D$7)/1000000</f>
        <v>0.19319108317698927</v>
      </c>
      <c r="J17" s="263">
        <f t="shared" ca="1" si="1"/>
        <v>11.048662126853735</v>
      </c>
      <c r="K17" s="261"/>
      <c r="L17" s="263">
        <f>((D17*DATA!$D$23)/1000000)+((E17*DATA!$D$24)/1000000)</f>
        <v>11.442024</v>
      </c>
      <c r="M17" s="263">
        <f t="shared" si="2"/>
        <v>11.442024</v>
      </c>
      <c r="N17" s="263">
        <f t="shared" ca="1" si="6"/>
        <v>0.39336187314626514</v>
      </c>
      <c r="O17" s="262">
        <f>1/(1+'[93]Asumsi I'!$C$3)^(KKF!A17)</f>
        <v>0.32197323659069599</v>
      </c>
      <c r="P17" s="263">
        <f t="shared" ca="1" si="7"/>
        <v>0.12665199544828176</v>
      </c>
      <c r="Q17" s="263">
        <f t="shared" ca="1" si="9"/>
        <v>-96.630631527721349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7920</v>
      </c>
      <c r="D18" s="263">
        <f t="shared" si="5"/>
        <v>1320</v>
      </c>
      <c r="E18" s="263">
        <f t="shared" si="0"/>
        <v>6600</v>
      </c>
      <c r="F18" s="261"/>
      <c r="G18" s="265">
        <f ca="1">DATA!$D$11/1000000</f>
        <v>2.269200680255</v>
      </c>
      <c r="H18" s="265">
        <f>C18*DATA!$D$5/1000000</f>
        <v>8.586270363421745</v>
      </c>
      <c r="I18" s="265">
        <f>(C18*DATA!$D$5*DATA!$D$7)/1000000</f>
        <v>0.19319108317698927</v>
      </c>
      <c r="J18" s="263">
        <f t="shared" ca="1" si="1"/>
        <v>11.048662126853735</v>
      </c>
      <c r="K18" s="261"/>
      <c r="L18" s="263">
        <f>((D18*DATA!$D$23)/1000000)+((E18*DATA!$D$24)/1000000)</f>
        <v>11.442024</v>
      </c>
      <c r="M18" s="263">
        <f t="shared" si="2"/>
        <v>11.442024</v>
      </c>
      <c r="N18" s="263">
        <f t="shared" ca="1" si="6"/>
        <v>0.39336187314626514</v>
      </c>
      <c r="O18" s="262">
        <f>1/(1+'[93]Asumsi I'!$C$3)^(KKF!A18)</f>
        <v>0.28747610409883567</v>
      </c>
      <c r="P18" s="263">
        <f t="shared" ca="1" si="7"/>
        <v>0.11308213879310872</v>
      </c>
      <c r="Q18" s="263">
        <f t="shared" ca="1" si="9"/>
        <v>-96.517549388928245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7920</v>
      </c>
      <c r="D19" s="263">
        <f t="shared" si="5"/>
        <v>1320</v>
      </c>
      <c r="E19" s="263">
        <f t="shared" si="0"/>
        <v>6600</v>
      </c>
      <c r="F19" s="261"/>
      <c r="G19" s="265">
        <f ca="1">DATA!$D$11/1000000</f>
        <v>2.269200680255</v>
      </c>
      <c r="H19" s="265">
        <f>C19*DATA!$D$5/1000000</f>
        <v>8.586270363421745</v>
      </c>
      <c r="I19" s="265">
        <f>(C19*DATA!$D$5*DATA!$D$7)/1000000</f>
        <v>0.19319108317698927</v>
      </c>
      <c r="J19" s="263">
        <f t="shared" ca="1" si="1"/>
        <v>11.048662126853735</v>
      </c>
      <c r="K19" s="261"/>
      <c r="L19" s="263">
        <f>((D19*DATA!$D$23)/1000000)+((E19*DATA!$D$24)/1000000)</f>
        <v>11.442024</v>
      </c>
      <c r="M19" s="263">
        <f t="shared" si="2"/>
        <v>11.442024</v>
      </c>
      <c r="N19" s="263">
        <f t="shared" ca="1" si="6"/>
        <v>0.39336187314626514</v>
      </c>
      <c r="O19" s="262">
        <f>1/(1+'[93]Asumsi I'!$C$3)^(KKF!A19)</f>
        <v>0.25667509294538904</v>
      </c>
      <c r="P19" s="263">
        <f t="shared" ca="1" si="7"/>
        <v>0.10096619535098994</v>
      </c>
      <c r="Q19" s="263">
        <f t="shared" ca="1" si="9"/>
        <v>-96.416583193577253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7920</v>
      </c>
      <c r="D20" s="263">
        <f t="shared" si="5"/>
        <v>1320</v>
      </c>
      <c r="E20" s="263">
        <f t="shared" si="0"/>
        <v>6600</v>
      </c>
      <c r="F20" s="261"/>
      <c r="G20" s="265">
        <f ca="1">DATA!$D$11/1000000</f>
        <v>2.269200680255</v>
      </c>
      <c r="H20" s="265">
        <f>C20*DATA!$D$5/1000000</f>
        <v>8.586270363421745</v>
      </c>
      <c r="I20" s="265">
        <f>(C20*DATA!$D$5*DATA!$D$7)/1000000</f>
        <v>0.19319108317698927</v>
      </c>
      <c r="J20" s="263">
        <f t="shared" ca="1" si="1"/>
        <v>11.048662126853735</v>
      </c>
      <c r="K20" s="261"/>
      <c r="L20" s="263">
        <f>((D20*DATA!$D$23)/1000000)+((E20*DATA!$D$24)/1000000)</f>
        <v>11.442024</v>
      </c>
      <c r="M20" s="263">
        <f t="shared" si="2"/>
        <v>11.442024</v>
      </c>
      <c r="N20" s="263">
        <f t="shared" ca="1" si="6"/>
        <v>0.39336187314626514</v>
      </c>
      <c r="O20" s="262">
        <f>1/(1+'[93]Asumsi I'!$C$3)^(KKF!A20)</f>
        <v>0.22917419012981158</v>
      </c>
      <c r="P20" s="263">
        <f t="shared" ca="1" si="7"/>
        <v>9.0148388706240992E-2</v>
      </c>
      <c r="Q20" s="263">
        <f t="shared" ca="1" si="9"/>
        <v>-96.326434804871013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7920</v>
      </c>
      <c r="D21" s="263">
        <f t="shared" si="5"/>
        <v>1320</v>
      </c>
      <c r="E21" s="263">
        <f t="shared" si="0"/>
        <v>6600</v>
      </c>
      <c r="F21" s="261"/>
      <c r="G21" s="265">
        <f ca="1">DATA!$D$11/1000000</f>
        <v>2.269200680255</v>
      </c>
      <c r="H21" s="265">
        <f>C21*DATA!$D$5/1000000</f>
        <v>8.586270363421745</v>
      </c>
      <c r="I21" s="265">
        <f>(C21*DATA!$D$5*DATA!$D$7)/1000000</f>
        <v>0.19319108317698927</v>
      </c>
      <c r="J21" s="263">
        <f t="shared" ca="1" si="1"/>
        <v>11.048662126853735</v>
      </c>
      <c r="K21" s="261"/>
      <c r="L21" s="263">
        <f>((D21*DATA!$D$23)/1000000)+((E21*DATA!$D$24)/1000000)</f>
        <v>11.442024</v>
      </c>
      <c r="M21" s="263">
        <f t="shared" si="2"/>
        <v>11.442024</v>
      </c>
      <c r="N21" s="263">
        <f t="shared" ca="1" si="6"/>
        <v>0.39336187314626514</v>
      </c>
      <c r="O21" s="262">
        <f>1/(1+'[93]Asumsi I'!$C$3)^(KKF!A21)</f>
        <v>0.20461981261590317</v>
      </c>
      <c r="P21" s="263">
        <f t="shared" ca="1" si="7"/>
        <v>8.0489632773429451E-2</v>
      </c>
      <c r="Q21" s="263">
        <f t="shared" ca="1" si="9"/>
        <v>-96.245945172097578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7920</v>
      </c>
      <c r="D22" s="263">
        <f t="shared" si="5"/>
        <v>1320</v>
      </c>
      <c r="E22" s="263">
        <f t="shared" si="0"/>
        <v>6600</v>
      </c>
      <c r="F22" s="261"/>
      <c r="G22" s="265">
        <f ca="1">DATA!$D$11/1000000</f>
        <v>2.269200680255</v>
      </c>
      <c r="H22" s="265">
        <f>C22*DATA!$D$5/1000000</f>
        <v>8.586270363421745</v>
      </c>
      <c r="I22" s="265">
        <f>(C22*DATA!$D$5*DATA!$D$7)/1000000</f>
        <v>0.19319108317698927</v>
      </c>
      <c r="J22" s="263">
        <f t="shared" ca="1" si="1"/>
        <v>11.048662126853735</v>
      </c>
      <c r="K22" s="261"/>
      <c r="L22" s="263">
        <f>((D22*DATA!$D$23)/1000000)+((E22*DATA!$D$24)/1000000)</f>
        <v>11.442024</v>
      </c>
      <c r="M22" s="263">
        <f t="shared" si="2"/>
        <v>11.442024</v>
      </c>
      <c r="N22" s="263">
        <f t="shared" ca="1" si="6"/>
        <v>0.39336187314626514</v>
      </c>
      <c r="O22" s="262">
        <f>1/(1+'[93]Asumsi I'!$C$3)^(KKF!A22)</f>
        <v>0.18269626126419927</v>
      </c>
      <c r="P22" s="263">
        <f t="shared" ca="1" si="7"/>
        <v>7.1865743547704863E-2</v>
      </c>
      <c r="Q22" s="263">
        <f t="shared" ca="1" si="9"/>
        <v>-96.174079428549874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7920</v>
      </c>
      <c r="D23" s="263">
        <f t="shared" si="5"/>
        <v>1320</v>
      </c>
      <c r="E23" s="263">
        <f t="shared" si="0"/>
        <v>6600</v>
      </c>
      <c r="F23" s="261"/>
      <c r="G23" s="265">
        <f ca="1">DATA!$D$11/1000000</f>
        <v>2.269200680255</v>
      </c>
      <c r="H23" s="265">
        <f>C23*DATA!$D$5/1000000</f>
        <v>8.586270363421745</v>
      </c>
      <c r="I23" s="265">
        <f>(C23*DATA!$D$5*DATA!$D$7)/1000000</f>
        <v>0.19319108317698927</v>
      </c>
      <c r="J23" s="263">
        <f t="shared" ca="1" si="1"/>
        <v>11.048662126853735</v>
      </c>
      <c r="K23" s="261"/>
      <c r="L23" s="263">
        <f>((D23*DATA!$D$23)/1000000)+((E23*DATA!$D$24)/1000000)</f>
        <v>11.442024</v>
      </c>
      <c r="M23" s="263">
        <f t="shared" si="2"/>
        <v>11.442024</v>
      </c>
      <c r="N23" s="263">
        <f t="shared" ca="1" si="6"/>
        <v>0.39336187314626514</v>
      </c>
      <c r="O23" s="262">
        <f>1/(1+'[93]Asumsi I'!$C$3)^(KKF!A23)</f>
        <v>0.16312166184303503</v>
      </c>
      <c r="P23" s="263">
        <f t="shared" ca="1" si="7"/>
        <v>6.4165842453307906E-2</v>
      </c>
      <c r="Q23" s="263">
        <f t="shared" ca="1" si="9"/>
        <v>-96.109913586096567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7920</v>
      </c>
      <c r="D24" s="263">
        <f t="shared" si="5"/>
        <v>1320</v>
      </c>
      <c r="E24" s="263">
        <f t="shared" si="0"/>
        <v>6600</v>
      </c>
      <c r="F24" s="261"/>
      <c r="G24" s="265">
        <f ca="1">DATA!$D$11/1000000</f>
        <v>2.269200680255</v>
      </c>
      <c r="H24" s="265">
        <f>C24*DATA!$D$5/1000000</f>
        <v>8.586270363421745</v>
      </c>
      <c r="I24" s="265">
        <f>(C24*DATA!$D$5*DATA!$D$7)/1000000</f>
        <v>0.19319108317698927</v>
      </c>
      <c r="J24" s="263">
        <f t="shared" ca="1" si="1"/>
        <v>11.048662126853735</v>
      </c>
      <c r="K24" s="261"/>
      <c r="L24" s="263">
        <f>((D24*DATA!$D$23)/1000000)+((E24*DATA!$D$24)/1000000)</f>
        <v>11.442024</v>
      </c>
      <c r="M24" s="263">
        <f t="shared" si="2"/>
        <v>11.442024</v>
      </c>
      <c r="N24" s="263">
        <f t="shared" ca="1" si="6"/>
        <v>0.39336187314626514</v>
      </c>
      <c r="O24" s="262">
        <f>1/(1+'[93]Asumsi I'!$C$3)^(KKF!A24)</f>
        <v>0.14564434093128129</v>
      </c>
      <c r="P24" s="263">
        <f t="shared" ca="1" si="7"/>
        <v>5.7290930761882061E-2</v>
      </c>
      <c r="Q24" s="263">
        <f t="shared" ca="1" si="9"/>
        <v>-96.052622655334687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7920</v>
      </c>
      <c r="D25" s="263">
        <f t="shared" si="5"/>
        <v>1320</v>
      </c>
      <c r="E25" s="263">
        <f t="shared" si="0"/>
        <v>6600</v>
      </c>
      <c r="F25" s="261"/>
      <c r="G25" s="265">
        <f ca="1">DATA!$D$11/1000000</f>
        <v>2.269200680255</v>
      </c>
      <c r="H25" s="265">
        <f>C25*DATA!$D$5/1000000</f>
        <v>8.586270363421745</v>
      </c>
      <c r="I25" s="265">
        <f>(C25*DATA!$D$5*DATA!$D$7)/1000000</f>
        <v>0.19319108317698927</v>
      </c>
      <c r="J25" s="263">
        <f t="shared" ca="1" si="1"/>
        <v>11.048662126853735</v>
      </c>
      <c r="K25" s="261"/>
      <c r="L25" s="263">
        <f>((D25*DATA!$D$23)/1000000)+((E25*DATA!$D$24)/1000000)</f>
        <v>11.442024</v>
      </c>
      <c r="M25" s="263">
        <f t="shared" si="2"/>
        <v>11.442024</v>
      </c>
      <c r="N25" s="263">
        <f t="shared" ca="1" si="6"/>
        <v>0.39336187314626514</v>
      </c>
      <c r="O25" s="262">
        <f>1/(1+'[93]Asumsi I'!$C$3)^(KKF!A25)</f>
        <v>0.13003959011721541</v>
      </c>
      <c r="P25" s="263">
        <f t="shared" ca="1" si="7"/>
        <v>5.1152616751680403E-2</v>
      </c>
      <c r="Q25" s="263">
        <f t="shared" ca="1" si="9"/>
        <v>-96.001470038583008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7920</v>
      </c>
      <c r="D26" s="263">
        <f t="shared" si="5"/>
        <v>1320</v>
      </c>
      <c r="E26" s="263">
        <f t="shared" si="0"/>
        <v>6600</v>
      </c>
      <c r="F26" s="261"/>
      <c r="G26" s="265">
        <f ca="1">DATA!$D$11/1000000</f>
        <v>2.269200680255</v>
      </c>
      <c r="H26" s="265">
        <f>C26*DATA!$D$5/1000000</f>
        <v>8.586270363421745</v>
      </c>
      <c r="I26" s="265">
        <f>(C26*DATA!$D$5*DATA!$D$7)/1000000</f>
        <v>0.19319108317698927</v>
      </c>
      <c r="J26" s="263">
        <f t="shared" ca="1" si="1"/>
        <v>11.048662126853735</v>
      </c>
      <c r="K26" s="261"/>
      <c r="L26" s="263">
        <f>((D26*DATA!$D$23)/1000000)+((E26*DATA!$D$24)/1000000)</f>
        <v>11.442024</v>
      </c>
      <c r="M26" s="263">
        <f t="shared" si="2"/>
        <v>11.442024</v>
      </c>
      <c r="N26" s="263">
        <f t="shared" ca="1" si="6"/>
        <v>0.39336187314626514</v>
      </c>
      <c r="O26" s="262">
        <f>1/(1+'[93]Asumsi I'!$C$3)^(KKF!A26)</f>
        <v>0.1161067768903709</v>
      </c>
      <c r="P26" s="263">
        <f t="shared" ca="1" si="7"/>
        <v>4.5671979242571784E-2</v>
      </c>
      <c r="Q26" s="263">
        <f t="shared" ca="1" si="9"/>
        <v>-95.955798059340438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7920</v>
      </c>
      <c r="D27" s="263">
        <f t="shared" si="5"/>
        <v>1320</v>
      </c>
      <c r="E27" s="263">
        <f t="shared" si="0"/>
        <v>6600</v>
      </c>
      <c r="F27" s="261"/>
      <c r="G27" s="265">
        <f ca="1">DATA!$D$11/1000000</f>
        <v>2.269200680255</v>
      </c>
      <c r="H27" s="265">
        <f>C27*DATA!$D$5/1000000</f>
        <v>8.586270363421745</v>
      </c>
      <c r="I27" s="265">
        <f>(C27*DATA!$D$5*DATA!$D$7)/1000000</f>
        <v>0.19319108317698927</v>
      </c>
      <c r="J27" s="263">
        <f t="shared" ca="1" si="1"/>
        <v>11.048662126853735</v>
      </c>
      <c r="K27" s="261"/>
      <c r="L27" s="263">
        <f>((D27*DATA!$D$23)/1000000)+((E27*DATA!$D$24)/1000000)</f>
        <v>11.442024</v>
      </c>
      <c r="M27" s="263">
        <f t="shared" si="2"/>
        <v>11.442024</v>
      </c>
      <c r="N27" s="263">
        <f t="shared" ca="1" si="6"/>
        <v>0.39336187314626514</v>
      </c>
      <c r="O27" s="262">
        <f>1/(1+'[93]Asumsi I'!$C$3)^(KKF!A27)</f>
        <v>0.1036667650806883</v>
      </c>
      <c r="P27" s="263">
        <f t="shared" ca="1" si="7"/>
        <v>4.0778552895153378E-2</v>
      </c>
      <c r="Q27" s="263">
        <f t="shared" ca="1" si="9"/>
        <v>-95.91501950644529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7920</v>
      </c>
      <c r="D28" s="263">
        <f t="shared" si="5"/>
        <v>1320</v>
      </c>
      <c r="E28" s="263">
        <f t="shared" si="0"/>
        <v>6600</v>
      </c>
      <c r="F28" s="261"/>
      <c r="G28" s="265">
        <f ca="1">DATA!$D$11/1000000</f>
        <v>2.269200680255</v>
      </c>
      <c r="H28" s="265">
        <f>C28*DATA!$D$5/1000000</f>
        <v>8.586270363421745</v>
      </c>
      <c r="I28" s="265">
        <f>(C28*DATA!$D$5*DATA!$D$7)/1000000</f>
        <v>0.19319108317698927</v>
      </c>
      <c r="J28" s="263">
        <f t="shared" ca="1" si="1"/>
        <v>11.048662126853735</v>
      </c>
      <c r="K28" s="261"/>
      <c r="L28" s="263">
        <f>((D28*DATA!$D$23)/1000000)+((E28*DATA!$D$24)/1000000)</f>
        <v>11.442024</v>
      </c>
      <c r="M28" s="263">
        <f t="shared" si="2"/>
        <v>11.442024</v>
      </c>
      <c r="N28" s="263">
        <f t="shared" ca="1" si="6"/>
        <v>0.39336187314626514</v>
      </c>
      <c r="O28" s="262">
        <f>1/(1+'[93]Asumsi I'!$C$3)^(KKF!A28)</f>
        <v>9.2559611679185971E-2</v>
      </c>
      <c r="P28" s="263">
        <f t="shared" ca="1" si="7"/>
        <v>3.6409422227815513E-2</v>
      </c>
      <c r="Q28" s="263">
        <f t="shared" ca="1" si="9"/>
        <v>-95.87861008421747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7920</v>
      </c>
      <c r="D29" s="263">
        <f t="shared" si="5"/>
        <v>1320</v>
      </c>
      <c r="E29" s="263">
        <f t="shared" si="0"/>
        <v>6600</v>
      </c>
      <c r="F29" s="261"/>
      <c r="G29" s="265">
        <f ca="1">DATA!$D$11/1000000</f>
        <v>2.269200680255</v>
      </c>
      <c r="H29" s="265">
        <f>C29*DATA!$D$5/1000000</f>
        <v>8.586270363421745</v>
      </c>
      <c r="I29" s="265">
        <f>(C29*DATA!$D$5*DATA!$D$7)/1000000</f>
        <v>0.19319108317698927</v>
      </c>
      <c r="J29" s="263">
        <f t="shared" ca="1" si="1"/>
        <v>11.048662126853735</v>
      </c>
      <c r="K29" s="261"/>
      <c r="L29" s="263">
        <f>((D29*DATA!$D$23)/1000000)+((E29*DATA!$D$24)/1000000)</f>
        <v>11.442024</v>
      </c>
      <c r="M29" s="263">
        <f t="shared" si="2"/>
        <v>11.442024</v>
      </c>
      <c r="N29" s="263">
        <f t="shared" ca="1" si="6"/>
        <v>0.39336187314626514</v>
      </c>
      <c r="O29" s="262">
        <f>1/(1+'[93]Asumsi I'!$C$3)^(KKF!A29)</f>
        <v>8.2642510427844609E-2</v>
      </c>
      <c r="P29" s="263">
        <f t="shared" ca="1" si="7"/>
        <v>3.2508412703406708E-2</v>
      </c>
      <c r="Q29" s="263">
        <f t="shared" ca="1" si="9"/>
        <v>-95.846101671514063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7920</v>
      </c>
      <c r="D30" s="263">
        <f t="shared" si="5"/>
        <v>1320</v>
      </c>
      <c r="E30" s="263">
        <f t="shared" si="0"/>
        <v>6600</v>
      </c>
      <c r="F30" s="261"/>
      <c r="G30" s="265">
        <f ca="1">DATA!$D$11/1000000</f>
        <v>2.269200680255</v>
      </c>
      <c r="H30" s="265">
        <f>C30*DATA!$D$5/1000000</f>
        <v>8.586270363421745</v>
      </c>
      <c r="I30" s="265">
        <f>(C30*DATA!$D$5*DATA!$D$7)/1000000</f>
        <v>0.19319108317698927</v>
      </c>
      <c r="J30" s="263">
        <f t="shared" ca="1" si="1"/>
        <v>11.048662126853735</v>
      </c>
      <c r="K30" s="261"/>
      <c r="L30" s="263">
        <f>((D30*DATA!$D$23)/1000000)+((E30*DATA!$D$24)/1000000)</f>
        <v>11.442024</v>
      </c>
      <c r="M30" s="263">
        <f t="shared" si="2"/>
        <v>11.442024</v>
      </c>
      <c r="N30" s="263">
        <f t="shared" ca="1" si="6"/>
        <v>0.39336187314626514</v>
      </c>
      <c r="O30" s="262">
        <f>1/(1+'[93]Asumsi I'!$C$3)^(KKF!A30)</f>
        <v>7.3787955739146982E-2</v>
      </c>
      <c r="P30" s="263">
        <f t="shared" ca="1" si="7"/>
        <v>2.9025368485184562E-2</v>
      </c>
      <c r="Q30" s="263">
        <f t="shared" ca="1" si="9"/>
        <v>-95.817076303028884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7920</v>
      </c>
      <c r="D31" s="263">
        <f t="shared" si="5"/>
        <v>1320</v>
      </c>
      <c r="E31" s="263">
        <f t="shared" si="0"/>
        <v>6600</v>
      </c>
      <c r="F31" s="261"/>
      <c r="G31" s="265">
        <f ca="1">DATA!$D$11/1000000</f>
        <v>2.269200680255</v>
      </c>
      <c r="H31" s="265">
        <f>C31*DATA!$D$5/1000000</f>
        <v>8.586270363421745</v>
      </c>
      <c r="I31" s="265">
        <f>(C31*DATA!$D$5*DATA!$D$7)/1000000</f>
        <v>0.19319108317698927</v>
      </c>
      <c r="J31" s="263">
        <f t="shared" ca="1" si="1"/>
        <v>11.048662126853735</v>
      </c>
      <c r="K31" s="261"/>
      <c r="L31" s="263">
        <f>((D31*DATA!$D$23)/1000000)+((E31*DATA!$D$24)/1000000)</f>
        <v>11.442024</v>
      </c>
      <c r="M31" s="263">
        <f t="shared" si="2"/>
        <v>11.442024</v>
      </c>
      <c r="N31" s="263">
        <f t="shared" ca="1" si="6"/>
        <v>0.39336187314626514</v>
      </c>
      <c r="O31" s="262">
        <f>1/(1+'[93]Asumsi I'!$C$3)^(KKF!A31)</f>
        <v>6.5882103338524081E-2</v>
      </c>
      <c r="P31" s="263">
        <f t="shared" ca="1" si="7"/>
        <v>2.591550757605764E-2</v>
      </c>
      <c r="Q31" s="263">
        <f ca="1">Q30+P31</f>
        <v>-95.791160795452825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7920</v>
      </c>
      <c r="D32" s="263">
        <f t="shared" si="5"/>
        <v>1320</v>
      </c>
      <c r="E32" s="263">
        <f t="shared" si="0"/>
        <v>6600</v>
      </c>
      <c r="F32" s="261"/>
      <c r="G32" s="265">
        <f ca="1">DATA!$D$11/1000000</f>
        <v>2.269200680255</v>
      </c>
      <c r="H32" s="265">
        <f>C32*DATA!$D$5/1000000</f>
        <v>8.586270363421745</v>
      </c>
      <c r="I32" s="265">
        <f>(C32*DATA!$D$5*DATA!$D$7)/1000000</f>
        <v>0.19319108317698927</v>
      </c>
      <c r="J32" s="263">
        <f t="shared" ca="1" si="1"/>
        <v>11.048662126853735</v>
      </c>
      <c r="K32" s="261"/>
      <c r="L32" s="263">
        <f>((D32*DATA!$D$23)/1000000)+((E32*DATA!$D$24)/1000000)</f>
        <v>11.442024</v>
      </c>
      <c r="M32" s="263">
        <f t="shared" si="2"/>
        <v>11.442024</v>
      </c>
      <c r="N32" s="263">
        <f t="shared" ca="1" si="6"/>
        <v>0.39336187314626514</v>
      </c>
      <c r="O32" s="262">
        <f>1/(1+'[93]Asumsi I'!$C$3)^(KKF!A32)</f>
        <v>5.8823306552253637E-2</v>
      </c>
      <c r="P32" s="263">
        <f t="shared" ca="1" si="7"/>
        <v>2.3138846050051464E-2</v>
      </c>
      <c r="Q32" s="263">
        <f ca="1">Q31+P32</f>
        <v>-95.76802194940278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5" t="s">
        <v>1373</v>
      </c>
      <c r="G33" s="615"/>
      <c r="H33" s="615"/>
      <c r="I33" s="271"/>
      <c r="J33" s="272">
        <f ca="1">SUM(J7:J32)</f>
        <v>394.87227501321479</v>
      </c>
      <c r="K33" s="615" t="s">
        <v>1374</v>
      </c>
      <c r="L33" s="615"/>
      <c r="M33" s="272">
        <f>SUM(M7:M32)</f>
        <v>305.85310800000008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301.6452024005668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0.77456212389123646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-85.507162454823899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-0.1316416261451383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2" priority="1" stopIfTrue="1" operator="greaterThanOrEqual">
      <formula>$F$7</formula>
    </cfRule>
    <cfRule type="cellIs" dxfId="21" priority="2" stopIfTrue="1" operator="lessThan">
      <formula>$F$7</formula>
    </cfRule>
  </conditionalFormatting>
  <conditionalFormatting sqref="Q7:Q32">
    <cfRule type="cellIs" dxfId="20" priority="3" operator="lessThan">
      <formula>0</formula>
    </cfRule>
    <cfRule type="cellIs" dxfId="19" priority="4" operator="lessThan">
      <formula>0</formula>
    </cfRule>
    <cfRule type="cellIs" dxfId="18" priority="5" operator="lessThan">
      <formula>-6395.81</formula>
    </cfRule>
    <cfRule type="cellIs" dxfId="1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35"/>
  <sheetViews>
    <sheetView showGridLines="0" tabSelected="1" zoomScale="70" zoomScaleNormal="70" zoomScaleSheetLayoutView="70" workbookViewId="0">
      <pane ySplit="13" topLeftCell="A51" activePane="bottomLeft" state="frozen"/>
      <selection activeCell="H1093" sqref="H1093"/>
      <selection pane="bottomLeft" activeCell="F103" sqref="F103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3" customWidth="1"/>
    <col min="4" max="4" width="13.7109375" style="353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39" t="s">
        <v>1036</v>
      </c>
      <c r="P3" s="639"/>
      <c r="Q3" s="293"/>
      <c r="T3" s="291"/>
      <c r="U3" s="292" t="s">
        <v>1041</v>
      </c>
      <c r="V3" s="291"/>
    </row>
    <row r="4" spans="1:22" ht="15.75" customHeight="1">
      <c r="B4" s="640" t="s">
        <v>1023</v>
      </c>
      <c r="C4" s="640"/>
      <c r="D4" s="640"/>
      <c r="E4" s="640"/>
      <c r="F4" s="640"/>
      <c r="G4" s="640"/>
      <c r="H4" s="640"/>
      <c r="I4" s="640"/>
      <c r="J4" s="640"/>
      <c r="K4" s="640"/>
      <c r="O4" s="639"/>
      <c r="P4" s="639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22" t="s">
        <v>1643</v>
      </c>
      <c r="H6" s="623"/>
      <c r="I6" s="623"/>
      <c r="J6" s="623"/>
      <c r="K6" s="623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1644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42" t="s">
        <v>0</v>
      </c>
      <c r="C11" s="644" t="s">
        <v>1</v>
      </c>
      <c r="D11" s="633" t="s">
        <v>42</v>
      </c>
      <c r="E11" s="633" t="s">
        <v>43</v>
      </c>
      <c r="F11" s="633" t="s">
        <v>2</v>
      </c>
      <c r="G11" s="647" t="s">
        <v>41</v>
      </c>
      <c r="H11" s="633" t="s">
        <v>3</v>
      </c>
      <c r="I11" s="633"/>
      <c r="J11" s="633"/>
      <c r="K11" s="634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43"/>
      <c r="C12" s="645"/>
      <c r="D12" s="637"/>
      <c r="E12" s="637"/>
      <c r="F12" s="637"/>
      <c r="G12" s="648"/>
      <c r="H12" s="635" t="s">
        <v>46</v>
      </c>
      <c r="I12" s="635" t="s">
        <v>5</v>
      </c>
      <c r="J12" s="637" t="s">
        <v>47</v>
      </c>
      <c r="K12" s="638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43"/>
      <c r="C13" s="646"/>
      <c r="D13" s="637"/>
      <c r="E13" s="637"/>
      <c r="F13" s="637"/>
      <c r="G13" s="649"/>
      <c r="H13" s="636"/>
      <c r="I13" s="636"/>
      <c r="J13" s="637"/>
      <c r="K13" s="638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0" ca="1" si="0">IF(OR(D14="MDU",D14="MDU-KD"),(IF($O$3="RAB NON MDU","PLN KD",G14*F14)),0)</f>
        <v>0</v>
      </c>
      <c r="I14" s="308">
        <f t="shared" ref="I14:I20" ca="1" si="1">IF(D14="HDW",G14*F14,0)</f>
        <v>0</v>
      </c>
      <c r="J14" s="308">
        <f t="shared" ref="J14:J20" ca="1" si="2">IF(D14="JASA",G14*F14,0)</f>
        <v>0</v>
      </c>
      <c r="K14" s="309">
        <f t="shared" ref="K14:K20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18" ca="1" si="4">IF(OR(D15="MDU",D15="MDU-KD"),(IF($O$3="RAB NON MDU","PLN KD",G15*F15)),0)</f>
        <v>0</v>
      </c>
      <c r="I15" s="308">
        <f t="shared" ref="I15:I18" ca="1" si="5">IF(D15="HDW",G15*F15,0)</f>
        <v>0</v>
      </c>
      <c r="J15" s="308">
        <f t="shared" ref="J15:J18" ca="1" si="6">IF(D15="JASA",G15*F15,0)</f>
        <v>0</v>
      </c>
      <c r="K15" s="309">
        <f t="shared" ref="K15:K18" ca="1" si="7">SUM(H15:J15)</f>
        <v>0</v>
      </c>
      <c r="L15" s="289"/>
      <c r="M15" s="289" t="str">
        <f t="shared" ref="M15:M21" ca="1" si="8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0"/>
      <c r="C16" s="417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19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4"/>
        <v>0</v>
      </c>
      <c r="I16" s="308">
        <f t="shared" ca="1" si="5"/>
        <v>0</v>
      </c>
      <c r="J16" s="308">
        <f t="shared" ca="1" si="6"/>
        <v>0</v>
      </c>
      <c r="K16" s="309">
        <f t="shared" ca="1" si="7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0"/>
      <c r="C17" s="109" t="s">
        <v>103</v>
      </c>
      <c r="D17" s="305" t="str">
        <f ca="1">IF(ISERROR(OFFSET('HARGA SATUAN'!$D$6,MATCH(RAB!C17,'HARGA SATUAN'!$C$7:$C$1495,0),0)),"",OFFSET('HARGA SATUAN'!$D$6,MATCH(RAB!C17,'HARGA SATUAN'!$C$7:$C$1495,0),0))</f>
        <v>HDW</v>
      </c>
      <c r="E17" s="306" t="str">
        <f ca="1">IF(B17="+","Unit",IF(ISERROR(OFFSET('HARGA SATUAN'!$E$6,MATCH(RAB!C17,'HARGA SATUAN'!$C$7:$C$1495,0),0)),"",OFFSET('HARGA SATUAN'!$E$6,MATCH(RAB!C17,'HARGA SATUAN'!$C$7:$C$1495,0),0)))</f>
        <v>Btg</v>
      </c>
      <c r="F17" s="419">
        <v>1</v>
      </c>
      <c r="G17" s="307">
        <f ca="1">IF(ISERROR(OFFSET('HARGA SATUAN'!$I$6,MATCH(RAB!C17,'HARGA SATUAN'!$C$7:$C$1495,0),0)),0,OFFSET('HARGA SATUAN'!$I$6,MATCH(RAB!C17,'HARGA SATUAN'!$C$7:$C$1495,0),0))</f>
        <v>5800000</v>
      </c>
      <c r="H17" s="308">
        <f t="shared" ca="1" si="4"/>
        <v>0</v>
      </c>
      <c r="I17" s="308">
        <f t="shared" ca="1" si="5"/>
        <v>5800000</v>
      </c>
      <c r="J17" s="308">
        <f t="shared" ca="1" si="6"/>
        <v>0</v>
      </c>
      <c r="K17" s="309">
        <f t="shared" ca="1" si="7"/>
        <v>5800000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0"/>
      <c r="C18" s="109" t="s">
        <v>6</v>
      </c>
      <c r="D18" s="305" t="str">
        <f ca="1">IF(ISERROR(OFFSET('HARGA SATUAN'!$D$6,MATCH(RAB!C18,'HARGA SATUAN'!$C$7:$C$1495,0),0)),"",OFFSET('HARGA SATUAN'!$D$6,MATCH(RAB!C18,'HARGA SATUAN'!$C$7:$C$1495,0),0))</f>
        <v>JASA</v>
      </c>
      <c r="E18" s="306" t="str">
        <f ca="1">IF(B18="+","Unit",IF(ISERROR(OFFSET('HARGA SATUAN'!$E$6,MATCH(RAB!C18,'HARGA SATUAN'!$C$7:$C$1495,0),0)),"",OFFSET('HARGA SATUAN'!$E$6,MATCH(RAB!C18,'HARGA SATUAN'!$C$7:$C$1495,0),0)))</f>
        <v>Btg</v>
      </c>
      <c r="F18" s="419">
        <v>1</v>
      </c>
      <c r="G18" s="307">
        <f ca="1">IF(ISERROR(OFFSET('HARGA SATUAN'!$I$6,MATCH(RAB!C18,'HARGA SATUAN'!$C$7:$C$1495,0),0)),0,OFFSET('HARGA SATUAN'!$I$6,MATCH(RAB!C18,'HARGA SATUAN'!$C$7:$C$1495,0),0))</f>
        <v>10066.666666666668</v>
      </c>
      <c r="H18" s="308">
        <f t="shared" ca="1" si="4"/>
        <v>0</v>
      </c>
      <c r="I18" s="308">
        <f t="shared" ca="1" si="5"/>
        <v>0</v>
      </c>
      <c r="J18" s="308">
        <f t="shared" ca="1" si="6"/>
        <v>10066.666666666668</v>
      </c>
      <c r="K18" s="309">
        <f t="shared" ca="1" si="7"/>
        <v>10066.666666666668</v>
      </c>
      <c r="L18" s="289"/>
      <c r="M18" s="289" t="str">
        <f>IF(AND(F18&gt;0,F16=0),"",IF(AND(ISBLANK(F18)=FALSE,K18=0),"WARNING",""))</f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8" t="s">
        <v>1601</v>
      </c>
      <c r="C19" s="421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19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str">
        <f t="shared" ca="1" si="8"/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723" t="s">
        <v>1035</v>
      </c>
      <c r="C20" s="724" t="s">
        <v>1645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2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316"/>
      <c r="M20" s="289" t="e">
        <f>IF(AND(F20&gt;0,#REF!=0),"",IF(AND(ISBLANK(F20)=FALSE,K20=0),"WARNING",""))</f>
        <v>#REF!</v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723">
        <v>1</v>
      </c>
      <c r="C21" s="109" t="s">
        <v>1147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2">
        <f>F20*1</f>
        <v>1</v>
      </c>
      <c r="G21" s="307">
        <f ca="1">IF(ISERROR(OFFSET('HARGA SATUAN'!$I$6,MATCH(RAB!C21,'HARGA SATUAN'!$C$7:$C$1495,0),0)),0,OFFSET('HARGA SATUAN'!$I$6,MATCH(RAB!C21,'HARGA SATUAN'!$C$7:$C$1495,0),0))</f>
        <v>77674900</v>
      </c>
      <c r="H21" s="308">
        <f t="shared" ref="H21:H65" ca="1" si="9">IF(OR(D21="MDU",D21="MDU-KD"),(IF($O$3="RAB NON MDU","PLN KD",G21*F21)),0)</f>
        <v>77674900</v>
      </c>
      <c r="I21" s="308">
        <f t="shared" ref="I21:I65" ca="1" si="10">IF(D21="HDW",G21*F21,0)</f>
        <v>0</v>
      </c>
      <c r="J21" s="308">
        <f t="shared" ref="J21:J65" ca="1" si="11">IF(D21="JASA",G21*F21,0)</f>
        <v>0</v>
      </c>
      <c r="K21" s="309">
        <f t="shared" ref="K21:K65" ca="1" si="12">SUM(H21:J21)</f>
        <v>77674900</v>
      </c>
      <c r="L21" s="316"/>
      <c r="M21" s="289" t="str">
        <f t="shared" ca="1" si="8"/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451">
        <v>2</v>
      </c>
      <c r="C22" s="463" t="s">
        <v>1614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4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9"/>
        <v>0</v>
      </c>
      <c r="I22" s="308">
        <f t="shared" ca="1" si="10"/>
        <v>0</v>
      </c>
      <c r="J22" s="308">
        <f t="shared" ca="1" si="11"/>
        <v>0</v>
      </c>
      <c r="K22" s="309">
        <f t="shared" ca="1" si="12"/>
        <v>0</v>
      </c>
      <c r="L22" s="316"/>
      <c r="M22" s="289" t="str">
        <f t="shared" ref="M22:M38" ca="1" si="13">IF(AND(F22&gt;0,F21=0),"",IF(AND(ISBLANK(F22)=FALSE,K22=0),"WARNING",""))</f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723"/>
      <c r="C23" s="463" t="s">
        <v>65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2"/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ca="1" si="9"/>
        <v>0</v>
      </c>
      <c r="I23" s="308">
        <f t="shared" ca="1" si="10"/>
        <v>0</v>
      </c>
      <c r="J23" s="308">
        <f t="shared" ca="1" si="11"/>
        <v>0</v>
      </c>
      <c r="K23" s="309">
        <f t="shared" ca="1" si="12"/>
        <v>0</v>
      </c>
      <c r="L23" s="316"/>
      <c r="M23" s="289" t="str">
        <f t="shared" ca="1" si="13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723"/>
      <c r="C24" s="463" t="s">
        <v>1627</v>
      </c>
      <c r="D24" s="305" t="str">
        <f ca="1">IF(ISERROR(OFFSET('HARGA SATUAN'!$D$6,MATCH(RAB!C24,'HARGA SATUAN'!$C$7:$C$1495,0),0)),"",OFFSET('HARGA SATUAN'!$D$6,MATCH(RAB!C24,'HARGA SATUAN'!$C$7:$C$1495,0),0))</f>
        <v/>
      </c>
      <c r="E24" s="306" t="str">
        <f ca="1">IF(B24="+","Unit",IF(ISERROR(OFFSET('HARGA SATUAN'!$E$6,MATCH(RAB!C24,'HARGA SATUAN'!$C$7:$C$1495,0),0)),"",OFFSET('HARGA SATUAN'!$E$6,MATCH(RAB!C24,'HARGA SATUAN'!$C$7:$C$1495,0),0)))</f>
        <v/>
      </c>
      <c r="F24" s="452"/>
      <c r="G24" s="307">
        <f ca="1">IF(ISERROR(OFFSET('HARGA SATUAN'!$I$6,MATCH(RAB!C24,'HARGA SATUAN'!$C$7:$C$1495,0),0)),0,OFFSET('HARGA SATUAN'!$I$6,MATCH(RAB!C24,'HARGA SATUAN'!$C$7:$C$1495,0),0))</f>
        <v>0</v>
      </c>
      <c r="H24" s="308">
        <f t="shared" ca="1" si="9"/>
        <v>0</v>
      </c>
      <c r="I24" s="308">
        <f t="shared" ca="1" si="10"/>
        <v>0</v>
      </c>
      <c r="J24" s="308">
        <f t="shared" ca="1" si="11"/>
        <v>0</v>
      </c>
      <c r="K24" s="309">
        <f t="shared" ca="1" si="12"/>
        <v>0</v>
      </c>
      <c r="L24" s="316"/>
      <c r="M24" s="289" t="str">
        <f t="shared" ca="1" si="13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723">
        <v>3</v>
      </c>
      <c r="C25" s="109" t="s">
        <v>559</v>
      </c>
      <c r="D25" s="305" t="str">
        <f ca="1">IF(ISERROR(OFFSET('HARGA SATUAN'!$D$6,MATCH(RAB!C25,'HARGA SATUAN'!$C$7:$C$1495,0),0)),"",OFFSET('HARGA SATUAN'!$D$6,MATCH(RAB!C25,'HARGA SATUAN'!$C$7:$C$1495,0),0))</f>
        <v>MDU-KD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2"/>
      <c r="G25" s="307">
        <f ca="1">IF(ISERROR(OFFSET('HARGA SATUAN'!$I$6,MATCH(RAB!C25,'HARGA SATUAN'!$C$7:$C$1495,0),0)),0,OFFSET('HARGA SATUAN'!$I$6,MATCH(RAB!C25,'HARGA SATUAN'!$C$7:$C$1495,0),0))</f>
        <v>725900</v>
      </c>
      <c r="H25" s="308">
        <f t="shared" ca="1" si="9"/>
        <v>0</v>
      </c>
      <c r="I25" s="308">
        <f t="shared" ca="1" si="10"/>
        <v>0</v>
      </c>
      <c r="J25" s="308">
        <f t="shared" ca="1" si="11"/>
        <v>0</v>
      </c>
      <c r="K25" s="309">
        <f t="shared" ca="1" si="12"/>
        <v>0</v>
      </c>
      <c r="L25" s="316"/>
      <c r="M25" s="289" t="str">
        <f t="shared" ca="1" si="13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723">
        <v>4</v>
      </c>
      <c r="C26" s="724" t="s">
        <v>535</v>
      </c>
      <c r="D26" s="305" t="str">
        <f ca="1">IF(ISERROR(OFFSET('HARGA SATUAN'!$D$6,MATCH(RAB!C26,'HARGA SATUAN'!$C$7:$C$1495,0),0)),"",OFFSET('HARGA SATUAN'!$D$6,MATCH(RAB!C26,'HARGA SATUAN'!$C$7:$C$1495,0),0))</f>
        <v>MDU-KD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2"/>
      <c r="G26" s="307">
        <f ca="1">IF(ISERROR(OFFSET('HARGA SATUAN'!$I$6,MATCH(RAB!C26,'HARGA SATUAN'!$C$7:$C$1495,0),0)),0,OFFSET('HARGA SATUAN'!$I$6,MATCH(RAB!C26,'HARGA SATUAN'!$C$7:$C$1495,0),0))</f>
        <v>848250</v>
      </c>
      <c r="H26" s="308">
        <f t="shared" ca="1" si="9"/>
        <v>0</v>
      </c>
      <c r="I26" s="308">
        <f t="shared" ca="1" si="10"/>
        <v>0</v>
      </c>
      <c r="J26" s="308">
        <f t="shared" ca="1" si="11"/>
        <v>0</v>
      </c>
      <c r="K26" s="309">
        <f t="shared" ca="1" si="12"/>
        <v>0</v>
      </c>
      <c r="L26" s="316"/>
      <c r="M26" s="289" t="str">
        <f t="shared" ca="1" si="13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723">
        <v>5</v>
      </c>
      <c r="C27" s="724" t="s">
        <v>55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2"/>
      <c r="G27" s="307">
        <f ca="1">IF(ISERROR(OFFSET('HARGA SATUAN'!$I$6,MATCH(RAB!C27,'HARGA SATUAN'!$C$7:$C$1495,0),0)),0,OFFSET('HARGA SATUAN'!$I$6,MATCH(RAB!C27,'HARGA SATUAN'!$C$7:$C$1495,0),0))</f>
        <v>18000</v>
      </c>
      <c r="H27" s="308">
        <f t="shared" ca="1" si="9"/>
        <v>0</v>
      </c>
      <c r="I27" s="308">
        <f t="shared" ca="1" si="10"/>
        <v>0</v>
      </c>
      <c r="J27" s="308">
        <f t="shared" ca="1" si="11"/>
        <v>0</v>
      </c>
      <c r="K27" s="309">
        <f t="shared" ca="1" si="12"/>
        <v>0</v>
      </c>
      <c r="L27" s="316"/>
      <c r="M27" s="289" t="str">
        <f t="shared" ca="1" si="13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723">
        <v>6</v>
      </c>
      <c r="C28" s="724" t="s">
        <v>1616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2"/>
      <c r="G28" s="307">
        <f ca="1">IF(ISERROR(OFFSET('HARGA SATUAN'!$I$6,MATCH(RAB!C28,'HARGA SATUAN'!$C$7:$C$1495,0),0)),0,OFFSET('HARGA SATUAN'!$I$6,MATCH(RAB!C28,'HARGA SATUAN'!$C$7:$C$1495,0),0))</f>
        <v>49000</v>
      </c>
      <c r="H28" s="308">
        <f t="shared" ca="1" si="9"/>
        <v>0</v>
      </c>
      <c r="I28" s="308">
        <f t="shared" ca="1" si="10"/>
        <v>0</v>
      </c>
      <c r="J28" s="308">
        <f t="shared" ca="1" si="11"/>
        <v>0</v>
      </c>
      <c r="K28" s="309">
        <f t="shared" ca="1" si="12"/>
        <v>0</v>
      </c>
      <c r="L28" s="316"/>
      <c r="M28" s="289" t="str">
        <f t="shared" ca="1" si="13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723">
        <v>7</v>
      </c>
      <c r="C29" s="724" t="s">
        <v>163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2"/>
      <c r="G29" s="307">
        <f ca="1">IF(ISERROR(OFFSET('HARGA SATUAN'!$I$6,MATCH(RAB!C29,'HARGA SATUAN'!$C$7:$C$1495,0),0)),0,OFFSET('HARGA SATUAN'!$I$6,MATCH(RAB!C29,'HARGA SATUAN'!$C$7:$C$1495,0),0))</f>
        <v>7938</v>
      </c>
      <c r="H29" s="308">
        <f t="shared" ca="1" si="9"/>
        <v>0</v>
      </c>
      <c r="I29" s="308">
        <f t="shared" ca="1" si="10"/>
        <v>0</v>
      </c>
      <c r="J29" s="308">
        <f t="shared" ca="1" si="11"/>
        <v>0</v>
      </c>
      <c r="K29" s="309">
        <f t="shared" ca="1" si="12"/>
        <v>0</v>
      </c>
      <c r="L29" s="316"/>
      <c r="M29" s="289" t="str">
        <f t="shared" ca="1" si="13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723">
        <v>8</v>
      </c>
      <c r="C30" s="724" t="s">
        <v>176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52"/>
      <c r="G30" s="307">
        <f ca="1">IF(ISERROR(OFFSET('HARGA SATUAN'!$I$6,MATCH(RAB!C30,'HARGA SATUAN'!$C$7:$C$1495,0),0)),0,OFFSET('HARGA SATUAN'!$I$6,MATCH(RAB!C30,'HARGA SATUAN'!$C$7:$C$1495,0),0))</f>
        <v>404600</v>
      </c>
      <c r="H30" s="308">
        <f t="shared" ca="1" si="9"/>
        <v>0</v>
      </c>
      <c r="I30" s="308">
        <f t="shared" ca="1" si="10"/>
        <v>0</v>
      </c>
      <c r="J30" s="308">
        <f t="shared" ca="1" si="11"/>
        <v>0</v>
      </c>
      <c r="K30" s="309">
        <f t="shared" ca="1" si="12"/>
        <v>0</v>
      </c>
      <c r="L30" s="316"/>
      <c r="M30" s="289" t="str">
        <f t="shared" ca="1" si="13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723">
        <v>9</v>
      </c>
      <c r="C31" s="724" t="s">
        <v>184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52"/>
      <c r="G31" s="307">
        <f ca="1">IF(ISERROR(OFFSET('HARGA SATUAN'!$I$6,MATCH(RAB!C31,'HARGA SATUAN'!$C$7:$C$1495,0),0)),0,OFFSET('HARGA SATUAN'!$I$6,MATCH(RAB!C31,'HARGA SATUAN'!$C$7:$C$1495,0),0))</f>
        <v>15900</v>
      </c>
      <c r="H31" s="308">
        <f t="shared" ca="1" si="9"/>
        <v>0</v>
      </c>
      <c r="I31" s="308">
        <f t="shared" ca="1" si="10"/>
        <v>0</v>
      </c>
      <c r="J31" s="308">
        <f t="shared" ca="1" si="11"/>
        <v>0</v>
      </c>
      <c r="K31" s="309">
        <f t="shared" ca="1" si="12"/>
        <v>0</v>
      </c>
      <c r="L31" s="316"/>
      <c r="M31" s="289" t="str">
        <f t="shared" ca="1" si="13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723">
        <v>10</v>
      </c>
      <c r="C32" s="724" t="s">
        <v>593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52"/>
      <c r="G32" s="307">
        <f ca="1">IF(ISERROR(OFFSET('HARGA SATUAN'!$I$6,MATCH(RAB!C32,'HARGA SATUAN'!$C$7:$C$1495,0),0)),0,OFFSET('HARGA SATUAN'!$I$6,MATCH(RAB!C32,'HARGA SATUAN'!$C$7:$C$1495,0),0))</f>
        <v>380500</v>
      </c>
      <c r="H32" s="308">
        <f t="shared" ca="1" si="9"/>
        <v>0</v>
      </c>
      <c r="I32" s="308">
        <f t="shared" ca="1" si="10"/>
        <v>0</v>
      </c>
      <c r="J32" s="308">
        <f t="shared" ca="1" si="11"/>
        <v>0</v>
      </c>
      <c r="K32" s="309">
        <f t="shared" ca="1" si="12"/>
        <v>0</v>
      </c>
      <c r="L32" s="316"/>
      <c r="M32" s="289" t="str">
        <f t="shared" ca="1" si="13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723">
        <v>11</v>
      </c>
      <c r="C33" s="724" t="s">
        <v>594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52"/>
      <c r="G33" s="307">
        <f ca="1">IF(ISERROR(OFFSET('HARGA SATUAN'!$I$6,MATCH(RAB!C33,'HARGA SATUAN'!$C$7:$C$1495,0),0)),0,OFFSET('HARGA SATUAN'!$I$6,MATCH(RAB!C33,'HARGA SATUAN'!$C$7:$C$1495,0),0))</f>
        <v>559200</v>
      </c>
      <c r="H33" s="308">
        <f t="shared" ca="1" si="9"/>
        <v>0</v>
      </c>
      <c r="I33" s="308">
        <f t="shared" ca="1" si="10"/>
        <v>0</v>
      </c>
      <c r="J33" s="308">
        <f t="shared" ca="1" si="11"/>
        <v>0</v>
      </c>
      <c r="K33" s="309">
        <f t="shared" ca="1" si="12"/>
        <v>0</v>
      </c>
      <c r="L33" s="316"/>
      <c r="M33" s="289" t="str">
        <f t="shared" ca="1" si="13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723">
        <v>12</v>
      </c>
      <c r="C34" s="724" t="s">
        <v>208</v>
      </c>
      <c r="D34" s="305" t="str">
        <f ca="1">IF(ISERROR(OFFSET('HARGA SATUAN'!$D$6,MATCH(RAB!C34,'HARGA SATUAN'!$C$7:$C$1495,0),0)),"",OFFSET('HARGA SATUAN'!$D$6,MATCH(RAB!C34,'HARGA SATUAN'!$C$7:$C$1495,0),0))</f>
        <v>HDW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52"/>
      <c r="G34" s="307">
        <f ca="1">IF(ISERROR(OFFSET('HARGA SATUAN'!$I$6,MATCH(RAB!C34,'HARGA SATUAN'!$C$7:$C$1495,0),0)),0,OFFSET('HARGA SATUAN'!$I$6,MATCH(RAB!C34,'HARGA SATUAN'!$C$7:$C$1495,0),0))</f>
        <v>173400</v>
      </c>
      <c r="H34" s="308">
        <f t="shared" ca="1" si="9"/>
        <v>0</v>
      </c>
      <c r="I34" s="308">
        <f t="shared" ca="1" si="10"/>
        <v>0</v>
      </c>
      <c r="J34" s="308">
        <f t="shared" ca="1" si="11"/>
        <v>0</v>
      </c>
      <c r="K34" s="309">
        <f t="shared" ca="1" si="12"/>
        <v>0</v>
      </c>
      <c r="L34" s="316"/>
      <c r="M34" s="289" t="str">
        <f t="shared" ca="1" si="13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723">
        <v>13</v>
      </c>
      <c r="C35" s="724" t="s">
        <v>247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2"/>
      <c r="G35" s="307">
        <f ca="1">IF(ISERROR(OFFSET('HARGA SATUAN'!$I$6,MATCH(RAB!C35,'HARGA SATUAN'!$C$7:$C$1495,0),0)),0,OFFSET('HARGA SATUAN'!$I$6,MATCH(RAB!C35,'HARGA SATUAN'!$C$7:$C$1495,0),0))</f>
        <v>57690</v>
      </c>
      <c r="H35" s="308">
        <f t="shared" ca="1" si="9"/>
        <v>0</v>
      </c>
      <c r="I35" s="308">
        <f t="shared" ca="1" si="10"/>
        <v>0</v>
      </c>
      <c r="J35" s="308">
        <f t="shared" ca="1" si="11"/>
        <v>0</v>
      </c>
      <c r="K35" s="309">
        <f t="shared" ca="1" si="12"/>
        <v>0</v>
      </c>
      <c r="L35" s="316"/>
      <c r="M35" s="289" t="str">
        <f t="shared" ca="1" si="13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723">
        <v>14</v>
      </c>
      <c r="C36" s="724" t="s">
        <v>248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52"/>
      <c r="G36" s="307">
        <f ca="1">IF(ISERROR(OFFSET('HARGA SATUAN'!$I$6,MATCH(RAB!C36,'HARGA SATUAN'!$C$7:$C$1495,0),0)),0,OFFSET('HARGA SATUAN'!$I$6,MATCH(RAB!C36,'HARGA SATUAN'!$C$7:$C$1495,0),0))</f>
        <v>60300</v>
      </c>
      <c r="H36" s="308">
        <f t="shared" ca="1" si="9"/>
        <v>0</v>
      </c>
      <c r="I36" s="308">
        <f t="shared" ca="1" si="10"/>
        <v>0</v>
      </c>
      <c r="J36" s="308">
        <f t="shared" ca="1" si="11"/>
        <v>0</v>
      </c>
      <c r="K36" s="309">
        <f t="shared" ca="1" si="12"/>
        <v>0</v>
      </c>
      <c r="L36" s="316"/>
      <c r="M36" s="289" t="str">
        <f t="shared" ca="1" si="13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723">
        <v>15</v>
      </c>
      <c r="C37" s="724" t="s">
        <v>267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2"/>
      <c r="G37" s="307">
        <f ca="1">IF(ISERROR(OFFSET('HARGA SATUAN'!$I$6,MATCH(RAB!C37,'HARGA SATUAN'!$C$7:$C$1495,0),0)),0,OFFSET('HARGA SATUAN'!$I$6,MATCH(RAB!C37,'HARGA SATUAN'!$C$7:$C$1495,0),0))</f>
        <v>129000</v>
      </c>
      <c r="H37" s="308">
        <f t="shared" ca="1" si="9"/>
        <v>0</v>
      </c>
      <c r="I37" s="308">
        <f t="shared" ca="1" si="10"/>
        <v>0</v>
      </c>
      <c r="J37" s="308">
        <f t="shared" ca="1" si="11"/>
        <v>0</v>
      </c>
      <c r="K37" s="309">
        <f t="shared" ca="1" si="12"/>
        <v>0</v>
      </c>
      <c r="L37" s="316"/>
      <c r="M37" s="289" t="str">
        <f t="shared" ca="1" si="13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723">
        <v>16</v>
      </c>
      <c r="C38" s="724" t="s">
        <v>787</v>
      </c>
      <c r="D38" s="305" t="str">
        <f ca="1">IF(ISERROR(OFFSET('HARGA SATUAN'!$D$6,MATCH(RAB!C38,'HARGA SATUAN'!$C$7:$C$1495,0),0)),"",OFFSET('HARGA SATUAN'!$D$6,MATCH(RAB!C38,'HARGA SATUAN'!$C$7:$C$1495,0),0))</f>
        <v>JASA</v>
      </c>
      <c r="E38" s="306" t="str">
        <f ca="1">IF(B38="+","Unit",IF(ISERROR(OFFSET('HARGA SATUAN'!$E$6,MATCH(RAB!C38,'HARGA SATUAN'!$C$7:$C$1495,0),0)),"",OFFSET('HARGA SATUAN'!$E$6,MATCH(RAB!C38,'HARGA SATUAN'!$C$7:$C$1495,0),0)))</f>
        <v>Unit</v>
      </c>
      <c r="F38" s="452">
        <f>F20*1</f>
        <v>1</v>
      </c>
      <c r="G38" s="307">
        <f ca="1">IF(ISERROR(OFFSET('HARGA SATUAN'!$I$6,MATCH(RAB!C38,'HARGA SATUAN'!$C$7:$C$1495,0),0)),0,OFFSET('HARGA SATUAN'!$I$6,MATCH(RAB!C38,'HARGA SATUAN'!$C$7:$C$1495,0),0))</f>
        <v>3784400</v>
      </c>
      <c r="H38" s="308">
        <f t="shared" ca="1" si="9"/>
        <v>0</v>
      </c>
      <c r="I38" s="308">
        <f t="shared" ca="1" si="10"/>
        <v>0</v>
      </c>
      <c r="J38" s="308">
        <f t="shared" ca="1" si="11"/>
        <v>3784400</v>
      </c>
      <c r="K38" s="309">
        <f t="shared" ca="1" si="12"/>
        <v>3784400</v>
      </c>
      <c r="L38" s="316"/>
      <c r="M38" s="289" t="str">
        <f t="shared" si="13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461"/>
      <c r="C39" s="462"/>
      <c r="D39" s="305" t="str">
        <f ca="1">IF(ISERROR(OFFSET('HARGA SATUAN'!$D$6,MATCH(RAB!C39,'HARGA SATUAN'!$C$7:$C$1495,0),0)),"",OFFSET('HARGA SATUAN'!$D$6,MATCH(RAB!C39,'HARGA SATUAN'!$C$7:$C$1495,0),0))</f>
        <v/>
      </c>
      <c r="E39" s="306" t="str">
        <f ca="1">IF(B39="+","Unit",IF(ISERROR(OFFSET('HARGA SATUAN'!$E$6,MATCH(RAB!C39,'HARGA SATUAN'!$C$7:$C$1495,0),0)),"",OFFSET('HARGA SATUAN'!$E$6,MATCH(RAB!C39,'HARGA SATUAN'!$C$7:$C$1495,0),0)))</f>
        <v/>
      </c>
      <c r="F39" s="452"/>
      <c r="G39" s="307">
        <f ca="1">IF(ISERROR(OFFSET('HARGA SATUAN'!$I$6,MATCH(RAB!C39,'HARGA SATUAN'!$C$7:$C$1495,0),0)),0,OFFSET('HARGA SATUAN'!$I$6,MATCH(RAB!C39,'HARGA SATUAN'!$C$7:$C$1495,0),0))</f>
        <v>0</v>
      </c>
      <c r="H39" s="308">
        <f t="shared" ca="1" si="9"/>
        <v>0</v>
      </c>
      <c r="I39" s="308">
        <f t="shared" ca="1" si="10"/>
        <v>0</v>
      </c>
      <c r="J39" s="308">
        <f t="shared" ca="1" si="11"/>
        <v>0</v>
      </c>
      <c r="K39" s="309">
        <f t="shared" ca="1" si="12"/>
        <v>0</v>
      </c>
      <c r="L39" s="316"/>
      <c r="M39" s="289"/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518" t="s">
        <v>1035</v>
      </c>
      <c r="C40" s="519" t="s">
        <v>1629</v>
      </c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>Unit</v>
      </c>
      <c r="F40" s="452">
        <v>2</v>
      </c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ca="1" si="9"/>
        <v>0</v>
      </c>
      <c r="I40" s="308">
        <f t="shared" ca="1" si="10"/>
        <v>0</v>
      </c>
      <c r="J40" s="308">
        <f t="shared" ca="1" si="11"/>
        <v>0</v>
      </c>
      <c r="K40" s="309">
        <f t="shared" ca="1" si="12"/>
        <v>0</v>
      </c>
      <c r="L40" s="316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518">
        <v>1</v>
      </c>
      <c r="C41" s="519" t="s">
        <v>595</v>
      </c>
      <c r="D41" s="305" t="str">
        <f ca="1">IF(ISERROR(OFFSET('HARGA SATUAN'!$D$6,MATCH(RAB!C41,'HARGA SATUAN'!$C$7:$C$1495,0),0)),"",OFFSET('HARGA SATUAN'!$D$6,MATCH(RAB!C41,'HARGA SATUAN'!$C$7:$C$1495,0),0))</f>
        <v>HDW</v>
      </c>
      <c r="E41" s="306" t="str">
        <f ca="1">IF(B41="+","Unit",IF(ISERROR(OFFSET('HARGA SATUAN'!$E$6,MATCH(RAB!C41,'HARGA SATUAN'!$C$7:$C$1495,0),0)),"",OFFSET('HARGA SATUAN'!$E$6,MATCH(RAB!C41,'HARGA SATUAN'!$C$7:$C$1495,0),0)))</f>
        <v>Bh</v>
      </c>
      <c r="F41" s="452">
        <f>F40*1</f>
        <v>2</v>
      </c>
      <c r="G41" s="307">
        <f ca="1">IF(ISERROR(OFFSET('HARGA SATUAN'!$I$6,MATCH(RAB!C41,'HARGA SATUAN'!$C$7:$C$1495,0),0)),0,OFFSET('HARGA SATUAN'!$I$6,MATCH(RAB!C41,'HARGA SATUAN'!$C$7:$C$1495,0),0))</f>
        <v>78500</v>
      </c>
      <c r="H41" s="308">
        <f t="shared" ca="1" si="9"/>
        <v>0</v>
      </c>
      <c r="I41" s="308">
        <f t="shared" ca="1" si="10"/>
        <v>157000</v>
      </c>
      <c r="J41" s="308">
        <f t="shared" ca="1" si="11"/>
        <v>0</v>
      </c>
      <c r="K41" s="309">
        <f t="shared" ca="1" si="12"/>
        <v>157000</v>
      </c>
      <c r="L41" s="316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518">
        <v>2</v>
      </c>
      <c r="C42" s="519" t="s">
        <v>229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Bh</v>
      </c>
      <c r="F42" s="452">
        <f>F40*1</f>
        <v>2</v>
      </c>
      <c r="G42" s="307">
        <f ca="1">IF(ISERROR(OFFSET('HARGA SATUAN'!$I$6,MATCH(RAB!C42,'HARGA SATUAN'!$C$7:$C$1495,0),0)),0,OFFSET('HARGA SATUAN'!$I$6,MATCH(RAB!C42,'HARGA SATUAN'!$C$7:$C$1495,0),0))</f>
        <v>4212</v>
      </c>
      <c r="H42" s="308">
        <f t="shared" ca="1" si="9"/>
        <v>0</v>
      </c>
      <c r="I42" s="308">
        <f t="shared" ca="1" si="10"/>
        <v>8424</v>
      </c>
      <c r="J42" s="308">
        <f t="shared" ca="1" si="11"/>
        <v>0</v>
      </c>
      <c r="K42" s="309">
        <f t="shared" ca="1" si="12"/>
        <v>8424</v>
      </c>
      <c r="L42" s="316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518">
        <v>3</v>
      </c>
      <c r="C43" s="519" t="s">
        <v>266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Mtr</v>
      </c>
      <c r="F43" s="452">
        <f>F40*1</f>
        <v>2</v>
      </c>
      <c r="G43" s="307">
        <f ca="1">IF(ISERROR(OFFSET('HARGA SATUAN'!$I$6,MATCH(RAB!C43,'HARGA SATUAN'!$C$7:$C$1495,0),0)),0,OFFSET('HARGA SATUAN'!$I$6,MATCH(RAB!C43,'HARGA SATUAN'!$C$7:$C$1495,0),0))</f>
        <v>23310</v>
      </c>
      <c r="H43" s="308">
        <f t="shared" ca="1" si="9"/>
        <v>0</v>
      </c>
      <c r="I43" s="308">
        <f t="shared" ca="1" si="10"/>
        <v>46620</v>
      </c>
      <c r="J43" s="308">
        <f t="shared" ca="1" si="11"/>
        <v>0</v>
      </c>
      <c r="K43" s="309">
        <f t="shared" ca="1" si="12"/>
        <v>46620</v>
      </c>
      <c r="L43" s="316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518">
        <v>4</v>
      </c>
      <c r="C44" s="519" t="s">
        <v>35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Bh</v>
      </c>
      <c r="F44" s="452">
        <f>F40*1</f>
        <v>2</v>
      </c>
      <c r="G44" s="307">
        <f ca="1">IF(ISERROR(OFFSET('HARGA SATUAN'!$I$6,MATCH(RAB!C44,'HARGA SATUAN'!$C$7:$C$1495,0),0)),0,OFFSET('HARGA SATUAN'!$I$6,MATCH(RAB!C44,'HARGA SATUAN'!$C$7:$C$1495,0),0))</f>
        <v>2300</v>
      </c>
      <c r="H44" s="308">
        <f t="shared" ca="1" si="9"/>
        <v>0</v>
      </c>
      <c r="I44" s="308">
        <f t="shared" ca="1" si="10"/>
        <v>4600</v>
      </c>
      <c r="J44" s="308">
        <f t="shared" ca="1" si="11"/>
        <v>0</v>
      </c>
      <c r="K44" s="309">
        <f t="shared" ca="1" si="12"/>
        <v>4600</v>
      </c>
      <c r="L44" s="316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518">
        <v>5</v>
      </c>
      <c r="C45" s="519" t="s">
        <v>630</v>
      </c>
      <c r="D45" s="305" t="str">
        <f ca="1">IF(ISERROR(OFFSET('HARGA SATUAN'!$D$6,MATCH(RAB!C45,'HARGA SATUAN'!$C$7:$C$1495,0),0)),"",OFFSET('HARGA SATUAN'!$D$6,MATCH(RAB!C45,'HARGA SATUAN'!$C$7:$C$1495,0),0))</f>
        <v>JASA</v>
      </c>
      <c r="E45" s="306" t="str">
        <f ca="1">IF(B45="+","Unit",IF(ISERROR(OFFSET('HARGA SATUAN'!$E$6,MATCH(RAB!C45,'HARGA SATUAN'!$C$7:$C$1495,0),0)),"",OFFSET('HARGA SATUAN'!$E$6,MATCH(RAB!C45,'HARGA SATUAN'!$C$7:$C$1495,0),0)))</f>
        <v>Unit</v>
      </c>
      <c r="F45" s="452">
        <f>F40*1</f>
        <v>2</v>
      </c>
      <c r="G45" s="307">
        <f ca="1">IF(ISERROR(OFFSET('HARGA SATUAN'!$I$6,MATCH(RAB!C45,'HARGA SATUAN'!$C$7:$C$1495,0),0)),0,OFFSET('HARGA SATUAN'!$I$6,MATCH(RAB!C45,'HARGA SATUAN'!$C$7:$C$1495,0),0))</f>
        <v>35700</v>
      </c>
      <c r="H45" s="308">
        <f t="shared" ca="1" si="9"/>
        <v>0</v>
      </c>
      <c r="I45" s="308">
        <f t="shared" ca="1" si="10"/>
        <v>0</v>
      </c>
      <c r="J45" s="308">
        <f t="shared" ca="1" si="11"/>
        <v>71400</v>
      </c>
      <c r="K45" s="309">
        <f t="shared" ca="1" si="12"/>
        <v>71400</v>
      </c>
      <c r="L45" s="316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461"/>
      <c r="C46" s="462"/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52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9"/>
        <v>0</v>
      </c>
      <c r="I46" s="308">
        <f t="shared" ca="1" si="10"/>
        <v>0</v>
      </c>
      <c r="J46" s="308">
        <f t="shared" ca="1" si="11"/>
        <v>0</v>
      </c>
      <c r="K46" s="309">
        <f t="shared" ca="1" si="12"/>
        <v>0</v>
      </c>
      <c r="L46" s="316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518" t="s">
        <v>1035</v>
      </c>
      <c r="C47" s="519" t="s">
        <v>1631</v>
      </c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>Unit</v>
      </c>
      <c r="F47" s="452">
        <v>1</v>
      </c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9"/>
        <v>0</v>
      </c>
      <c r="I47" s="308">
        <f t="shared" ca="1" si="10"/>
        <v>0</v>
      </c>
      <c r="J47" s="308">
        <f t="shared" ca="1" si="11"/>
        <v>0</v>
      </c>
      <c r="K47" s="309">
        <f t="shared" ca="1" si="12"/>
        <v>0</v>
      </c>
      <c r="L47" s="316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518">
        <v>1</v>
      </c>
      <c r="C48" s="519" t="s">
        <v>30</v>
      </c>
      <c r="D48" s="305" t="str">
        <f ca="1">IF(ISERROR(OFFSET('HARGA SATUAN'!$D$6,MATCH(RAB!C48,'HARGA SATUAN'!$C$7:$C$1495,0),0)),"",OFFSET('HARGA SATUAN'!$D$6,MATCH(RAB!C48,'HARGA SATUAN'!$C$7:$C$1495,0),0))</f>
        <v>HDW</v>
      </c>
      <c r="E48" s="306" t="str">
        <f ca="1">IF(B48="+","Unit",IF(ISERROR(OFFSET('HARGA SATUAN'!$E$6,MATCH(RAB!C48,'HARGA SATUAN'!$C$7:$C$1495,0),0)),"",OFFSET('HARGA SATUAN'!$E$6,MATCH(RAB!C48,'HARGA SATUAN'!$C$7:$C$1495,0),0)))</f>
        <v>Bh</v>
      </c>
      <c r="F48" s="452">
        <f>F47*1</f>
        <v>1</v>
      </c>
      <c r="G48" s="307">
        <f ca="1">IF(ISERROR(OFFSET('HARGA SATUAN'!$I$6,MATCH(RAB!C48,'HARGA SATUAN'!$C$7:$C$1495,0),0)),0,OFFSET('HARGA SATUAN'!$I$6,MATCH(RAB!C48,'HARGA SATUAN'!$C$7:$C$1495,0),0))</f>
        <v>47459</v>
      </c>
      <c r="H48" s="308">
        <f t="shared" ca="1" si="9"/>
        <v>0</v>
      </c>
      <c r="I48" s="308">
        <f t="shared" ca="1" si="10"/>
        <v>47459</v>
      </c>
      <c r="J48" s="308">
        <f t="shared" ca="1" si="11"/>
        <v>0</v>
      </c>
      <c r="K48" s="309">
        <f t="shared" ca="1" si="12"/>
        <v>47459</v>
      </c>
      <c r="L48" s="316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518">
        <v>2</v>
      </c>
      <c r="C49" s="519" t="s">
        <v>32</v>
      </c>
      <c r="D49" s="305" t="str">
        <f ca="1">IF(ISERROR(OFFSET('HARGA SATUAN'!$D$6,MATCH(RAB!C49,'HARGA SATUAN'!$C$7:$C$1495,0),0)),"",OFFSET('HARGA SATUAN'!$D$6,MATCH(RAB!C49,'HARGA SATUAN'!$C$7:$C$1495,0),0))</f>
        <v>HDW</v>
      </c>
      <c r="E49" s="306" t="str">
        <f ca="1">IF(B49="+","Unit",IF(ISERROR(OFFSET('HARGA SATUAN'!$E$6,MATCH(RAB!C49,'HARGA SATUAN'!$C$7:$C$1495,0),0)),"",OFFSET('HARGA SATUAN'!$E$6,MATCH(RAB!C49,'HARGA SATUAN'!$C$7:$C$1495,0),0)))</f>
        <v>Mtr</v>
      </c>
      <c r="F49" s="452">
        <f>F47*0.8</f>
        <v>0.8</v>
      </c>
      <c r="G49" s="307">
        <f ca="1">IF(ISERROR(OFFSET('HARGA SATUAN'!$I$6,MATCH(RAB!C49,'HARGA SATUAN'!$C$7:$C$1495,0),0)),0,OFFSET('HARGA SATUAN'!$I$6,MATCH(RAB!C49,'HARGA SATUAN'!$C$7:$C$1495,0),0))</f>
        <v>30000</v>
      </c>
      <c r="H49" s="308">
        <f t="shared" ca="1" si="9"/>
        <v>0</v>
      </c>
      <c r="I49" s="308">
        <f t="shared" ca="1" si="10"/>
        <v>24000</v>
      </c>
      <c r="J49" s="308">
        <f t="shared" ca="1" si="11"/>
        <v>0</v>
      </c>
      <c r="K49" s="309">
        <f t="shared" ca="1" si="12"/>
        <v>24000</v>
      </c>
      <c r="L49" s="316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518">
        <v>3</v>
      </c>
      <c r="C50" s="519" t="s">
        <v>33</v>
      </c>
      <c r="D50" s="305" t="str">
        <f ca="1">IF(ISERROR(OFFSET('HARGA SATUAN'!$D$6,MATCH(RAB!C50,'HARGA SATUAN'!$C$7:$C$1495,0),0)),"",OFFSET('HARGA SATUAN'!$D$6,MATCH(RAB!C50,'HARGA SATUAN'!$C$7:$C$1495,0),0))</f>
        <v>HDW</v>
      </c>
      <c r="E50" s="306" t="str">
        <f ca="1">IF(B50="+","Unit",IF(ISERROR(OFFSET('HARGA SATUAN'!$E$6,MATCH(RAB!C50,'HARGA SATUAN'!$C$7:$C$1495,0),0)),"",OFFSET('HARGA SATUAN'!$E$6,MATCH(RAB!C50,'HARGA SATUAN'!$C$7:$C$1495,0),0)))</f>
        <v>Bh</v>
      </c>
      <c r="F50" s="452">
        <f>F47*1</f>
        <v>1</v>
      </c>
      <c r="G50" s="307">
        <f ca="1">IF(ISERROR(OFFSET('HARGA SATUAN'!$I$6,MATCH(RAB!C50,'HARGA SATUAN'!$C$7:$C$1495,0),0)),0,OFFSET('HARGA SATUAN'!$I$6,MATCH(RAB!C50,'HARGA SATUAN'!$C$7:$C$1495,0),0))</f>
        <v>9500</v>
      </c>
      <c r="H50" s="308">
        <f t="shared" ca="1" si="9"/>
        <v>0</v>
      </c>
      <c r="I50" s="308">
        <f t="shared" ca="1" si="10"/>
        <v>9500</v>
      </c>
      <c r="J50" s="308">
        <f t="shared" ca="1" si="11"/>
        <v>0</v>
      </c>
      <c r="K50" s="309">
        <f t="shared" ca="1" si="12"/>
        <v>9500</v>
      </c>
      <c r="L50" s="316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518">
        <v>4</v>
      </c>
      <c r="C51" s="519" t="s">
        <v>737</v>
      </c>
      <c r="D51" s="305" t="str">
        <f ca="1">IF(ISERROR(OFFSET('HARGA SATUAN'!$D$6,MATCH(RAB!C51,'HARGA SATUAN'!$C$7:$C$1495,0),0)),"",OFFSET('HARGA SATUAN'!$D$6,MATCH(RAB!C51,'HARGA SATUAN'!$C$7:$C$1495,0),0))</f>
        <v>JASA</v>
      </c>
      <c r="E51" s="306" t="str">
        <f ca="1">IF(B51="+","Unit",IF(ISERROR(OFFSET('HARGA SATUAN'!$E$6,MATCH(RAB!C51,'HARGA SATUAN'!$C$7:$C$1495,0),0)),"",OFFSET('HARGA SATUAN'!$E$6,MATCH(RAB!C51,'HARGA SATUAN'!$C$7:$C$1495,0),0)))</f>
        <v>Unit</v>
      </c>
      <c r="F51" s="452">
        <f>F47*1</f>
        <v>1</v>
      </c>
      <c r="G51" s="307">
        <f ca="1">IF(ISERROR(OFFSET('HARGA SATUAN'!$I$6,MATCH(RAB!C51,'HARGA SATUAN'!$C$7:$C$1495,0),0)),0,OFFSET('HARGA SATUAN'!$I$6,MATCH(RAB!C51,'HARGA SATUAN'!$C$7:$C$1495,0),0))</f>
        <v>16200</v>
      </c>
      <c r="H51" s="308">
        <f t="shared" ca="1" si="9"/>
        <v>0</v>
      </c>
      <c r="I51" s="308">
        <f t="shared" ca="1" si="10"/>
        <v>0</v>
      </c>
      <c r="J51" s="308">
        <f t="shared" ca="1" si="11"/>
        <v>16200</v>
      </c>
      <c r="K51" s="309">
        <f t="shared" ca="1" si="12"/>
        <v>16200</v>
      </c>
      <c r="L51" s="316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461"/>
      <c r="C52" s="462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52"/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9"/>
        <v>0</v>
      </c>
      <c r="I52" s="308">
        <f t="shared" ca="1" si="10"/>
        <v>0</v>
      </c>
      <c r="J52" s="308">
        <f t="shared" ca="1" si="11"/>
        <v>0</v>
      </c>
      <c r="K52" s="309">
        <f t="shared" ca="1" si="12"/>
        <v>0</v>
      </c>
      <c r="L52" s="316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451" t="s">
        <v>1035</v>
      </c>
      <c r="C53" s="520" t="s">
        <v>1632</v>
      </c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>Unit</v>
      </c>
      <c r="F53" s="452">
        <v>1</v>
      </c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9"/>
        <v>0</v>
      </c>
      <c r="I53" s="308">
        <f t="shared" ca="1" si="10"/>
        <v>0</v>
      </c>
      <c r="J53" s="308">
        <f t="shared" ca="1" si="11"/>
        <v>0</v>
      </c>
      <c r="K53" s="309">
        <f t="shared" ca="1" si="12"/>
        <v>0</v>
      </c>
      <c r="L53" s="316"/>
      <c r="M53" s="289"/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518">
        <v>1</v>
      </c>
      <c r="C54" s="519" t="s">
        <v>28</v>
      </c>
      <c r="D54" s="305" t="str">
        <f ca="1">IF(ISERROR(OFFSET('HARGA SATUAN'!$D$6,MATCH(RAB!C54,'HARGA SATUAN'!$C$7:$C$1495,0),0)),"",OFFSET('HARGA SATUAN'!$D$6,MATCH(RAB!C54,'HARGA SATUAN'!$C$7:$C$1495,0),0))</f>
        <v>HDW</v>
      </c>
      <c r="E54" s="306" t="str">
        <f ca="1">IF(B54="+","Unit",IF(ISERROR(OFFSET('HARGA SATUAN'!$E$6,MATCH(RAB!C54,'HARGA SATUAN'!$C$7:$C$1495,0),0)),"",OFFSET('HARGA SATUAN'!$E$6,MATCH(RAB!C54,'HARGA SATUAN'!$C$7:$C$1495,0),0)))</f>
        <v>Bh</v>
      </c>
      <c r="F54" s="452">
        <f>F53*1</f>
        <v>1</v>
      </c>
      <c r="G54" s="307">
        <f ca="1">IF(ISERROR(OFFSET('HARGA SATUAN'!$I$6,MATCH(RAB!C54,'HARGA SATUAN'!$C$7:$C$1495,0),0)),0,OFFSET('HARGA SATUAN'!$I$6,MATCH(RAB!C54,'HARGA SATUAN'!$C$7:$C$1495,0),0))</f>
        <v>26500</v>
      </c>
      <c r="H54" s="308">
        <f t="shared" ca="1" si="9"/>
        <v>0</v>
      </c>
      <c r="I54" s="308">
        <f t="shared" ca="1" si="10"/>
        <v>26500</v>
      </c>
      <c r="J54" s="308">
        <f t="shared" ca="1" si="11"/>
        <v>0</v>
      </c>
      <c r="K54" s="309">
        <f t="shared" ca="1" si="12"/>
        <v>26500</v>
      </c>
      <c r="L54" s="316"/>
      <c r="M54" s="289"/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518">
        <v>2</v>
      </c>
      <c r="C55" s="519" t="s">
        <v>203</v>
      </c>
      <c r="D55" s="305" t="str">
        <f ca="1">IF(ISERROR(OFFSET('HARGA SATUAN'!$D$6,MATCH(RAB!C55,'HARGA SATUAN'!$C$7:$C$1495,0),0)),"",OFFSET('HARGA SATUAN'!$D$6,MATCH(RAB!C55,'HARGA SATUAN'!$C$7:$C$1495,0),0))</f>
        <v>HDW</v>
      </c>
      <c r="E55" s="306" t="str">
        <f ca="1">IF(B55="+","Unit",IF(ISERROR(OFFSET('HARGA SATUAN'!$E$6,MATCH(RAB!C55,'HARGA SATUAN'!$C$7:$C$1495,0),0)),"",OFFSET('HARGA SATUAN'!$E$6,MATCH(RAB!C55,'HARGA SATUAN'!$C$7:$C$1495,0),0)))</f>
        <v>Bh</v>
      </c>
      <c r="F55" s="452">
        <f>F53*1</f>
        <v>1</v>
      </c>
      <c r="G55" s="307">
        <f ca="1">IF(ISERROR(OFFSET('HARGA SATUAN'!$I$6,MATCH(RAB!C55,'HARGA SATUAN'!$C$7:$C$1495,0),0)),0,OFFSET('HARGA SATUAN'!$I$6,MATCH(RAB!C55,'HARGA SATUAN'!$C$7:$C$1495,0),0))</f>
        <v>12500</v>
      </c>
      <c r="H55" s="308">
        <f t="shared" ca="1" si="9"/>
        <v>0</v>
      </c>
      <c r="I55" s="308">
        <f t="shared" ca="1" si="10"/>
        <v>12500</v>
      </c>
      <c r="J55" s="308">
        <f t="shared" ca="1" si="11"/>
        <v>0</v>
      </c>
      <c r="K55" s="309">
        <f t="shared" ca="1" si="12"/>
        <v>12500</v>
      </c>
      <c r="L55" s="316"/>
      <c r="M55" s="289"/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518">
        <v>3</v>
      </c>
      <c r="C56" s="519" t="s">
        <v>205</v>
      </c>
      <c r="D56" s="305" t="str">
        <f ca="1">IF(ISERROR(OFFSET('HARGA SATUAN'!$D$6,MATCH(RAB!C56,'HARGA SATUAN'!$C$7:$C$1495,0),0)),"",OFFSET('HARGA SATUAN'!$D$6,MATCH(RAB!C56,'HARGA SATUAN'!$C$7:$C$1495,0),0))</f>
        <v>HDW</v>
      </c>
      <c r="E56" s="306" t="str">
        <f ca="1">IF(B56="+","Unit",IF(ISERROR(OFFSET('HARGA SATUAN'!$E$6,MATCH(RAB!C56,'HARGA SATUAN'!$C$7:$C$1495,0),0)),"",OFFSET('HARGA SATUAN'!$E$6,MATCH(RAB!C56,'HARGA SATUAN'!$C$7:$C$1495,0),0)))</f>
        <v>Mtr</v>
      </c>
      <c r="F56" s="452">
        <f>F53*12</f>
        <v>12</v>
      </c>
      <c r="G56" s="307">
        <f ca="1">IF(ISERROR(OFFSET('HARGA SATUAN'!$I$6,MATCH(RAB!C56,'HARGA SATUAN'!$C$7:$C$1495,0),0)),0,OFFSET('HARGA SATUAN'!$I$6,MATCH(RAB!C56,'HARGA SATUAN'!$C$7:$C$1495,0),0))</f>
        <v>24300</v>
      </c>
      <c r="H56" s="308">
        <f t="shared" ca="1" si="9"/>
        <v>0</v>
      </c>
      <c r="I56" s="308">
        <f t="shared" ca="1" si="10"/>
        <v>291600</v>
      </c>
      <c r="J56" s="308">
        <f t="shared" ca="1" si="11"/>
        <v>0</v>
      </c>
      <c r="K56" s="309">
        <f t="shared" ca="1" si="12"/>
        <v>291600</v>
      </c>
      <c r="L56" s="316"/>
      <c r="M56" s="289"/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518">
        <v>4</v>
      </c>
      <c r="C57" s="519" t="s">
        <v>287</v>
      </c>
      <c r="D57" s="305" t="str">
        <f ca="1">IF(ISERROR(OFFSET('HARGA SATUAN'!$D$6,MATCH(RAB!C57,'HARGA SATUAN'!$C$7:$C$1495,0),0)),"",OFFSET('HARGA SATUAN'!$D$6,MATCH(RAB!C57,'HARGA SATUAN'!$C$7:$C$1495,0),0))</f>
        <v>HDW</v>
      </c>
      <c r="E57" s="306" t="str">
        <f ca="1">IF(B57="+","Unit",IF(ISERROR(OFFSET('HARGA SATUAN'!$E$6,MATCH(RAB!C57,'HARGA SATUAN'!$C$7:$C$1495,0),0)),"",OFFSET('HARGA SATUAN'!$E$6,MATCH(RAB!C57,'HARGA SATUAN'!$C$7:$C$1495,0),0)))</f>
        <v>Bh</v>
      </c>
      <c r="F57" s="452">
        <f>F53*2</f>
        <v>2</v>
      </c>
      <c r="G57" s="307">
        <f ca="1">IF(ISERROR(OFFSET('HARGA SATUAN'!$I$6,MATCH(RAB!C57,'HARGA SATUAN'!$C$7:$C$1495,0),0)),0,OFFSET('HARGA SATUAN'!$I$6,MATCH(RAB!C57,'HARGA SATUAN'!$C$7:$C$1495,0),0))</f>
        <v>40000</v>
      </c>
      <c r="H57" s="308">
        <f t="shared" ca="1" si="9"/>
        <v>0</v>
      </c>
      <c r="I57" s="308">
        <f t="shared" ca="1" si="10"/>
        <v>80000</v>
      </c>
      <c r="J57" s="308">
        <f t="shared" ca="1" si="11"/>
        <v>0</v>
      </c>
      <c r="K57" s="309">
        <f t="shared" ca="1" si="12"/>
        <v>80000</v>
      </c>
      <c r="L57" s="316"/>
      <c r="M57" s="289"/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518">
        <v>5</v>
      </c>
      <c r="C58" s="519" t="s">
        <v>26</v>
      </c>
      <c r="D58" s="305" t="str">
        <f ca="1">IF(ISERROR(OFFSET('HARGA SATUAN'!$D$6,MATCH(RAB!C58,'HARGA SATUAN'!$C$7:$C$1495,0),0)),"",OFFSET('HARGA SATUAN'!$D$6,MATCH(RAB!C58,'HARGA SATUAN'!$C$7:$C$1495,0),0))</f>
        <v>HDW</v>
      </c>
      <c r="E58" s="306" t="str">
        <f ca="1">IF(B58="+","Unit",IF(ISERROR(OFFSET('HARGA SATUAN'!$E$6,MATCH(RAB!C58,'HARGA SATUAN'!$C$7:$C$1495,0),0)),"",OFFSET('HARGA SATUAN'!$E$6,MATCH(RAB!C58,'HARGA SATUAN'!$C$7:$C$1495,0),0)))</f>
        <v>Bh</v>
      </c>
      <c r="F58" s="452">
        <f>F53*1</f>
        <v>1</v>
      </c>
      <c r="G58" s="307">
        <f ca="1">IF(ISERROR(OFFSET('HARGA SATUAN'!$I$6,MATCH(RAB!C58,'HARGA SATUAN'!$C$7:$C$1495,0),0)),0,OFFSET('HARGA SATUAN'!$I$6,MATCH(RAB!C58,'HARGA SATUAN'!$C$7:$C$1495,0),0))</f>
        <v>2500</v>
      </c>
      <c r="H58" s="308">
        <f t="shared" ca="1" si="9"/>
        <v>0</v>
      </c>
      <c r="I58" s="308">
        <f t="shared" ca="1" si="10"/>
        <v>2500</v>
      </c>
      <c r="J58" s="308">
        <f t="shared" ca="1" si="11"/>
        <v>0</v>
      </c>
      <c r="K58" s="309">
        <f t="shared" ca="1" si="12"/>
        <v>2500</v>
      </c>
      <c r="L58" s="316"/>
      <c r="M58" s="289"/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518">
        <v>6</v>
      </c>
      <c r="C59" s="519" t="s">
        <v>759</v>
      </c>
      <c r="D59" s="305" t="str">
        <f ca="1">IF(ISERROR(OFFSET('HARGA SATUAN'!$D$6,MATCH(RAB!C59,'HARGA SATUAN'!$C$7:$C$1495,0),0)),"",OFFSET('HARGA SATUAN'!$D$6,MATCH(RAB!C59,'HARGA SATUAN'!$C$7:$C$1495,0),0))</f>
        <v>JASA</v>
      </c>
      <c r="E59" s="306" t="str">
        <f ca="1">IF(B59="+","Unit",IF(ISERROR(OFFSET('HARGA SATUAN'!$E$6,MATCH(RAB!C59,'HARGA SATUAN'!$C$7:$C$1495,0),0)),"",OFFSET('HARGA SATUAN'!$E$6,MATCH(RAB!C59,'HARGA SATUAN'!$C$7:$C$1495,0),0)))</f>
        <v>Unit</v>
      </c>
      <c r="F59" s="452">
        <f>F53*1</f>
        <v>1</v>
      </c>
      <c r="G59" s="307">
        <f ca="1">IF(ISERROR(OFFSET('HARGA SATUAN'!$I$6,MATCH(RAB!C59,'HARGA SATUAN'!$C$7:$C$1495,0),0)),0,OFFSET('HARGA SATUAN'!$I$6,MATCH(RAB!C59,'HARGA SATUAN'!$C$7:$C$1495,0),0))</f>
        <v>43500</v>
      </c>
      <c r="H59" s="308">
        <f t="shared" ca="1" si="9"/>
        <v>0</v>
      </c>
      <c r="I59" s="308">
        <f t="shared" ca="1" si="10"/>
        <v>0</v>
      </c>
      <c r="J59" s="308">
        <f t="shared" ca="1" si="11"/>
        <v>43500</v>
      </c>
      <c r="K59" s="309">
        <f t="shared" ca="1" si="12"/>
        <v>43500</v>
      </c>
      <c r="L59" s="316"/>
      <c r="M59" s="289"/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461"/>
      <c r="C60" s="462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2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9"/>
        <v>0</v>
      </c>
      <c r="I60" s="308">
        <f t="shared" ca="1" si="10"/>
        <v>0</v>
      </c>
      <c r="J60" s="308">
        <f t="shared" ca="1" si="11"/>
        <v>0</v>
      </c>
      <c r="K60" s="309">
        <f t="shared" ca="1" si="12"/>
        <v>0</v>
      </c>
      <c r="L60" s="316"/>
      <c r="M60" s="289"/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518" t="s">
        <v>1035</v>
      </c>
      <c r="C61" s="519" t="s">
        <v>1633</v>
      </c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>Unit</v>
      </c>
      <c r="F61" s="521">
        <v>1</v>
      </c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9"/>
        <v>0</v>
      </c>
      <c r="I61" s="308">
        <f t="shared" ca="1" si="10"/>
        <v>0</v>
      </c>
      <c r="J61" s="308">
        <f t="shared" ca="1" si="11"/>
        <v>0</v>
      </c>
      <c r="K61" s="309">
        <f t="shared" ca="1" si="12"/>
        <v>0</v>
      </c>
      <c r="L61" s="316"/>
      <c r="M61" s="289"/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518">
        <v>1</v>
      </c>
      <c r="C62" s="519" t="s">
        <v>262</v>
      </c>
      <c r="D62" s="305" t="str">
        <f ca="1">IF(ISERROR(OFFSET('HARGA SATUAN'!$D$6,MATCH(RAB!C62,'HARGA SATUAN'!$C$7:$C$1495,0),0)),"",OFFSET('HARGA SATUAN'!$D$6,MATCH(RAB!C62,'HARGA SATUAN'!$C$7:$C$1495,0),0))</f>
        <v>HDW</v>
      </c>
      <c r="E62" s="306" t="str">
        <f ca="1">IF(B62="+","Unit",IF(ISERROR(OFFSET('HARGA SATUAN'!$E$6,MATCH(RAB!C62,'HARGA SATUAN'!$C$7:$C$1495,0),0)),"",OFFSET('HARGA SATUAN'!$E$6,MATCH(RAB!C62,'HARGA SATUAN'!$C$7:$C$1495,0),0)))</f>
        <v>Bh</v>
      </c>
      <c r="F62" s="521">
        <f>F61*1</f>
        <v>1</v>
      </c>
      <c r="G62" s="307">
        <f ca="1">IF(ISERROR(OFFSET('HARGA SATUAN'!$I$6,MATCH(RAB!C62,'HARGA SATUAN'!$C$7:$C$1495,0),0)),0,OFFSET('HARGA SATUAN'!$I$6,MATCH(RAB!C62,'HARGA SATUAN'!$C$7:$C$1495,0),0))</f>
        <v>104200</v>
      </c>
      <c r="H62" s="308">
        <f t="shared" ca="1" si="9"/>
        <v>0</v>
      </c>
      <c r="I62" s="308">
        <f t="shared" ca="1" si="10"/>
        <v>104200</v>
      </c>
      <c r="J62" s="308">
        <f t="shared" ca="1" si="11"/>
        <v>0</v>
      </c>
      <c r="K62" s="309">
        <f t="shared" ca="1" si="12"/>
        <v>104200</v>
      </c>
      <c r="L62" s="316"/>
      <c r="M62" s="289"/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518">
        <v>2</v>
      </c>
      <c r="C63" s="519" t="s">
        <v>596</v>
      </c>
      <c r="D63" s="305" t="str">
        <f ca="1">IF(ISERROR(OFFSET('HARGA SATUAN'!$D$6,MATCH(RAB!C63,'HARGA SATUAN'!$C$7:$C$1495,0),0)),"",OFFSET('HARGA SATUAN'!$D$6,MATCH(RAB!C63,'HARGA SATUAN'!$C$7:$C$1495,0),0))</f>
        <v>HDW</v>
      </c>
      <c r="E63" s="306" t="str">
        <f ca="1">IF(B63="+","Unit",IF(ISERROR(OFFSET('HARGA SATUAN'!$E$6,MATCH(RAB!C63,'HARGA SATUAN'!$C$7:$C$1495,0),0)),"",OFFSET('HARGA SATUAN'!$E$6,MATCH(RAB!C63,'HARGA SATUAN'!$C$7:$C$1495,0),0)))</f>
        <v>Bh</v>
      </c>
      <c r="F63" s="521">
        <f>F61*1</f>
        <v>1</v>
      </c>
      <c r="G63" s="307">
        <f ca="1">IF(ISERROR(OFFSET('HARGA SATUAN'!$I$6,MATCH(RAB!C63,'HARGA SATUAN'!$C$7:$C$1495,0),0)),0,OFFSET('HARGA SATUAN'!$I$6,MATCH(RAB!C63,'HARGA SATUAN'!$C$7:$C$1495,0),0))</f>
        <v>120000</v>
      </c>
      <c r="H63" s="308">
        <f t="shared" ca="1" si="9"/>
        <v>0</v>
      </c>
      <c r="I63" s="308">
        <f t="shared" ca="1" si="10"/>
        <v>120000</v>
      </c>
      <c r="J63" s="308">
        <f t="shared" ca="1" si="11"/>
        <v>0</v>
      </c>
      <c r="K63" s="309">
        <f t="shared" ca="1" si="12"/>
        <v>120000</v>
      </c>
      <c r="L63" s="316"/>
      <c r="M63" s="289"/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518">
        <v>4</v>
      </c>
      <c r="C64" s="519" t="s">
        <v>214</v>
      </c>
      <c r="D64" s="305" t="str">
        <f ca="1">IF(ISERROR(OFFSET('HARGA SATUAN'!$D$6,MATCH(RAB!C64,'HARGA SATUAN'!$C$7:$C$1495,0),0)),"",OFFSET('HARGA SATUAN'!$D$6,MATCH(RAB!C64,'HARGA SATUAN'!$C$7:$C$1495,0),0))</f>
        <v>HDW</v>
      </c>
      <c r="E64" s="306" t="str">
        <f ca="1">IF(B64="+","Unit",IF(ISERROR(OFFSET('HARGA SATUAN'!$E$6,MATCH(RAB!C64,'HARGA SATUAN'!$C$7:$C$1495,0),0)),"",OFFSET('HARGA SATUAN'!$E$6,MATCH(RAB!C64,'HARGA SATUAN'!$C$7:$C$1495,0),0)))</f>
        <v>Bh</v>
      </c>
      <c r="F64" s="452">
        <f>F61*1</f>
        <v>1</v>
      </c>
      <c r="G64" s="307">
        <f ca="1">IF(ISERROR(OFFSET('HARGA SATUAN'!$I$6,MATCH(RAB!C64,'HARGA SATUAN'!$C$7:$C$1495,0),0)),0,OFFSET('HARGA SATUAN'!$I$6,MATCH(RAB!C64,'HARGA SATUAN'!$C$7:$C$1495,0),0))</f>
        <v>4500</v>
      </c>
      <c r="H64" s="308">
        <f t="shared" ca="1" si="9"/>
        <v>0</v>
      </c>
      <c r="I64" s="308">
        <f t="shared" ca="1" si="10"/>
        <v>4500</v>
      </c>
      <c r="J64" s="308">
        <f t="shared" ca="1" si="11"/>
        <v>0</v>
      </c>
      <c r="K64" s="309">
        <f t="shared" ca="1" si="12"/>
        <v>4500</v>
      </c>
      <c r="L64" s="316"/>
      <c r="M64" s="289"/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>
      <c r="A65" s="283"/>
      <c r="B65" s="518">
        <v>3</v>
      </c>
      <c r="C65" s="519" t="s">
        <v>767</v>
      </c>
      <c r="D65" s="305" t="str">
        <f ca="1">IF(ISERROR(OFFSET('HARGA SATUAN'!$D$6,MATCH(RAB!C65,'HARGA SATUAN'!$C$7:$C$1495,0),0)),"",OFFSET('HARGA SATUAN'!$D$6,MATCH(RAB!C65,'HARGA SATUAN'!$C$7:$C$1495,0),0))</f>
        <v>JASA</v>
      </c>
      <c r="E65" s="306" t="str">
        <f ca="1">IF(B65="+","Unit",IF(ISERROR(OFFSET('HARGA SATUAN'!$E$6,MATCH(RAB!C65,'HARGA SATUAN'!$C$7:$C$1495,0),0)),"",OFFSET('HARGA SATUAN'!$E$6,MATCH(RAB!C65,'HARGA SATUAN'!$C$7:$C$1495,0),0)))</f>
        <v>Unit</v>
      </c>
      <c r="F65" s="521">
        <f>F61*1</f>
        <v>1</v>
      </c>
      <c r="G65" s="307">
        <f ca="1">IF(ISERROR(OFFSET('HARGA SATUAN'!$I$6,MATCH(RAB!C65,'HARGA SATUAN'!$C$7:$C$1495,0),0)),0,OFFSET('HARGA SATUAN'!$I$6,MATCH(RAB!C65,'HARGA SATUAN'!$C$7:$C$1495,0),0))</f>
        <v>55500</v>
      </c>
      <c r="H65" s="308">
        <f t="shared" ca="1" si="9"/>
        <v>0</v>
      </c>
      <c r="I65" s="308">
        <f t="shared" ca="1" si="10"/>
        <v>0</v>
      </c>
      <c r="J65" s="308">
        <f t="shared" ca="1" si="11"/>
        <v>55500</v>
      </c>
      <c r="K65" s="309">
        <f t="shared" ca="1" si="12"/>
        <v>55500</v>
      </c>
      <c r="L65" s="316"/>
      <c r="M65" s="289"/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518"/>
      <c r="C66" s="519"/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521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ref="H66:H71" ca="1" si="14">IF(OR(D66="MDU",D66="MDU-KD"),(IF($O$3="RAB NON MDU","PLN KD",G66*F66)),0)</f>
        <v>0</v>
      </c>
      <c r="I66" s="308">
        <f t="shared" ref="I66:I71" ca="1" si="15">IF(D66="HDW",G66*F66,0)</f>
        <v>0</v>
      </c>
      <c r="J66" s="308">
        <f t="shared" ref="J66:J71" ca="1" si="16">IF(D66="JASA",G66*F66,0)</f>
        <v>0</v>
      </c>
      <c r="K66" s="309">
        <f t="shared" ref="K66:K71" ca="1" si="17">SUM(H66:J66)</f>
        <v>0</v>
      </c>
      <c r="L66" s="316"/>
      <c r="M66" s="289"/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518" t="s">
        <v>1035</v>
      </c>
      <c r="C67" s="519" t="s">
        <v>1634</v>
      </c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>Unit</v>
      </c>
      <c r="F67" s="452">
        <v>1</v>
      </c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ca="1" si="14"/>
        <v>0</v>
      </c>
      <c r="I67" s="308">
        <f t="shared" ca="1" si="15"/>
        <v>0</v>
      </c>
      <c r="J67" s="308">
        <f t="shared" ca="1" si="16"/>
        <v>0</v>
      </c>
      <c r="K67" s="309">
        <f t="shared" ca="1" si="17"/>
        <v>0</v>
      </c>
      <c r="L67" s="316"/>
      <c r="M67" s="289"/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518">
        <v>1</v>
      </c>
      <c r="C68" s="519" t="s">
        <v>30</v>
      </c>
      <c r="D68" s="305" t="str">
        <f ca="1">IF(ISERROR(OFFSET('HARGA SATUAN'!$D$6,MATCH(RAB!C68,'HARGA SATUAN'!$C$7:$C$1495,0),0)),"",OFFSET('HARGA SATUAN'!$D$6,MATCH(RAB!C68,'HARGA SATUAN'!$C$7:$C$1495,0),0))</f>
        <v>HDW</v>
      </c>
      <c r="E68" s="306" t="str">
        <f ca="1">IF(B68="+","Unit",IF(ISERROR(OFFSET('HARGA SATUAN'!$E$6,MATCH(RAB!C68,'HARGA SATUAN'!$C$7:$C$1495,0),0)),"",OFFSET('HARGA SATUAN'!$E$6,MATCH(RAB!C68,'HARGA SATUAN'!$C$7:$C$1495,0),0)))</f>
        <v>Bh</v>
      </c>
      <c r="F68" s="452">
        <f>F67*1</f>
        <v>1</v>
      </c>
      <c r="G68" s="307">
        <f ca="1">IF(ISERROR(OFFSET('HARGA SATUAN'!$I$6,MATCH(RAB!C68,'HARGA SATUAN'!$C$7:$C$1495,0),0)),0,OFFSET('HARGA SATUAN'!$I$6,MATCH(RAB!C68,'HARGA SATUAN'!$C$7:$C$1495,0),0))</f>
        <v>47459</v>
      </c>
      <c r="H68" s="308">
        <f t="shared" ca="1" si="14"/>
        <v>0</v>
      </c>
      <c r="I68" s="308">
        <f t="shared" ca="1" si="15"/>
        <v>47459</v>
      </c>
      <c r="J68" s="308">
        <f t="shared" ca="1" si="16"/>
        <v>0</v>
      </c>
      <c r="K68" s="309">
        <f t="shared" ca="1" si="17"/>
        <v>47459</v>
      </c>
      <c r="L68" s="316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518">
        <v>2</v>
      </c>
      <c r="C69" s="519" t="s">
        <v>32</v>
      </c>
      <c r="D69" s="305" t="str">
        <f ca="1">IF(ISERROR(OFFSET('HARGA SATUAN'!$D$6,MATCH(RAB!C69,'HARGA SATUAN'!$C$7:$C$1495,0),0)),"",OFFSET('HARGA SATUAN'!$D$6,MATCH(RAB!C69,'HARGA SATUAN'!$C$7:$C$1495,0),0))</f>
        <v>HDW</v>
      </c>
      <c r="E69" s="306" t="str">
        <f ca="1">IF(B69="+","Unit",IF(ISERROR(OFFSET('HARGA SATUAN'!$E$6,MATCH(RAB!C69,'HARGA SATUAN'!$C$7:$C$1495,0),0)),"",OFFSET('HARGA SATUAN'!$E$6,MATCH(RAB!C69,'HARGA SATUAN'!$C$7:$C$1495,0),0)))</f>
        <v>Mtr</v>
      </c>
      <c r="F69" s="452">
        <f>F67*1</f>
        <v>1</v>
      </c>
      <c r="G69" s="307">
        <f ca="1">IF(ISERROR(OFFSET('HARGA SATUAN'!$I$6,MATCH(RAB!C69,'HARGA SATUAN'!$C$7:$C$1495,0),0)),0,OFFSET('HARGA SATUAN'!$I$6,MATCH(RAB!C69,'HARGA SATUAN'!$C$7:$C$1495,0),0))</f>
        <v>30000</v>
      </c>
      <c r="H69" s="308">
        <f t="shared" ca="1" si="14"/>
        <v>0</v>
      </c>
      <c r="I69" s="308">
        <f t="shared" ca="1" si="15"/>
        <v>30000</v>
      </c>
      <c r="J69" s="308">
        <f t="shared" ca="1" si="16"/>
        <v>0</v>
      </c>
      <c r="K69" s="309">
        <f t="shared" ca="1" si="17"/>
        <v>30000</v>
      </c>
      <c r="L69" s="316"/>
      <c r="M69" s="289"/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518">
        <v>3</v>
      </c>
      <c r="C70" s="519" t="s">
        <v>33</v>
      </c>
      <c r="D70" s="305" t="str">
        <f ca="1">IF(ISERROR(OFFSET('HARGA SATUAN'!$D$6,MATCH(RAB!C70,'HARGA SATUAN'!$C$7:$C$1495,0),0)),"",OFFSET('HARGA SATUAN'!$D$6,MATCH(RAB!C70,'HARGA SATUAN'!$C$7:$C$1495,0),0))</f>
        <v>HDW</v>
      </c>
      <c r="E70" s="306" t="str">
        <f ca="1">IF(B70="+","Unit",IF(ISERROR(OFFSET('HARGA SATUAN'!$E$6,MATCH(RAB!C70,'HARGA SATUAN'!$C$7:$C$1495,0),0)),"",OFFSET('HARGA SATUAN'!$E$6,MATCH(RAB!C70,'HARGA SATUAN'!$C$7:$C$1495,0),0)))</f>
        <v>Bh</v>
      </c>
      <c r="F70" s="452">
        <f>F67*1</f>
        <v>1</v>
      </c>
      <c r="G70" s="307">
        <f ca="1">IF(ISERROR(OFFSET('HARGA SATUAN'!$I$6,MATCH(RAB!C70,'HARGA SATUAN'!$C$7:$C$1495,0),0)),0,OFFSET('HARGA SATUAN'!$I$6,MATCH(RAB!C70,'HARGA SATUAN'!$C$7:$C$1495,0),0))</f>
        <v>9500</v>
      </c>
      <c r="H70" s="308">
        <f t="shared" ca="1" si="14"/>
        <v>0</v>
      </c>
      <c r="I70" s="308">
        <f t="shared" ca="1" si="15"/>
        <v>9500</v>
      </c>
      <c r="J70" s="308">
        <f t="shared" ca="1" si="16"/>
        <v>0</v>
      </c>
      <c r="K70" s="309">
        <f t="shared" ca="1" si="17"/>
        <v>9500</v>
      </c>
      <c r="L70" s="316"/>
      <c r="M70" s="289"/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518">
        <v>4</v>
      </c>
      <c r="C71" s="519" t="s">
        <v>738</v>
      </c>
      <c r="D71" s="305" t="str">
        <f ca="1">IF(ISERROR(OFFSET('HARGA SATUAN'!$D$6,MATCH(RAB!C71,'HARGA SATUAN'!$C$7:$C$1495,0),0)),"",OFFSET('HARGA SATUAN'!$D$6,MATCH(RAB!C71,'HARGA SATUAN'!$C$7:$C$1495,0),0))</f>
        <v>JASA</v>
      </c>
      <c r="E71" s="306" t="str">
        <f ca="1">IF(B71="+","Unit",IF(ISERROR(OFFSET('HARGA SATUAN'!$E$6,MATCH(RAB!C71,'HARGA SATUAN'!$C$7:$C$1495,0),0)),"",OFFSET('HARGA SATUAN'!$E$6,MATCH(RAB!C71,'HARGA SATUAN'!$C$7:$C$1495,0),0)))</f>
        <v>Unit</v>
      </c>
      <c r="F71" s="452">
        <f>F67*1</f>
        <v>1</v>
      </c>
      <c r="G71" s="307">
        <f ca="1">IF(ISERROR(OFFSET('HARGA SATUAN'!$I$6,MATCH(RAB!C71,'HARGA SATUAN'!$C$7:$C$1495,0),0)),0,OFFSET('HARGA SATUAN'!$I$6,MATCH(RAB!C71,'HARGA SATUAN'!$C$7:$C$1495,0),0))</f>
        <v>21200</v>
      </c>
      <c r="H71" s="308">
        <f t="shared" ca="1" si="14"/>
        <v>0</v>
      </c>
      <c r="I71" s="308">
        <f t="shared" ca="1" si="15"/>
        <v>0</v>
      </c>
      <c r="J71" s="308">
        <f t="shared" ca="1" si="16"/>
        <v>21200</v>
      </c>
      <c r="K71" s="309">
        <f t="shared" ca="1" si="17"/>
        <v>21200</v>
      </c>
      <c r="L71" s="316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420"/>
      <c r="C72" s="417"/>
      <c r="D72" s="305" t="str">
        <f ca="1">IF(ISERROR(OFFSET('HARGA SATUAN'!$D$6,MATCH(RAB!C72,'HARGA SATUAN'!$C$7:$C$1495,0),0)),"",OFFSET('HARGA SATUAN'!$D$6,MATCH(RAB!C72,'HARGA SATUAN'!$C$7:$C$1495,0),0))</f>
        <v/>
      </c>
      <c r="E72" s="306" t="str">
        <f ca="1">IF(B72="+","Unit",IF(ISERROR(OFFSET('HARGA SATUAN'!$E$6,MATCH(RAB!C72,'HARGA SATUAN'!$C$7:$C$1495,0),0)),"",OFFSET('HARGA SATUAN'!$E$6,MATCH(RAB!C72,'HARGA SATUAN'!$C$7:$C$1495,0),0)))</f>
        <v/>
      </c>
      <c r="F72" s="452"/>
      <c r="G72" s="307">
        <f ca="1">IF(ISERROR(OFFSET('HARGA SATUAN'!$I$6,MATCH(RAB!C72,'HARGA SATUAN'!$C$7:$C$1495,0),0)),0,OFFSET('HARGA SATUAN'!$I$6,MATCH(RAB!C72,'HARGA SATUAN'!$C$7:$C$1495,0),0))</f>
        <v>0</v>
      </c>
      <c r="H72" s="308">
        <f t="shared" ref="H72:H93" ca="1" si="18">IF(OR(D72="MDU",D72="MDU-KD"),(IF($O$3="RAB NON MDU","PLN KD",G72*F72)),0)</f>
        <v>0</v>
      </c>
      <c r="I72" s="308">
        <f t="shared" ref="I72:I93" ca="1" si="19">IF(D72="HDW",G72*F72,0)</f>
        <v>0</v>
      </c>
      <c r="J72" s="308">
        <f t="shared" ref="J72:J93" ca="1" si="20">IF(D72="JASA",G72*F72,0)</f>
        <v>0</v>
      </c>
      <c r="K72" s="309">
        <f t="shared" ref="K72:K93" ca="1" si="21">SUM(H72:J72)</f>
        <v>0</v>
      </c>
      <c r="L72" s="316"/>
      <c r="M72" s="289" t="e">
        <f>IF(AND(F72&gt;0,#REF!=0),"",IF(AND(ISBLANK(F72)=FALSE,K72=0),"WARNING",""))</f>
        <v>#REF!</v>
      </c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 hidden="1">
      <c r="A73" s="283"/>
      <c r="B73" s="420">
        <v>10</v>
      </c>
      <c r="C73" s="417" t="s">
        <v>1616</v>
      </c>
      <c r="D73" s="305" t="str">
        <f ca="1">IF(ISERROR(OFFSET('HARGA SATUAN'!$D$6,MATCH(RAB!C73,'HARGA SATUAN'!$C$7:$C$1495,0),0)),"",OFFSET('HARGA SATUAN'!$D$6,MATCH(RAB!C73,'HARGA SATUAN'!$C$7:$C$1495,0),0))</f>
        <v>HDW</v>
      </c>
      <c r="E73" s="306" t="str">
        <f ca="1">IF(B73="+","Unit",IF(ISERROR(OFFSET('HARGA SATUAN'!$E$6,MATCH(RAB!C73,'HARGA SATUAN'!$C$7:$C$1495,0),0)),"",OFFSET('HARGA SATUAN'!$E$6,MATCH(RAB!C73,'HARGA SATUAN'!$C$7:$C$1495,0),0)))</f>
        <v>Bh</v>
      </c>
      <c r="F73" s="454"/>
      <c r="G73" s="307">
        <f ca="1">IF(ISERROR(OFFSET('HARGA SATUAN'!$I$6,MATCH(RAB!C73,'HARGA SATUAN'!$C$7:$C$1495,0),0)),0,OFFSET('HARGA SATUAN'!$I$6,MATCH(RAB!C73,'HARGA SATUAN'!$C$7:$C$1495,0),0))</f>
        <v>49000</v>
      </c>
      <c r="H73" s="308">
        <f t="shared" ca="1" si="18"/>
        <v>0</v>
      </c>
      <c r="I73" s="308">
        <f t="shared" ca="1" si="19"/>
        <v>0</v>
      </c>
      <c r="J73" s="308">
        <f t="shared" ca="1" si="20"/>
        <v>0</v>
      </c>
      <c r="K73" s="309">
        <f t="shared" ca="1" si="21"/>
        <v>0</v>
      </c>
      <c r="L73" s="316"/>
      <c r="M73" s="289" t="str">
        <f t="shared" ref="M73:M111" ca="1" si="22">IF(AND(F73&gt;0,F72=0),"",IF(AND(ISBLANK(F73)=FALSE,K73=0),"WARNING",""))</f>
        <v/>
      </c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 hidden="1">
      <c r="A74" s="283"/>
      <c r="B74" s="449"/>
      <c r="C74" s="450"/>
      <c r="D74" s="305" t="str">
        <f ca="1">IF(ISERROR(OFFSET('HARGA SATUAN'!$D$6,MATCH(RAB!C74,'HARGA SATUAN'!$C$7:$C$1495,0),0)),"",OFFSET('HARGA SATUAN'!$D$6,MATCH(RAB!C74,'HARGA SATUAN'!$C$7:$C$1495,0),0))</f>
        <v/>
      </c>
      <c r="E74" s="306" t="str">
        <f ca="1">IF(B74="+","Unit",IF(ISERROR(OFFSET('HARGA SATUAN'!$E$6,MATCH(RAB!C74,'HARGA SATUAN'!$C$7:$C$1495,0),0)),"",OFFSET('HARGA SATUAN'!$E$6,MATCH(RAB!C74,'HARGA SATUAN'!$C$7:$C$1495,0),0)))</f>
        <v/>
      </c>
      <c r="F74" s="454"/>
      <c r="G74" s="307">
        <f ca="1">IF(ISERROR(OFFSET('HARGA SATUAN'!$I$6,MATCH(RAB!C74,'HARGA SATUAN'!$C$7:$C$1495,0),0)),0,OFFSET('HARGA SATUAN'!$I$6,MATCH(RAB!C74,'HARGA SATUAN'!$C$7:$C$1495,0),0))</f>
        <v>0</v>
      </c>
      <c r="H74" s="308">
        <f t="shared" ca="1" si="18"/>
        <v>0</v>
      </c>
      <c r="I74" s="308">
        <f t="shared" ca="1" si="19"/>
        <v>0</v>
      </c>
      <c r="J74" s="308">
        <f t="shared" ca="1" si="20"/>
        <v>0</v>
      </c>
      <c r="K74" s="309">
        <f t="shared" ca="1" si="21"/>
        <v>0</v>
      </c>
      <c r="L74" s="316"/>
      <c r="M74" s="289" t="str">
        <f t="shared" ca="1" si="22"/>
        <v/>
      </c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 hidden="1">
      <c r="A75" s="283"/>
      <c r="B75" s="449"/>
      <c r="C75" s="450"/>
      <c r="D75" s="305" t="str">
        <f ca="1">IF(ISERROR(OFFSET('HARGA SATUAN'!$D$6,MATCH(RAB!C75,'HARGA SATUAN'!$C$7:$C$1495,0),0)),"",OFFSET('HARGA SATUAN'!$D$6,MATCH(RAB!C75,'HARGA SATUAN'!$C$7:$C$1495,0),0))</f>
        <v/>
      </c>
      <c r="E75" s="306" t="str">
        <f ca="1">IF(B75="+","Unit",IF(ISERROR(OFFSET('HARGA SATUAN'!$E$6,MATCH(RAB!C75,'HARGA SATUAN'!$C$7:$C$1495,0),0)),"",OFFSET('HARGA SATUAN'!$E$6,MATCH(RAB!C75,'HARGA SATUAN'!$C$7:$C$1495,0),0)))</f>
        <v/>
      </c>
      <c r="F75" s="454"/>
      <c r="G75" s="307">
        <f ca="1">IF(ISERROR(OFFSET('HARGA SATUAN'!$I$6,MATCH(RAB!C75,'HARGA SATUAN'!$C$7:$C$1495,0),0)),0,OFFSET('HARGA SATUAN'!$I$6,MATCH(RAB!C75,'HARGA SATUAN'!$C$7:$C$1495,0),0))</f>
        <v>0</v>
      </c>
      <c r="H75" s="308">
        <f t="shared" ca="1" si="18"/>
        <v>0</v>
      </c>
      <c r="I75" s="308">
        <f t="shared" ca="1" si="19"/>
        <v>0</v>
      </c>
      <c r="J75" s="308">
        <f t="shared" ca="1" si="20"/>
        <v>0</v>
      </c>
      <c r="K75" s="309">
        <f t="shared" ca="1" si="21"/>
        <v>0</v>
      </c>
      <c r="L75" s="316"/>
      <c r="M75" s="289" t="str">
        <f t="shared" ca="1" si="22"/>
        <v/>
      </c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 hidden="1">
      <c r="A76" s="283"/>
      <c r="B76" s="449"/>
      <c r="C76" s="450"/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IF(B76="+","Unit",IF(ISERROR(OFFSET('HARGA SATUAN'!$E$6,MATCH(RAB!C76,'HARGA SATUAN'!$C$7:$C$1495,0),0)),"",OFFSET('HARGA SATUAN'!$E$6,MATCH(RAB!C76,'HARGA SATUAN'!$C$7:$C$1495,0),0)))</f>
        <v/>
      </c>
      <c r="F76" s="454"/>
      <c r="G76" s="307">
        <f ca="1">IF(ISERROR(OFFSET('HARGA SATUAN'!$I$6,MATCH(RAB!C76,'HARGA SATUAN'!$C$7:$C$1495,0),0)),0,OFFSET('HARGA SATUAN'!$I$6,MATCH(RAB!C76,'HARGA SATUAN'!$C$7:$C$1495,0),0))</f>
        <v>0</v>
      </c>
      <c r="H76" s="308">
        <f t="shared" ca="1" si="18"/>
        <v>0</v>
      </c>
      <c r="I76" s="308">
        <f t="shared" ca="1" si="19"/>
        <v>0</v>
      </c>
      <c r="J76" s="308">
        <f t="shared" ca="1" si="20"/>
        <v>0</v>
      </c>
      <c r="K76" s="309">
        <f t="shared" ca="1" si="21"/>
        <v>0</v>
      </c>
      <c r="L76" s="316"/>
      <c r="M76" s="289" t="str">
        <f t="shared" ca="1" si="22"/>
        <v/>
      </c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 hidden="1">
      <c r="A77" s="283"/>
      <c r="B77" s="449"/>
      <c r="C77" s="450"/>
      <c r="D77" s="305" t="str">
        <f ca="1">IF(ISERROR(OFFSET('HARGA SATUAN'!$D$6,MATCH(RAB!C77,'HARGA SATUAN'!$C$7:$C$1495,0),0)),"",OFFSET('HARGA SATUAN'!$D$6,MATCH(RAB!C77,'HARGA SATUAN'!$C$7:$C$1495,0),0))</f>
        <v/>
      </c>
      <c r="E77" s="306" t="str">
        <f ca="1">IF(B77="+","Unit",IF(ISERROR(OFFSET('HARGA SATUAN'!$E$6,MATCH(RAB!C77,'HARGA SATUAN'!$C$7:$C$1495,0),0)),"",OFFSET('HARGA SATUAN'!$E$6,MATCH(RAB!C77,'HARGA SATUAN'!$C$7:$C$1495,0),0)))</f>
        <v/>
      </c>
      <c r="F77" s="454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ca="1" si="18"/>
        <v>0</v>
      </c>
      <c r="I77" s="308">
        <f t="shared" ca="1" si="19"/>
        <v>0</v>
      </c>
      <c r="J77" s="308">
        <f t="shared" ca="1" si="20"/>
        <v>0</v>
      </c>
      <c r="K77" s="309">
        <f t="shared" ca="1" si="21"/>
        <v>0</v>
      </c>
      <c r="L77" s="316"/>
      <c r="M77" s="289" t="str">
        <f t="shared" ca="1" si="22"/>
        <v/>
      </c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 hidden="1">
      <c r="A78" s="283"/>
      <c r="B78" s="449"/>
      <c r="C78" s="450"/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IF(B78="+","Unit",IF(ISERROR(OFFSET('HARGA SATUAN'!$E$6,MATCH(RAB!C78,'HARGA SATUAN'!$C$7:$C$1495,0),0)),"",OFFSET('HARGA SATUAN'!$E$6,MATCH(RAB!C78,'HARGA SATUAN'!$C$7:$C$1495,0),0)))</f>
        <v/>
      </c>
      <c r="F78" s="454"/>
      <c r="G78" s="307">
        <f ca="1">IF(ISERROR(OFFSET('HARGA SATUAN'!$I$6,MATCH(RAB!C78,'HARGA SATUAN'!$C$7:$C$1495,0),0)),0,OFFSET('HARGA SATUAN'!$I$6,MATCH(RAB!C78,'HARGA SATUAN'!$C$7:$C$1495,0),0))</f>
        <v>0</v>
      </c>
      <c r="H78" s="308">
        <f t="shared" ca="1" si="18"/>
        <v>0</v>
      </c>
      <c r="I78" s="308">
        <f t="shared" ca="1" si="19"/>
        <v>0</v>
      </c>
      <c r="J78" s="308">
        <f t="shared" ca="1" si="20"/>
        <v>0</v>
      </c>
      <c r="K78" s="309">
        <f t="shared" ca="1" si="21"/>
        <v>0</v>
      </c>
      <c r="L78" s="316"/>
      <c r="M78" s="289" t="str">
        <f t="shared" ca="1" si="22"/>
        <v/>
      </c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 hidden="1">
      <c r="A79" s="283"/>
      <c r="B79" s="449"/>
      <c r="C79" s="450"/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454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ca="1" si="18"/>
        <v>0</v>
      </c>
      <c r="I79" s="308">
        <f t="shared" ca="1" si="19"/>
        <v>0</v>
      </c>
      <c r="J79" s="308">
        <f t="shared" ca="1" si="20"/>
        <v>0</v>
      </c>
      <c r="K79" s="309">
        <f t="shared" ca="1" si="21"/>
        <v>0</v>
      </c>
      <c r="L79" s="316"/>
      <c r="M79" s="289" t="str">
        <f t="shared" ca="1" si="22"/>
        <v/>
      </c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 hidden="1">
      <c r="A80" s="283"/>
      <c r="B80" s="449"/>
      <c r="C80" s="450"/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454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ca="1" si="18"/>
        <v>0</v>
      </c>
      <c r="I80" s="308">
        <f t="shared" ca="1" si="19"/>
        <v>0</v>
      </c>
      <c r="J80" s="308">
        <f t="shared" ca="1" si="20"/>
        <v>0</v>
      </c>
      <c r="K80" s="309">
        <f t="shared" ca="1" si="21"/>
        <v>0</v>
      </c>
      <c r="L80" s="316"/>
      <c r="M80" s="289" t="str">
        <f t="shared" ca="1" si="22"/>
        <v/>
      </c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 hidden="1">
      <c r="A81" s="283"/>
      <c r="B81" s="449"/>
      <c r="C81" s="450"/>
      <c r="D81" s="305" t="str">
        <f ca="1">IF(ISERROR(OFFSET('HARGA SATUAN'!$D$6,MATCH(RAB!C81,'HARGA SATUAN'!$C$7:$C$1495,0),0)),"",OFFSET('HARGA SATUAN'!$D$6,MATCH(RAB!C81,'HARGA SATUAN'!$C$7:$C$1495,0),0))</f>
        <v/>
      </c>
      <c r="E81" s="306" t="str">
        <f ca="1">IF(B81="+","Unit",IF(ISERROR(OFFSET('HARGA SATUAN'!$E$6,MATCH(RAB!C81,'HARGA SATUAN'!$C$7:$C$1495,0),0)),"",OFFSET('HARGA SATUAN'!$E$6,MATCH(RAB!C81,'HARGA SATUAN'!$C$7:$C$1495,0),0)))</f>
        <v/>
      </c>
      <c r="F81" s="454"/>
      <c r="G81" s="307">
        <f ca="1">IF(ISERROR(OFFSET('HARGA SATUAN'!$I$6,MATCH(RAB!C81,'HARGA SATUAN'!$C$7:$C$1495,0),0)),0,OFFSET('HARGA SATUAN'!$I$6,MATCH(RAB!C81,'HARGA SATUAN'!$C$7:$C$1495,0),0))</f>
        <v>0</v>
      </c>
      <c r="H81" s="308">
        <f t="shared" ca="1" si="18"/>
        <v>0</v>
      </c>
      <c r="I81" s="308">
        <f t="shared" ca="1" si="19"/>
        <v>0</v>
      </c>
      <c r="J81" s="308">
        <f t="shared" ca="1" si="20"/>
        <v>0</v>
      </c>
      <c r="K81" s="309">
        <f t="shared" ca="1" si="21"/>
        <v>0</v>
      </c>
      <c r="L81" s="316"/>
      <c r="M81" s="289" t="str">
        <f t="shared" ca="1" si="22"/>
        <v/>
      </c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 hidden="1">
      <c r="A82" s="283"/>
      <c r="B82" s="449"/>
      <c r="C82" s="450"/>
      <c r="D82" s="305" t="str">
        <f ca="1">IF(ISERROR(OFFSET('HARGA SATUAN'!$D$6,MATCH(RAB!C82,'HARGA SATUAN'!$C$7:$C$1495,0),0)),"",OFFSET('HARGA SATUAN'!$D$6,MATCH(RAB!C82,'HARGA SATUAN'!$C$7:$C$1495,0),0))</f>
        <v/>
      </c>
      <c r="E82" s="306" t="str">
        <f ca="1">IF(B82="+","Unit",IF(ISERROR(OFFSET('HARGA SATUAN'!$E$6,MATCH(RAB!C82,'HARGA SATUAN'!$C$7:$C$1495,0),0)),"",OFFSET('HARGA SATUAN'!$E$6,MATCH(RAB!C82,'HARGA SATUAN'!$C$7:$C$1495,0),0)))</f>
        <v/>
      </c>
      <c r="F82" s="454"/>
      <c r="G82" s="307">
        <f ca="1">IF(ISERROR(OFFSET('HARGA SATUAN'!$I$6,MATCH(RAB!C82,'HARGA SATUAN'!$C$7:$C$1495,0),0)),0,OFFSET('HARGA SATUAN'!$I$6,MATCH(RAB!C82,'HARGA SATUAN'!$C$7:$C$1495,0),0))</f>
        <v>0</v>
      </c>
      <c r="H82" s="308">
        <f t="shared" ca="1" si="18"/>
        <v>0</v>
      </c>
      <c r="I82" s="308">
        <f t="shared" ca="1" si="19"/>
        <v>0</v>
      </c>
      <c r="J82" s="308">
        <f t="shared" ca="1" si="20"/>
        <v>0</v>
      </c>
      <c r="K82" s="309">
        <f t="shared" ca="1" si="21"/>
        <v>0</v>
      </c>
      <c r="L82" s="316"/>
      <c r="M82" s="289" t="str">
        <f t="shared" ca="1" si="22"/>
        <v/>
      </c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 hidden="1">
      <c r="A83" s="283"/>
      <c r="B83" s="449"/>
      <c r="C83" s="450"/>
      <c r="D83" s="305" t="str">
        <f ca="1">IF(ISERROR(OFFSET('HARGA SATUAN'!$D$6,MATCH(RAB!C83,'HARGA SATUAN'!$C$7:$C$1495,0),0)),"",OFFSET('HARGA SATUAN'!$D$6,MATCH(RAB!C83,'HARGA SATUAN'!$C$7:$C$1495,0),0))</f>
        <v/>
      </c>
      <c r="E83" s="306" t="str">
        <f ca="1">IF(B83="+","Unit",IF(ISERROR(OFFSET('HARGA SATUAN'!$E$6,MATCH(RAB!C83,'HARGA SATUAN'!$C$7:$C$1495,0),0)),"",OFFSET('HARGA SATUAN'!$E$6,MATCH(RAB!C83,'HARGA SATUAN'!$C$7:$C$1495,0),0)))</f>
        <v/>
      </c>
      <c r="F83" s="454"/>
      <c r="G83" s="307">
        <f ca="1">IF(ISERROR(OFFSET('HARGA SATUAN'!$I$6,MATCH(RAB!C83,'HARGA SATUAN'!$C$7:$C$1495,0),0)),0,OFFSET('HARGA SATUAN'!$I$6,MATCH(RAB!C83,'HARGA SATUAN'!$C$7:$C$1495,0),0))</f>
        <v>0</v>
      </c>
      <c r="H83" s="308">
        <f t="shared" ca="1" si="18"/>
        <v>0</v>
      </c>
      <c r="I83" s="308">
        <f t="shared" ca="1" si="19"/>
        <v>0</v>
      </c>
      <c r="J83" s="308">
        <f t="shared" ca="1" si="20"/>
        <v>0</v>
      </c>
      <c r="K83" s="309">
        <f t="shared" ca="1" si="21"/>
        <v>0</v>
      </c>
      <c r="L83" s="316"/>
      <c r="M83" s="289" t="str">
        <f t="shared" ca="1" si="22"/>
        <v/>
      </c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 hidden="1">
      <c r="A84" s="283"/>
      <c r="B84" s="449"/>
      <c r="C84" s="450"/>
      <c r="D84" s="305" t="str">
        <f ca="1">IF(ISERROR(OFFSET('HARGA SATUAN'!$D$6,MATCH(RAB!C84,'HARGA SATUAN'!$C$7:$C$1495,0),0)),"",OFFSET('HARGA SATUAN'!$D$6,MATCH(RAB!C84,'HARGA SATUAN'!$C$7:$C$1495,0),0))</f>
        <v/>
      </c>
      <c r="E84" s="306" t="str">
        <f ca="1">IF(B84="+","Unit",IF(ISERROR(OFFSET('HARGA SATUAN'!$E$6,MATCH(RAB!C84,'HARGA SATUAN'!$C$7:$C$1495,0),0)),"",OFFSET('HARGA SATUAN'!$E$6,MATCH(RAB!C84,'HARGA SATUAN'!$C$7:$C$1495,0),0)))</f>
        <v/>
      </c>
      <c r="F84" s="454"/>
      <c r="G84" s="307">
        <f ca="1">IF(ISERROR(OFFSET('HARGA SATUAN'!$I$6,MATCH(RAB!C84,'HARGA SATUAN'!$C$7:$C$1495,0),0)),0,OFFSET('HARGA SATUAN'!$I$6,MATCH(RAB!C84,'HARGA SATUAN'!$C$7:$C$1495,0),0))</f>
        <v>0</v>
      </c>
      <c r="H84" s="308">
        <f t="shared" ca="1" si="18"/>
        <v>0</v>
      </c>
      <c r="I84" s="308">
        <f t="shared" ca="1" si="19"/>
        <v>0</v>
      </c>
      <c r="J84" s="308">
        <f t="shared" ca="1" si="20"/>
        <v>0</v>
      </c>
      <c r="K84" s="309">
        <f t="shared" ca="1" si="21"/>
        <v>0</v>
      </c>
      <c r="L84" s="316"/>
      <c r="M84" s="289" t="str">
        <f t="shared" ca="1" si="22"/>
        <v/>
      </c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 hidden="1">
      <c r="A85" s="283"/>
      <c r="B85" s="449"/>
      <c r="C85" s="450"/>
      <c r="D85" s="305" t="str">
        <f ca="1">IF(ISERROR(OFFSET('HARGA SATUAN'!$D$6,MATCH(RAB!C85,'HARGA SATUAN'!$C$7:$C$1495,0),0)),"",OFFSET('HARGA SATUAN'!$D$6,MATCH(RAB!C85,'HARGA SATUAN'!$C$7:$C$1495,0),0))</f>
        <v/>
      </c>
      <c r="E85" s="306" t="str">
        <f ca="1">IF(B85="+","Unit",IF(ISERROR(OFFSET('HARGA SATUAN'!$E$6,MATCH(RAB!C85,'HARGA SATUAN'!$C$7:$C$1495,0),0)),"",OFFSET('HARGA SATUAN'!$E$6,MATCH(RAB!C85,'HARGA SATUAN'!$C$7:$C$1495,0),0)))</f>
        <v/>
      </c>
      <c r="F85" s="454"/>
      <c r="G85" s="307">
        <f ca="1">IF(ISERROR(OFFSET('HARGA SATUAN'!$I$6,MATCH(RAB!C85,'HARGA SATUAN'!$C$7:$C$1495,0),0)),0,OFFSET('HARGA SATUAN'!$I$6,MATCH(RAB!C85,'HARGA SATUAN'!$C$7:$C$1495,0),0))</f>
        <v>0</v>
      </c>
      <c r="H85" s="308">
        <f t="shared" ca="1" si="18"/>
        <v>0</v>
      </c>
      <c r="I85" s="308">
        <f t="shared" ca="1" si="19"/>
        <v>0</v>
      </c>
      <c r="J85" s="308">
        <f t="shared" ca="1" si="20"/>
        <v>0</v>
      </c>
      <c r="K85" s="309">
        <f t="shared" ca="1" si="21"/>
        <v>0</v>
      </c>
      <c r="L85" s="316"/>
      <c r="M85" s="289" t="str">
        <f t="shared" ca="1" si="22"/>
        <v/>
      </c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 hidden="1">
      <c r="A86" s="283"/>
      <c r="B86" s="449"/>
      <c r="C86" s="450"/>
      <c r="D86" s="305" t="str">
        <f ca="1">IF(ISERROR(OFFSET('HARGA SATUAN'!$D$6,MATCH(RAB!C86,'HARGA SATUAN'!$C$7:$C$1495,0),0)),"",OFFSET('HARGA SATUAN'!$D$6,MATCH(RAB!C86,'HARGA SATUAN'!$C$7:$C$1495,0),0))</f>
        <v/>
      </c>
      <c r="E86" s="306" t="str">
        <f ca="1">IF(B86="+","Unit",IF(ISERROR(OFFSET('HARGA SATUAN'!$E$6,MATCH(RAB!C86,'HARGA SATUAN'!$C$7:$C$1495,0),0)),"",OFFSET('HARGA SATUAN'!$E$6,MATCH(RAB!C86,'HARGA SATUAN'!$C$7:$C$1495,0),0)))</f>
        <v/>
      </c>
      <c r="F86" s="454"/>
      <c r="G86" s="307">
        <f ca="1">IF(ISERROR(OFFSET('HARGA SATUAN'!$I$6,MATCH(RAB!C86,'HARGA SATUAN'!$C$7:$C$1495,0),0)),0,OFFSET('HARGA SATUAN'!$I$6,MATCH(RAB!C86,'HARGA SATUAN'!$C$7:$C$1495,0),0))</f>
        <v>0</v>
      </c>
      <c r="H86" s="308">
        <f t="shared" ca="1" si="18"/>
        <v>0</v>
      </c>
      <c r="I86" s="308">
        <f t="shared" ca="1" si="19"/>
        <v>0</v>
      </c>
      <c r="J86" s="308">
        <f t="shared" ca="1" si="20"/>
        <v>0</v>
      </c>
      <c r="K86" s="309">
        <f t="shared" ca="1" si="21"/>
        <v>0</v>
      </c>
      <c r="L86" s="316"/>
      <c r="M86" s="289" t="str">
        <f t="shared" ca="1" si="22"/>
        <v/>
      </c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 hidden="1">
      <c r="A87" s="283"/>
      <c r="B87" s="449"/>
      <c r="C87" s="450"/>
      <c r="D87" s="305" t="str">
        <f ca="1">IF(ISERROR(OFFSET('HARGA SATUAN'!$D$6,MATCH(RAB!C87,'HARGA SATUAN'!$C$7:$C$1495,0),0)),"",OFFSET('HARGA SATUAN'!$D$6,MATCH(RAB!C87,'HARGA SATUAN'!$C$7:$C$1495,0),0))</f>
        <v/>
      </c>
      <c r="E87" s="306" t="str">
        <f ca="1">IF(B87="+","Unit",IF(ISERROR(OFFSET('HARGA SATUAN'!$E$6,MATCH(RAB!C87,'HARGA SATUAN'!$C$7:$C$1495,0),0)),"",OFFSET('HARGA SATUAN'!$E$6,MATCH(RAB!C87,'HARGA SATUAN'!$C$7:$C$1495,0),0)))</f>
        <v/>
      </c>
      <c r="F87" s="454"/>
      <c r="G87" s="307">
        <f ca="1">IF(ISERROR(OFFSET('HARGA SATUAN'!$I$6,MATCH(RAB!C87,'HARGA SATUAN'!$C$7:$C$1495,0),0)),0,OFFSET('HARGA SATUAN'!$I$6,MATCH(RAB!C87,'HARGA SATUAN'!$C$7:$C$1495,0),0))</f>
        <v>0</v>
      </c>
      <c r="H87" s="308">
        <f t="shared" ca="1" si="18"/>
        <v>0</v>
      </c>
      <c r="I87" s="308">
        <f t="shared" ca="1" si="19"/>
        <v>0</v>
      </c>
      <c r="J87" s="308">
        <f t="shared" ca="1" si="20"/>
        <v>0</v>
      </c>
      <c r="K87" s="309">
        <f t="shared" ca="1" si="21"/>
        <v>0</v>
      </c>
      <c r="L87" s="316"/>
      <c r="M87" s="289" t="str">
        <f t="shared" ca="1" si="22"/>
        <v/>
      </c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 hidden="1">
      <c r="A88" s="283"/>
      <c r="B88" s="449"/>
      <c r="C88" s="450"/>
      <c r="D88" s="305" t="str">
        <f ca="1">IF(ISERROR(OFFSET('HARGA SATUAN'!$D$6,MATCH(RAB!C88,'HARGA SATUAN'!$C$7:$C$1495,0),0)),"",OFFSET('HARGA SATUAN'!$D$6,MATCH(RAB!C88,'HARGA SATUAN'!$C$7:$C$1495,0),0))</f>
        <v/>
      </c>
      <c r="E88" s="306" t="str">
        <f ca="1">IF(B88="+","Unit",IF(ISERROR(OFFSET('HARGA SATUAN'!$E$6,MATCH(RAB!C88,'HARGA SATUAN'!$C$7:$C$1495,0),0)),"",OFFSET('HARGA SATUAN'!$E$6,MATCH(RAB!C88,'HARGA SATUAN'!$C$7:$C$1495,0),0)))</f>
        <v/>
      </c>
      <c r="F88" s="454"/>
      <c r="G88" s="307">
        <f ca="1">IF(ISERROR(OFFSET('HARGA SATUAN'!$I$6,MATCH(RAB!C88,'HARGA SATUAN'!$C$7:$C$1495,0),0)),0,OFFSET('HARGA SATUAN'!$I$6,MATCH(RAB!C88,'HARGA SATUAN'!$C$7:$C$1495,0),0))</f>
        <v>0</v>
      </c>
      <c r="H88" s="308">
        <f t="shared" ca="1" si="18"/>
        <v>0</v>
      </c>
      <c r="I88" s="308">
        <f t="shared" ca="1" si="19"/>
        <v>0</v>
      </c>
      <c r="J88" s="308">
        <f t="shared" ca="1" si="20"/>
        <v>0</v>
      </c>
      <c r="K88" s="309">
        <f t="shared" ca="1" si="21"/>
        <v>0</v>
      </c>
      <c r="L88" s="316"/>
      <c r="M88" s="289" t="str">
        <f t="shared" ca="1" si="22"/>
        <v/>
      </c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 hidden="1">
      <c r="A89" s="283"/>
      <c r="B89" s="449"/>
      <c r="C89" s="450"/>
      <c r="D89" s="305" t="str">
        <f ca="1">IF(ISERROR(OFFSET('HARGA SATUAN'!$D$6,MATCH(RAB!C89,'HARGA SATUAN'!$C$7:$C$1495,0),0)),"",OFFSET('HARGA SATUAN'!$D$6,MATCH(RAB!C89,'HARGA SATUAN'!$C$7:$C$1495,0),0))</f>
        <v/>
      </c>
      <c r="E89" s="306" t="str">
        <f ca="1">IF(B89="+","Unit",IF(ISERROR(OFFSET('HARGA SATUAN'!$E$6,MATCH(RAB!C89,'HARGA SATUAN'!$C$7:$C$1495,0),0)),"",OFFSET('HARGA SATUAN'!$E$6,MATCH(RAB!C89,'HARGA SATUAN'!$C$7:$C$1495,0),0)))</f>
        <v/>
      </c>
      <c r="F89" s="454"/>
      <c r="G89" s="307">
        <f ca="1">IF(ISERROR(OFFSET('HARGA SATUAN'!$I$6,MATCH(RAB!C89,'HARGA SATUAN'!$C$7:$C$1495,0),0)),0,OFFSET('HARGA SATUAN'!$I$6,MATCH(RAB!C89,'HARGA SATUAN'!$C$7:$C$1495,0),0))</f>
        <v>0</v>
      </c>
      <c r="H89" s="308">
        <f t="shared" ca="1" si="18"/>
        <v>0</v>
      </c>
      <c r="I89" s="308">
        <f t="shared" ca="1" si="19"/>
        <v>0</v>
      </c>
      <c r="J89" s="308">
        <f t="shared" ca="1" si="20"/>
        <v>0</v>
      </c>
      <c r="K89" s="309">
        <f t="shared" ca="1" si="21"/>
        <v>0</v>
      </c>
      <c r="L89" s="316"/>
      <c r="M89" s="289" t="str">
        <f t="shared" ca="1" si="22"/>
        <v/>
      </c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 hidden="1">
      <c r="A90" s="283"/>
      <c r="B90" s="449"/>
      <c r="C90" s="450"/>
      <c r="D90" s="305" t="str">
        <f ca="1">IF(ISERROR(OFFSET('HARGA SATUAN'!$D$6,MATCH(RAB!C90,'HARGA SATUAN'!$C$7:$C$1495,0),0)),"",OFFSET('HARGA SATUAN'!$D$6,MATCH(RAB!C90,'HARGA SATUAN'!$C$7:$C$1495,0),0))</f>
        <v/>
      </c>
      <c r="E90" s="306" t="str">
        <f ca="1">IF(B90="+","Unit",IF(ISERROR(OFFSET('HARGA SATUAN'!$E$6,MATCH(RAB!C90,'HARGA SATUAN'!$C$7:$C$1495,0),0)),"",OFFSET('HARGA SATUAN'!$E$6,MATCH(RAB!C90,'HARGA SATUAN'!$C$7:$C$1495,0),0)))</f>
        <v/>
      </c>
      <c r="F90" s="454"/>
      <c r="G90" s="307">
        <f ca="1">IF(ISERROR(OFFSET('HARGA SATUAN'!$I$6,MATCH(RAB!C90,'HARGA SATUAN'!$C$7:$C$1495,0),0)),0,OFFSET('HARGA SATUAN'!$I$6,MATCH(RAB!C90,'HARGA SATUAN'!$C$7:$C$1495,0),0))</f>
        <v>0</v>
      </c>
      <c r="H90" s="308">
        <f t="shared" ca="1" si="18"/>
        <v>0</v>
      </c>
      <c r="I90" s="308">
        <f t="shared" ca="1" si="19"/>
        <v>0</v>
      </c>
      <c r="J90" s="308">
        <f t="shared" ca="1" si="20"/>
        <v>0</v>
      </c>
      <c r="K90" s="309">
        <f t="shared" ca="1" si="21"/>
        <v>0</v>
      </c>
      <c r="L90" s="316"/>
      <c r="M90" s="289" t="str">
        <f t="shared" ca="1" si="22"/>
        <v/>
      </c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 hidden="1">
      <c r="A91" s="283"/>
      <c r="B91" s="449"/>
      <c r="C91" s="450"/>
      <c r="D91" s="305" t="str">
        <f ca="1">IF(ISERROR(OFFSET('HARGA SATUAN'!$D$6,MATCH(RAB!C91,'HARGA SATUAN'!$C$7:$C$1495,0),0)),"",OFFSET('HARGA SATUAN'!$D$6,MATCH(RAB!C91,'HARGA SATUAN'!$C$7:$C$1495,0),0))</f>
        <v/>
      </c>
      <c r="E91" s="306" t="str">
        <f ca="1">IF(B91="+","Unit",IF(ISERROR(OFFSET('HARGA SATUAN'!$E$6,MATCH(RAB!C91,'HARGA SATUAN'!$C$7:$C$1495,0),0)),"",OFFSET('HARGA SATUAN'!$E$6,MATCH(RAB!C91,'HARGA SATUAN'!$C$7:$C$1495,0),0)))</f>
        <v/>
      </c>
      <c r="F91" s="454"/>
      <c r="G91" s="307">
        <f ca="1">IF(ISERROR(OFFSET('HARGA SATUAN'!$I$6,MATCH(RAB!C91,'HARGA SATUAN'!$C$7:$C$1495,0),0)),0,OFFSET('HARGA SATUAN'!$I$6,MATCH(RAB!C91,'HARGA SATUAN'!$C$7:$C$1495,0),0))</f>
        <v>0</v>
      </c>
      <c r="H91" s="308">
        <f t="shared" ca="1" si="18"/>
        <v>0</v>
      </c>
      <c r="I91" s="308">
        <f t="shared" ca="1" si="19"/>
        <v>0</v>
      </c>
      <c r="J91" s="308">
        <f t="shared" ca="1" si="20"/>
        <v>0</v>
      </c>
      <c r="K91" s="309">
        <f t="shared" ca="1" si="21"/>
        <v>0</v>
      </c>
      <c r="L91" s="316"/>
      <c r="M91" s="289" t="str">
        <f t="shared" ca="1" si="22"/>
        <v/>
      </c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 hidden="1">
      <c r="A92" s="283"/>
      <c r="B92" s="449"/>
      <c r="C92" s="450"/>
      <c r="D92" s="305" t="str">
        <f ca="1">IF(ISERROR(OFFSET('HARGA SATUAN'!$D$6,MATCH(RAB!C92,'HARGA SATUAN'!$C$7:$C$1495,0),0)),"",OFFSET('HARGA SATUAN'!$D$6,MATCH(RAB!C92,'HARGA SATUAN'!$C$7:$C$1495,0),0))</f>
        <v/>
      </c>
      <c r="E92" s="306" t="str">
        <f ca="1">IF(B92="+","Unit",IF(ISERROR(OFFSET('HARGA SATUAN'!$E$6,MATCH(RAB!C92,'HARGA SATUAN'!$C$7:$C$1495,0),0)),"",OFFSET('HARGA SATUAN'!$E$6,MATCH(RAB!C92,'HARGA SATUAN'!$C$7:$C$1495,0),0)))</f>
        <v/>
      </c>
      <c r="F92" s="454"/>
      <c r="G92" s="307">
        <f ca="1">IF(ISERROR(OFFSET('HARGA SATUAN'!$I$6,MATCH(RAB!C92,'HARGA SATUAN'!$C$7:$C$1495,0),0)),0,OFFSET('HARGA SATUAN'!$I$6,MATCH(RAB!C92,'HARGA SATUAN'!$C$7:$C$1495,0),0))</f>
        <v>0</v>
      </c>
      <c r="H92" s="308">
        <f t="shared" ca="1" si="18"/>
        <v>0</v>
      </c>
      <c r="I92" s="308">
        <f t="shared" ca="1" si="19"/>
        <v>0</v>
      </c>
      <c r="J92" s="308">
        <f t="shared" ca="1" si="20"/>
        <v>0</v>
      </c>
      <c r="K92" s="309">
        <f t="shared" ca="1" si="21"/>
        <v>0</v>
      </c>
      <c r="L92" s="316"/>
      <c r="M92" s="289" t="str">
        <f t="shared" ca="1" si="22"/>
        <v/>
      </c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 hidden="1">
      <c r="A93" s="283"/>
      <c r="B93" s="449"/>
      <c r="C93" s="450"/>
      <c r="D93" s="305" t="str">
        <f ca="1">IF(ISERROR(OFFSET('HARGA SATUAN'!$D$6,MATCH(RAB!C93,'HARGA SATUAN'!$C$7:$C$1495,0),0)),"",OFFSET('HARGA SATUAN'!$D$6,MATCH(RAB!C93,'HARGA SATUAN'!$C$7:$C$1495,0),0))</f>
        <v/>
      </c>
      <c r="E93" s="306" t="str">
        <f ca="1">IF(B93="+","Unit",IF(ISERROR(OFFSET('HARGA SATUAN'!$E$6,MATCH(RAB!C93,'HARGA SATUAN'!$C$7:$C$1495,0),0)),"",OFFSET('HARGA SATUAN'!$E$6,MATCH(RAB!C93,'HARGA SATUAN'!$C$7:$C$1495,0),0)))</f>
        <v/>
      </c>
      <c r="F93" s="454"/>
      <c r="G93" s="307">
        <f ca="1">IF(ISERROR(OFFSET('HARGA SATUAN'!$I$6,MATCH(RAB!C93,'HARGA SATUAN'!$C$7:$C$1495,0),0)),0,OFFSET('HARGA SATUAN'!$I$6,MATCH(RAB!C93,'HARGA SATUAN'!$C$7:$C$1495,0),0))</f>
        <v>0</v>
      </c>
      <c r="H93" s="308">
        <f t="shared" ca="1" si="18"/>
        <v>0</v>
      </c>
      <c r="I93" s="308">
        <f t="shared" ca="1" si="19"/>
        <v>0</v>
      </c>
      <c r="J93" s="308">
        <f t="shared" ca="1" si="20"/>
        <v>0</v>
      </c>
      <c r="K93" s="309">
        <f t="shared" ca="1" si="21"/>
        <v>0</v>
      </c>
      <c r="L93" s="316"/>
      <c r="M93" s="289" t="str">
        <f t="shared" ca="1" si="22"/>
        <v/>
      </c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>
      <c r="A94" s="283"/>
      <c r="B94" s="418" t="s">
        <v>1602</v>
      </c>
      <c r="C94" s="421" t="s">
        <v>1604</v>
      </c>
      <c r="D94" s="305" t="str">
        <f ca="1">IF(ISERROR(OFFSET('HARGA SATUAN'!$D$6,MATCH(RAB!C94,'HARGA SATUAN'!$C$7:$C$1495,0),0)),"",OFFSET('HARGA SATUAN'!$D$6,MATCH(RAB!C94,'HARGA SATUAN'!$C$7:$C$1495,0),0))</f>
        <v/>
      </c>
      <c r="E94" s="306" t="str">
        <f ca="1">IF(B94="+","Unit",IF(ISERROR(OFFSET('HARGA SATUAN'!$E$6,MATCH(RAB!C94,'HARGA SATUAN'!$C$7:$C$1495,0),0)),"",OFFSET('HARGA SATUAN'!$E$6,MATCH(RAB!C94,'HARGA SATUAN'!$C$7:$C$1495,0),0)))</f>
        <v/>
      </c>
      <c r="F94" s="455"/>
      <c r="G94" s="307">
        <f ca="1">IF(ISERROR(OFFSET('HARGA SATUAN'!$I$6,MATCH(RAB!C94,'HARGA SATUAN'!$C$7:$C$1495,0),0)),0,OFFSET('HARGA SATUAN'!$I$6,MATCH(RAB!C94,'HARGA SATUAN'!$C$7:$C$1495,0),0))</f>
        <v>0</v>
      </c>
      <c r="H94" s="308">
        <f t="shared" ref="H94:H95" ca="1" si="23">IF(OR(D94="MDU",D94="MDU-KD"),(IF($O$3="RAB NON MDU","PLN KD",G94*F94)),0)</f>
        <v>0</v>
      </c>
      <c r="I94" s="308">
        <f t="shared" ref="I94:I95" ca="1" si="24">IF(D94="HDW",G94*F94,0)</f>
        <v>0</v>
      </c>
      <c r="J94" s="308">
        <f t="shared" ref="J94:J95" ca="1" si="25">IF(D94="JASA",G94*F94,0)</f>
        <v>0</v>
      </c>
      <c r="K94" s="309">
        <f t="shared" ref="K94:K95" ca="1" si="26">SUM(H94:J94)</f>
        <v>0</v>
      </c>
      <c r="L94" s="316"/>
      <c r="M94" s="289" t="str">
        <f t="shared" ca="1" si="22"/>
        <v/>
      </c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>
      <c r="A95" s="283"/>
      <c r="B95" s="318">
        <v>1</v>
      </c>
      <c r="C95" s="109" t="s">
        <v>1457</v>
      </c>
      <c r="D95" s="305" t="str">
        <f ca="1">IF(ISERROR(OFFSET('HARGA SATUAN'!$D$6,MATCH(RAB!C95,'HARGA SATUAN'!$C$7:$C$1495,0),0)),"",OFFSET('HARGA SATUAN'!$D$6,MATCH(RAB!C95,'HARGA SATUAN'!$C$7:$C$1495,0),0))</f>
        <v>MDU-KD</v>
      </c>
      <c r="E95" s="306" t="str">
        <f ca="1">IF(B95="+","Unit",IF(ISERROR(OFFSET('HARGA SATUAN'!$E$6,MATCH(RAB!C95,'HARGA SATUAN'!$C$7:$C$1495,0),0)),"",OFFSET('HARGA SATUAN'!$E$6,MATCH(RAB!C95,'HARGA SATUAN'!$C$7:$C$1495,0),0)))</f>
        <v>Mtr</v>
      </c>
      <c r="F95" s="419">
        <v>60</v>
      </c>
      <c r="G95" s="307">
        <f ca="1">IF(ISERROR(OFFSET('HARGA SATUAN'!$I$6,MATCH(RAB!C95,'HARGA SATUAN'!$C$7:$C$1495,0),0)),0,OFFSET('HARGA SATUAN'!$I$6,MATCH(RAB!C95,'HARGA SATUAN'!$C$7:$C$1495,0),0))</f>
        <v>54500</v>
      </c>
      <c r="H95" s="308">
        <f t="shared" ca="1" si="23"/>
        <v>3270000</v>
      </c>
      <c r="I95" s="308">
        <f t="shared" ca="1" si="24"/>
        <v>0</v>
      </c>
      <c r="J95" s="308">
        <f t="shared" ca="1" si="25"/>
        <v>0</v>
      </c>
      <c r="K95" s="309">
        <f t="shared" ca="1" si="26"/>
        <v>3270000</v>
      </c>
      <c r="L95" s="316"/>
      <c r="M95" s="289" t="str">
        <f t="shared" si="22"/>
        <v/>
      </c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>
      <c r="A96" s="283"/>
      <c r="B96" s="318">
        <v>2</v>
      </c>
      <c r="C96" s="109" t="s">
        <v>346</v>
      </c>
      <c r="D96" s="305" t="str">
        <f ca="1">IF(ISERROR(OFFSET('HARGA SATUAN'!$D$6,MATCH(RAB!C96,'HARGA SATUAN'!$C$7:$C$1495,0),0)),"",OFFSET('HARGA SATUAN'!$D$6,MATCH(RAB!C96,'HARGA SATUAN'!$C$7:$C$1495,0),0))</f>
        <v>JASA</v>
      </c>
      <c r="E96" s="306" t="str">
        <f ca="1">IF(B96="+","Unit",IF(ISERROR(OFFSET('HARGA SATUAN'!$E$6,MATCH(RAB!C96,'HARGA SATUAN'!$C$7:$C$1495,0),0)),"",OFFSET('HARGA SATUAN'!$E$6,MATCH(RAB!C96,'HARGA SATUAN'!$C$7:$C$1495,0),0)))</f>
        <v>Per 50 m</v>
      </c>
      <c r="F96" s="419">
        <v>1.2</v>
      </c>
      <c r="G96" s="307">
        <f ca="1">IF(ISERROR(OFFSET('HARGA SATUAN'!$I$6,MATCH(RAB!C96,'HARGA SATUAN'!$C$7:$C$1495,0),0)),0,OFFSET('HARGA SATUAN'!$I$6,MATCH(RAB!C96,'HARGA SATUAN'!$C$7:$C$1495,0),0))</f>
        <v>223500</v>
      </c>
      <c r="H96" s="308">
        <f t="shared" ref="H96" ca="1" si="27">IF(OR(D96="MDU",D96="MDU-KD"),(IF($O$3="RAB NON MDU","PLN KD",G96*F96)),0)</f>
        <v>0</v>
      </c>
      <c r="I96" s="308">
        <f t="shared" ref="I96" ca="1" si="28">IF(D96="HDW",G96*F96,0)</f>
        <v>0</v>
      </c>
      <c r="J96" s="308">
        <f t="shared" ref="J96" ca="1" si="29">IF(D96="JASA",G96*F96,0)</f>
        <v>268200</v>
      </c>
      <c r="K96" s="309">
        <f t="shared" ref="K96" ca="1" si="30">SUM(H96:J96)</f>
        <v>268200</v>
      </c>
      <c r="L96" s="316"/>
      <c r="M96" s="289" t="str">
        <f t="shared" ca="1" si="22"/>
        <v/>
      </c>
      <c r="N96" s="316"/>
      <c r="O96" s="310"/>
      <c r="P96" s="310"/>
      <c r="Q96" s="291"/>
      <c r="R96" s="283"/>
      <c r="S96" s="311"/>
      <c r="T96" s="288"/>
      <c r="U96" s="288"/>
      <c r="V96" s="288"/>
    </row>
    <row r="97" spans="1:22" s="317" customFormat="1">
      <c r="A97" s="283"/>
      <c r="B97" s="318"/>
      <c r="C97" s="319"/>
      <c r="D97" s="305" t="str">
        <f ca="1">IF(ISERROR(OFFSET('HARGA SATUAN'!$D$6,MATCH(RAB!C97,'HARGA SATUAN'!$C$7:$C$1495,0),0)),"",OFFSET('HARGA SATUAN'!$D$6,MATCH(RAB!C97,'HARGA SATUAN'!$C$7:$C$1495,0),0))</f>
        <v/>
      </c>
      <c r="E97" s="306" t="str">
        <f ca="1">IF(B97="+","Unit",IF(ISERROR(OFFSET('HARGA SATUAN'!$E$6,MATCH(RAB!C97,'HARGA SATUAN'!$C$7:$C$1495,0),0)),"",OFFSET('HARGA SATUAN'!$E$6,MATCH(RAB!C97,'HARGA SATUAN'!$C$7:$C$1495,0),0)))</f>
        <v/>
      </c>
      <c r="F97" s="419"/>
      <c r="G97" s="307">
        <f ca="1">IF(ISERROR(OFFSET('HARGA SATUAN'!$I$6,MATCH(RAB!C97,'HARGA SATUAN'!$C$7:$C$1495,0),0)),0,OFFSET('HARGA SATUAN'!$I$6,MATCH(RAB!C97,'HARGA SATUAN'!$C$7:$C$1495,0),0))</f>
        <v>0</v>
      </c>
      <c r="H97" s="308">
        <f t="shared" ref="H97:H114" ca="1" si="31">IF(OR(D97="MDU",D97="MDU-KD"),(IF($O$3="RAB NON MDU","PLN KD",G97*F97)),0)</f>
        <v>0</v>
      </c>
      <c r="I97" s="308">
        <f t="shared" ref="I97:I114" ca="1" si="32">IF(D97="HDW",G97*F97,0)</f>
        <v>0</v>
      </c>
      <c r="J97" s="308">
        <f t="shared" ref="J97:J114" ca="1" si="33">IF(D97="JASA",G97*F97,0)</f>
        <v>0</v>
      </c>
      <c r="K97" s="309">
        <f t="shared" ref="K97:K114" ca="1" si="34">SUM(H97:J97)</f>
        <v>0</v>
      </c>
      <c r="L97" s="316"/>
      <c r="M97" s="289" t="e">
        <f>IF(AND(F97&gt;0,#REF!=0),"",IF(AND(ISBLANK(F97)=FALSE,K97=0),"WARNING",""))</f>
        <v>#REF!</v>
      </c>
      <c r="N97" s="316"/>
      <c r="O97" s="310"/>
      <c r="P97" s="310"/>
      <c r="Q97" s="291"/>
      <c r="R97" s="283"/>
      <c r="S97" s="311"/>
      <c r="T97" s="288"/>
      <c r="U97" s="288"/>
      <c r="V97" s="288"/>
    </row>
    <row r="98" spans="1:22" s="317" customFormat="1">
      <c r="A98" s="283"/>
      <c r="B98" s="418" t="s">
        <v>1610</v>
      </c>
      <c r="C98" s="421" t="s">
        <v>1606</v>
      </c>
      <c r="D98" s="305" t="str">
        <f ca="1">IF(ISERROR(OFFSET('HARGA SATUAN'!$D$6,MATCH(RAB!C98,'HARGA SATUAN'!$C$7:$C$1495,0),0)),"",OFFSET('HARGA SATUAN'!$D$6,MATCH(RAB!C98,'HARGA SATUAN'!$C$7:$C$1495,0),0))</f>
        <v/>
      </c>
      <c r="E98" s="306" t="str">
        <f ca="1">IF(B98="+","Unit",IF(ISERROR(OFFSET('HARGA SATUAN'!$E$6,MATCH(RAB!C98,'HARGA SATUAN'!$C$7:$C$1495,0),0)),"",OFFSET('HARGA SATUAN'!$E$6,MATCH(RAB!C98,'HARGA SATUAN'!$C$7:$C$1495,0),0)))</f>
        <v/>
      </c>
      <c r="F98" s="456"/>
      <c r="G98" s="307">
        <f ca="1">IF(ISERROR(OFFSET('HARGA SATUAN'!$I$6,MATCH(RAB!C98,'HARGA SATUAN'!$C$7:$C$1495,0),0)),0,OFFSET('HARGA SATUAN'!$I$6,MATCH(RAB!C98,'HARGA SATUAN'!$C$7:$C$1495,0),0))</f>
        <v>0</v>
      </c>
      <c r="H98" s="308">
        <f t="shared" ref="H98:H113" ca="1" si="35">IF(OR(D98="MDU",D98="MDU-KD"),(IF($O$3="RAB NON MDU","PLN KD",G98*F98)),0)</f>
        <v>0</v>
      </c>
      <c r="I98" s="308">
        <f t="shared" ref="I98:I113" ca="1" si="36">IF(D98="HDW",G98*F98,0)</f>
        <v>0</v>
      </c>
      <c r="J98" s="308">
        <f t="shared" ref="J98:J113" ca="1" si="37">IF(D98="JASA",G98*F98,0)</f>
        <v>0</v>
      </c>
      <c r="K98" s="309">
        <f t="shared" ref="K98:K113" ca="1" si="38">SUM(H98:J98)</f>
        <v>0</v>
      </c>
      <c r="L98" s="316"/>
      <c r="M98" s="289" t="str">
        <f t="shared" ca="1" si="22"/>
        <v/>
      </c>
      <c r="N98" s="316"/>
      <c r="O98" s="310"/>
      <c r="P98" s="310"/>
      <c r="Q98" s="291"/>
      <c r="R98" s="283"/>
      <c r="S98" s="311"/>
      <c r="T98" s="288"/>
      <c r="U98" s="288"/>
      <c r="V98" s="288"/>
    </row>
    <row r="99" spans="1:22" s="317" customFormat="1">
      <c r="A99" s="283"/>
      <c r="B99" s="465" t="s">
        <v>1035</v>
      </c>
      <c r="C99" s="466" t="s">
        <v>1646</v>
      </c>
      <c r="D99" s="305" t="str">
        <f ca="1">IF(ISERROR(OFFSET('HARGA SATUAN'!$D$6,MATCH(RAB!C99,'HARGA SATUAN'!$C$7:$C$1495,0),0)),"",OFFSET('HARGA SATUAN'!$D$6,MATCH(RAB!C99,'HARGA SATUAN'!$C$7:$C$1495,0),0))</f>
        <v/>
      </c>
      <c r="E99" s="306" t="str">
        <f ca="1">IF(B99="+","Unit",IF(ISERROR(OFFSET('HARGA SATUAN'!$E$6,MATCH(RAB!C99,'HARGA SATUAN'!$C$7:$C$1495,0),0)),"",OFFSET('HARGA SATUAN'!$E$6,MATCH(RAB!C99,'HARGA SATUAN'!$C$7:$C$1495,0),0)))</f>
        <v>Unit</v>
      </c>
      <c r="F99" s="726">
        <v>1</v>
      </c>
      <c r="G99" s="307">
        <f ca="1">IF(ISERROR(OFFSET('HARGA SATUAN'!$I$6,MATCH(RAB!C99,'HARGA SATUAN'!$C$7:$C$1495,0),0)),0,OFFSET('HARGA SATUAN'!$I$6,MATCH(RAB!C99,'HARGA SATUAN'!$C$7:$C$1495,0),0))</f>
        <v>0</v>
      </c>
      <c r="H99" s="308">
        <f t="shared" ca="1" si="35"/>
        <v>0</v>
      </c>
      <c r="I99" s="308">
        <f t="shared" ca="1" si="36"/>
        <v>0</v>
      </c>
      <c r="J99" s="308">
        <f t="shared" ca="1" si="37"/>
        <v>0</v>
      </c>
      <c r="K99" s="309">
        <f t="shared" ca="1" si="38"/>
        <v>0</v>
      </c>
      <c r="L99" s="316"/>
      <c r="M99" s="289"/>
      <c r="N99" s="316"/>
      <c r="O99" s="310"/>
      <c r="P99" s="310"/>
      <c r="Q99" s="291"/>
      <c r="R99" s="283"/>
      <c r="S99" s="311"/>
      <c r="T99" s="288"/>
      <c r="U99" s="288"/>
      <c r="V99" s="288"/>
    </row>
    <row r="100" spans="1:22" s="317" customFormat="1" ht="30">
      <c r="A100" s="283"/>
      <c r="B100" s="723">
        <v>1</v>
      </c>
      <c r="C100" s="109" t="s">
        <v>1196</v>
      </c>
      <c r="D100" s="305" t="str">
        <f ca="1">IF(ISERROR(OFFSET('HARGA SATUAN'!$D$6,MATCH(RAB!C100,'HARGA SATUAN'!$C$7:$C$1495,0),0)),"",OFFSET('HARGA SATUAN'!$D$6,MATCH(RAB!C100,'HARGA SATUAN'!$C$7:$C$1495,0),0))</f>
        <v>MDU-KD</v>
      </c>
      <c r="E100" s="306" t="str">
        <f ca="1">IF(B100="+","Unit",IF(ISERROR(OFFSET('HARGA SATUAN'!$E$6,MATCH(RAB!C100,'HARGA SATUAN'!$C$7:$C$1495,0),0)),"",OFFSET('HARGA SATUAN'!$E$6,MATCH(RAB!C100,'HARGA SATUAN'!$C$7:$C$1495,0),0)))</f>
        <v>Bh</v>
      </c>
      <c r="F100" s="726">
        <f>F99*1</f>
        <v>1</v>
      </c>
      <c r="G100" s="307">
        <f ca="1">IF(ISERROR(OFFSET('HARGA SATUAN'!$I$6,MATCH(RAB!C100,'HARGA SATUAN'!$C$7:$C$1495,0),0)),0,OFFSET('HARGA SATUAN'!$I$6,MATCH(RAB!C100,'HARGA SATUAN'!$C$7:$C$1495,0),0))</f>
        <v>1427400</v>
      </c>
      <c r="H100" s="308">
        <f t="shared" ca="1" si="35"/>
        <v>1427400</v>
      </c>
      <c r="I100" s="308">
        <f t="shared" ca="1" si="36"/>
        <v>0</v>
      </c>
      <c r="J100" s="308">
        <f t="shared" ca="1" si="37"/>
        <v>0</v>
      </c>
      <c r="K100" s="309">
        <f t="shared" ca="1" si="38"/>
        <v>1427400</v>
      </c>
      <c r="L100" s="316"/>
      <c r="M100" s="289"/>
      <c r="N100" s="316"/>
      <c r="O100" s="310"/>
      <c r="P100" s="310"/>
      <c r="Q100" s="291"/>
      <c r="R100" s="283"/>
      <c r="S100" s="311"/>
      <c r="T100" s="288"/>
      <c r="U100" s="288"/>
      <c r="V100" s="288"/>
    </row>
    <row r="101" spans="1:22" s="317" customFormat="1">
      <c r="A101" s="283"/>
      <c r="B101" s="723">
        <v>2</v>
      </c>
      <c r="C101" s="725" t="s">
        <v>511</v>
      </c>
      <c r="D101" s="305" t="str">
        <f ca="1">IF(ISERROR(OFFSET('HARGA SATUAN'!$D$6,MATCH(RAB!C101,'HARGA SATUAN'!$C$7:$C$1495,0),0)),"",OFFSET('HARGA SATUAN'!$D$6,MATCH(RAB!C101,'HARGA SATUAN'!$C$7:$C$1495,0),0))</f>
        <v>MDU-KD</v>
      </c>
      <c r="E101" s="306" t="str">
        <f ca="1">IF(B101="+","Unit",IF(ISERROR(OFFSET('HARGA SATUAN'!$E$6,MATCH(RAB!C101,'HARGA SATUAN'!$C$7:$C$1495,0),0)),"",OFFSET('HARGA SATUAN'!$E$6,MATCH(RAB!C101,'HARGA SATUAN'!$C$7:$C$1495,0),0)))</f>
        <v>Unit</v>
      </c>
      <c r="F101" s="726">
        <f>F99*1</f>
        <v>1</v>
      </c>
      <c r="G101" s="307">
        <f ca="1">IF(ISERROR(OFFSET('HARGA SATUAN'!$I$6,MATCH(RAB!C101,'HARGA SATUAN'!$C$7:$C$1495,0),0)),0,OFFSET('HARGA SATUAN'!$I$6,MATCH(RAB!C101,'HARGA SATUAN'!$C$7:$C$1495,0),0))</f>
        <v>3564900</v>
      </c>
      <c r="H101" s="308">
        <f t="shared" ca="1" si="35"/>
        <v>3564900</v>
      </c>
      <c r="I101" s="308">
        <f t="shared" ca="1" si="36"/>
        <v>0</v>
      </c>
      <c r="J101" s="308">
        <f t="shared" ca="1" si="37"/>
        <v>0</v>
      </c>
      <c r="K101" s="309">
        <f t="shared" ca="1" si="38"/>
        <v>3564900</v>
      </c>
      <c r="L101" s="316"/>
      <c r="M101" s="289"/>
      <c r="N101" s="316"/>
      <c r="O101" s="310"/>
      <c r="P101" s="310"/>
      <c r="Q101" s="291"/>
      <c r="R101" s="283"/>
      <c r="S101" s="311"/>
      <c r="T101" s="288"/>
      <c r="U101" s="288"/>
      <c r="V101" s="288"/>
    </row>
    <row r="102" spans="1:22" s="317" customFormat="1">
      <c r="A102" s="283"/>
      <c r="B102" s="723">
        <v>3</v>
      </c>
      <c r="C102" s="109" t="s">
        <v>1402</v>
      </c>
      <c r="D102" s="305" t="str">
        <f ca="1">IF(ISERROR(OFFSET('HARGA SATUAN'!$D$6,MATCH(RAB!C102,'HARGA SATUAN'!$C$7:$C$1495,0),0)),"",OFFSET('HARGA SATUAN'!$D$6,MATCH(RAB!C102,'HARGA SATUAN'!$C$7:$C$1495,0),0))</f>
        <v>MDU-KD</v>
      </c>
      <c r="E102" s="306" t="str">
        <f ca="1">IF(B102="+","Unit",IF(ISERROR(OFFSET('HARGA SATUAN'!$E$6,MATCH(RAB!C102,'HARGA SATUAN'!$C$7:$C$1495,0),0)),"",OFFSET('HARGA SATUAN'!$E$6,MATCH(RAB!C102,'HARGA SATUAN'!$C$7:$C$1495,0),0)))</f>
        <v>Mtr</v>
      </c>
      <c r="F102" s="726">
        <v>50</v>
      </c>
      <c r="G102" s="307">
        <f ca="1">IF(ISERROR(OFFSET('HARGA SATUAN'!$I$6,MATCH(RAB!C102,'HARGA SATUAN'!$C$7:$C$1495,0),0)),0,OFFSET('HARGA SATUAN'!$I$6,MATCH(RAB!C102,'HARGA SATUAN'!$C$7:$C$1495,0),0))</f>
        <v>30400</v>
      </c>
      <c r="H102" s="308">
        <f t="shared" ca="1" si="35"/>
        <v>1520000</v>
      </c>
      <c r="I102" s="308">
        <f t="shared" ca="1" si="36"/>
        <v>0</v>
      </c>
      <c r="J102" s="308">
        <f t="shared" ca="1" si="37"/>
        <v>0</v>
      </c>
      <c r="K102" s="309">
        <f t="shared" ca="1" si="38"/>
        <v>1520000</v>
      </c>
      <c r="L102" s="316"/>
      <c r="M102" s="289"/>
      <c r="N102" s="316"/>
      <c r="O102" s="310"/>
      <c r="P102" s="310"/>
      <c r="Q102" s="291"/>
      <c r="R102" s="283"/>
      <c r="S102" s="311"/>
      <c r="T102" s="288"/>
      <c r="U102" s="288"/>
      <c r="V102" s="288"/>
    </row>
    <row r="103" spans="1:22" s="317" customFormat="1">
      <c r="A103" s="283"/>
      <c r="B103" s="723">
        <v>4</v>
      </c>
      <c r="C103" s="725" t="s">
        <v>799</v>
      </c>
      <c r="D103" s="305" t="str">
        <f ca="1">IF(ISERROR(OFFSET('HARGA SATUAN'!$D$6,MATCH(RAB!C103,'HARGA SATUAN'!$C$7:$C$1495,0),0)),"",OFFSET('HARGA SATUAN'!$D$6,MATCH(RAB!C103,'HARGA SATUAN'!$C$7:$C$1495,0),0))</f>
        <v>JASA</v>
      </c>
      <c r="E103" s="306" t="str">
        <f ca="1">IF(B103="+","Unit",IF(ISERROR(OFFSET('HARGA SATUAN'!$E$6,MATCH(RAB!C103,'HARGA SATUAN'!$C$7:$C$1495,0),0)),"",OFFSET('HARGA SATUAN'!$E$6,MATCH(RAB!C103,'HARGA SATUAN'!$C$7:$C$1495,0),0)))</f>
        <v>Unit</v>
      </c>
      <c r="F103" s="726">
        <f>F99*1</f>
        <v>1</v>
      </c>
      <c r="G103" s="307">
        <f ca="1">IF(ISERROR(OFFSET('HARGA SATUAN'!$I$6,MATCH(RAB!C103,'HARGA SATUAN'!$C$7:$C$1495,0),0)),0,OFFSET('HARGA SATUAN'!$I$6,MATCH(RAB!C103,'HARGA SATUAN'!$C$7:$C$1495,0),0))</f>
        <v>106400</v>
      </c>
      <c r="H103" s="308">
        <f t="shared" ca="1" si="35"/>
        <v>0</v>
      </c>
      <c r="I103" s="308">
        <f t="shared" ca="1" si="36"/>
        <v>0</v>
      </c>
      <c r="J103" s="308">
        <f t="shared" ca="1" si="37"/>
        <v>106400</v>
      </c>
      <c r="K103" s="309">
        <f t="shared" ca="1" si="38"/>
        <v>106400</v>
      </c>
      <c r="L103" s="316"/>
      <c r="M103" s="289"/>
      <c r="N103" s="316"/>
      <c r="O103" s="310"/>
      <c r="P103" s="310"/>
      <c r="Q103" s="291"/>
      <c r="R103" s="283"/>
      <c r="S103" s="311"/>
      <c r="T103" s="288"/>
      <c r="U103" s="288"/>
      <c r="V103" s="288"/>
    </row>
    <row r="104" spans="1:22" s="317" customFormat="1">
      <c r="A104" s="283"/>
      <c r="B104" s="461"/>
      <c r="C104" s="467"/>
      <c r="D104" s="305" t="str">
        <f ca="1">IF(ISERROR(OFFSET('HARGA SATUAN'!$D$6,MATCH(RAB!C104,'HARGA SATUAN'!$C$7:$C$1495,0),0)),"",OFFSET('HARGA SATUAN'!$D$6,MATCH(RAB!C104,'HARGA SATUAN'!$C$7:$C$1495,0),0))</f>
        <v/>
      </c>
      <c r="E104" s="306" t="str">
        <f ca="1">IF(B104="+","Unit",IF(ISERROR(OFFSET('HARGA SATUAN'!$E$6,MATCH(RAB!C104,'HARGA SATUAN'!$C$7:$C$1495,0),0)),"",OFFSET('HARGA SATUAN'!$E$6,MATCH(RAB!C104,'HARGA SATUAN'!$C$7:$C$1495,0),0)))</f>
        <v/>
      </c>
      <c r="F104" s="464"/>
      <c r="G104" s="307">
        <f ca="1">IF(ISERROR(OFFSET('HARGA SATUAN'!$I$6,MATCH(RAB!C104,'HARGA SATUAN'!$C$7:$C$1495,0),0)),0,OFFSET('HARGA SATUAN'!$I$6,MATCH(RAB!C104,'HARGA SATUAN'!$C$7:$C$1495,0),0))</f>
        <v>0</v>
      </c>
      <c r="H104" s="308">
        <f t="shared" ref="H104" ca="1" si="39">IF(OR(D104="MDU",D104="MDU-KD"),(IF($O$3="RAB NON MDU","PLN KD",G104*F104)),0)</f>
        <v>0</v>
      </c>
      <c r="I104" s="308">
        <f t="shared" ref="I104" ca="1" si="40">IF(D104="HDW",G104*F104,0)</f>
        <v>0</v>
      </c>
      <c r="J104" s="308">
        <f t="shared" ref="J104" ca="1" si="41">IF(D104="JASA",G104*F104,0)</f>
        <v>0</v>
      </c>
      <c r="K104" s="309">
        <f t="shared" ref="K104" ca="1" si="42">SUM(H104:J104)</f>
        <v>0</v>
      </c>
      <c r="L104" s="316"/>
      <c r="M104" s="289"/>
      <c r="N104" s="316"/>
      <c r="O104" s="310"/>
      <c r="P104" s="310"/>
      <c r="Q104" s="291"/>
      <c r="R104" s="283"/>
      <c r="S104" s="311"/>
      <c r="T104" s="288"/>
      <c r="U104" s="288"/>
      <c r="V104" s="288"/>
    </row>
    <row r="105" spans="1:22" s="317" customFormat="1">
      <c r="A105" s="283"/>
      <c r="B105" s="318"/>
      <c r="C105" s="319"/>
      <c r="D105" s="305" t="str">
        <f ca="1">IF(ISERROR(OFFSET('HARGA SATUAN'!$D$6,MATCH(RAB!C105,'HARGA SATUAN'!$C$7:$C$1495,0),0)),"",OFFSET('HARGA SATUAN'!$D$6,MATCH(RAB!C105,'HARGA SATUAN'!$C$7:$C$1495,0),0))</f>
        <v/>
      </c>
      <c r="E105" s="306" t="str">
        <f ca="1">IF(B105="+","Unit",IF(ISERROR(OFFSET('HARGA SATUAN'!$E$6,MATCH(RAB!C105,'HARGA SATUAN'!$C$7:$C$1495,0),0)),"",OFFSET('HARGA SATUAN'!$E$6,MATCH(RAB!C105,'HARGA SATUAN'!$C$7:$C$1495,0),0)))</f>
        <v/>
      </c>
      <c r="F105" s="453"/>
      <c r="G105" s="307">
        <f ca="1">IF(ISERROR(OFFSET('HARGA SATUAN'!$I$6,MATCH(RAB!C105,'HARGA SATUAN'!$C$7:$C$1495,0),0)),0,OFFSET('HARGA SATUAN'!$I$6,MATCH(RAB!C105,'HARGA SATUAN'!$C$7:$C$1495,0),0))</f>
        <v>0</v>
      </c>
      <c r="H105" s="308">
        <f t="shared" ca="1" si="35"/>
        <v>0</v>
      </c>
      <c r="I105" s="308">
        <f t="shared" ca="1" si="36"/>
        <v>0</v>
      </c>
      <c r="J105" s="308">
        <f t="shared" ca="1" si="37"/>
        <v>0</v>
      </c>
      <c r="K105" s="309">
        <f t="shared" ca="1" si="38"/>
        <v>0</v>
      </c>
      <c r="L105" s="316"/>
      <c r="M105" s="289" t="str">
        <f ca="1">IF(AND(F105&gt;0,F98=0),"",IF(AND(ISBLANK(F105)=FALSE,K105=0),"WARNING",""))</f>
        <v/>
      </c>
      <c r="N105" s="316"/>
      <c r="O105" s="310"/>
      <c r="P105" s="310"/>
      <c r="Q105" s="291"/>
      <c r="R105" s="283"/>
      <c r="S105" s="311"/>
      <c r="T105" s="288"/>
      <c r="U105" s="288"/>
      <c r="V105" s="288"/>
    </row>
    <row r="106" spans="1:22" s="317" customFormat="1">
      <c r="A106" s="283"/>
      <c r="B106" s="318" t="s">
        <v>1035</v>
      </c>
      <c r="C106" s="319" t="s">
        <v>1619</v>
      </c>
      <c r="D106" s="305" t="str">
        <f ca="1">IF(ISERROR(OFFSET('HARGA SATUAN'!$D$6,MATCH(RAB!C106,'HARGA SATUAN'!$C$7:$C$1495,0),0)),"",OFFSET('HARGA SATUAN'!$D$6,MATCH(RAB!C106,'HARGA SATUAN'!$C$7:$C$1495,0),0))</f>
        <v/>
      </c>
      <c r="E106" s="306" t="str">
        <f ca="1">IF(B106="+","Unit",IF(ISERROR(OFFSET('HARGA SATUAN'!$E$6,MATCH(RAB!C106,'HARGA SATUAN'!$C$7:$C$1495,0),0)),"",OFFSET('HARGA SATUAN'!$E$6,MATCH(RAB!C106,'HARGA SATUAN'!$C$7:$C$1495,0),0)))</f>
        <v>Unit</v>
      </c>
      <c r="F106" s="452">
        <v>1</v>
      </c>
      <c r="G106" s="307">
        <f ca="1">IF(ISERROR(OFFSET('HARGA SATUAN'!$I$6,MATCH(RAB!C106,'HARGA SATUAN'!$C$7:$C$1495,0),0)),0,OFFSET('HARGA SATUAN'!$I$6,MATCH(RAB!C106,'HARGA SATUAN'!$C$7:$C$1495,0),0))</f>
        <v>0</v>
      </c>
      <c r="H106" s="308">
        <f t="shared" ca="1" si="35"/>
        <v>0</v>
      </c>
      <c r="I106" s="308">
        <f t="shared" ca="1" si="36"/>
        <v>0</v>
      </c>
      <c r="J106" s="308">
        <f t="shared" ca="1" si="37"/>
        <v>0</v>
      </c>
      <c r="K106" s="309">
        <f t="shared" ca="1" si="38"/>
        <v>0</v>
      </c>
      <c r="L106" s="316"/>
      <c r="M106" s="289" t="str">
        <f t="shared" si="22"/>
        <v/>
      </c>
      <c r="N106" s="316"/>
      <c r="O106" s="310"/>
      <c r="P106" s="310"/>
      <c r="Q106" s="291"/>
      <c r="R106" s="283"/>
      <c r="S106" s="311"/>
      <c r="T106" s="288"/>
      <c r="U106" s="288"/>
      <c r="V106" s="288"/>
    </row>
    <row r="107" spans="1:22" s="317" customFormat="1">
      <c r="A107" s="283"/>
      <c r="B107" s="318">
        <v>1</v>
      </c>
      <c r="C107" s="319" t="s">
        <v>29</v>
      </c>
      <c r="D107" s="305" t="str">
        <f ca="1">IF(ISERROR(OFFSET('HARGA SATUAN'!$D$6,MATCH(RAB!C107,'HARGA SATUAN'!$C$7:$C$1495,0),0)),"",OFFSET('HARGA SATUAN'!$D$6,MATCH(RAB!C107,'HARGA SATUAN'!$C$7:$C$1495,0),0))</f>
        <v>HDW</v>
      </c>
      <c r="E107" s="306" t="str">
        <f ca="1">IF(B107="+","Unit",IF(ISERROR(OFFSET('HARGA SATUAN'!$E$6,MATCH(RAB!C107,'HARGA SATUAN'!$C$7:$C$1495,0),0)),"",OFFSET('HARGA SATUAN'!$E$6,MATCH(RAB!C107,'HARGA SATUAN'!$C$7:$C$1495,0),0)))</f>
        <v>Bh</v>
      </c>
      <c r="F107" s="452">
        <f>F106*1</f>
        <v>1</v>
      </c>
      <c r="G107" s="307">
        <f ca="1">IF(ISERROR(OFFSET('HARGA SATUAN'!$I$6,MATCH(RAB!C107,'HARGA SATUAN'!$C$7:$C$1495,0),0)),0,OFFSET('HARGA SATUAN'!$I$6,MATCH(RAB!C107,'HARGA SATUAN'!$C$7:$C$1495,0),0))</f>
        <v>185200</v>
      </c>
      <c r="H107" s="308">
        <f t="shared" ca="1" si="35"/>
        <v>0</v>
      </c>
      <c r="I107" s="308">
        <f t="shared" ca="1" si="36"/>
        <v>185200</v>
      </c>
      <c r="J107" s="308">
        <f t="shared" ca="1" si="37"/>
        <v>0</v>
      </c>
      <c r="K107" s="309">
        <f t="shared" ca="1" si="38"/>
        <v>185200</v>
      </c>
      <c r="L107" s="316"/>
      <c r="M107" s="289" t="str">
        <f t="shared" ca="1" si="22"/>
        <v/>
      </c>
      <c r="N107" s="316"/>
      <c r="O107" s="310"/>
      <c r="P107" s="310"/>
      <c r="Q107" s="291"/>
      <c r="R107" s="283"/>
      <c r="S107" s="311"/>
      <c r="T107" s="288"/>
      <c r="U107" s="288"/>
      <c r="V107" s="288"/>
    </row>
    <row r="108" spans="1:22" s="317" customFormat="1">
      <c r="A108" s="283"/>
      <c r="B108" s="318">
        <v>2</v>
      </c>
      <c r="C108" s="319" t="s">
        <v>30</v>
      </c>
      <c r="D108" s="305" t="str">
        <f ca="1">IF(ISERROR(OFFSET('HARGA SATUAN'!$D$6,MATCH(RAB!C108,'HARGA SATUAN'!$C$7:$C$1495,0),0)),"",OFFSET('HARGA SATUAN'!$D$6,MATCH(RAB!C108,'HARGA SATUAN'!$C$7:$C$1495,0),0))</f>
        <v>HDW</v>
      </c>
      <c r="E108" s="306" t="str">
        <f ca="1">IF(B108="+","Unit",IF(ISERROR(OFFSET('HARGA SATUAN'!$E$6,MATCH(RAB!C108,'HARGA SATUAN'!$C$7:$C$1495,0),0)),"",OFFSET('HARGA SATUAN'!$E$6,MATCH(RAB!C108,'HARGA SATUAN'!$C$7:$C$1495,0),0)))</f>
        <v>Bh</v>
      </c>
      <c r="F108" s="452">
        <f>F106*1</f>
        <v>1</v>
      </c>
      <c r="G108" s="307">
        <f ca="1">IF(ISERROR(OFFSET('HARGA SATUAN'!$I$6,MATCH(RAB!C108,'HARGA SATUAN'!$C$7:$C$1495,0),0)),0,OFFSET('HARGA SATUAN'!$I$6,MATCH(RAB!C108,'HARGA SATUAN'!$C$7:$C$1495,0),0))</f>
        <v>47459</v>
      </c>
      <c r="H108" s="308">
        <f t="shared" ca="1" si="35"/>
        <v>0</v>
      </c>
      <c r="I108" s="308">
        <f t="shared" ca="1" si="36"/>
        <v>47459</v>
      </c>
      <c r="J108" s="308">
        <f t="shared" ca="1" si="37"/>
        <v>0</v>
      </c>
      <c r="K108" s="309">
        <f t="shared" ca="1" si="38"/>
        <v>47459</v>
      </c>
      <c r="L108" s="316"/>
      <c r="M108" s="289" t="str">
        <f t="shared" ca="1" si="22"/>
        <v/>
      </c>
      <c r="N108" s="316"/>
      <c r="O108" s="310"/>
      <c r="P108" s="310"/>
      <c r="Q108" s="291"/>
      <c r="R108" s="283"/>
      <c r="S108" s="311"/>
      <c r="T108" s="288"/>
      <c r="U108" s="288"/>
      <c r="V108" s="288"/>
    </row>
    <row r="109" spans="1:22" s="317" customFormat="1">
      <c r="A109" s="283"/>
      <c r="B109" s="318">
        <v>3</v>
      </c>
      <c r="C109" s="319" t="s">
        <v>32</v>
      </c>
      <c r="D109" s="305" t="str">
        <f ca="1">IF(ISERROR(OFFSET('HARGA SATUAN'!$D$6,MATCH(RAB!C109,'HARGA SATUAN'!$C$7:$C$1495,0),0)),"",OFFSET('HARGA SATUAN'!$D$6,MATCH(RAB!C109,'HARGA SATUAN'!$C$7:$C$1495,0),0))</f>
        <v>HDW</v>
      </c>
      <c r="E109" s="306" t="str">
        <f ca="1">IF(B109="+","Unit",IF(ISERROR(OFFSET('HARGA SATUAN'!$E$6,MATCH(RAB!C109,'HARGA SATUAN'!$C$7:$C$1495,0),0)),"",OFFSET('HARGA SATUAN'!$E$6,MATCH(RAB!C109,'HARGA SATUAN'!$C$7:$C$1495,0),0)))</f>
        <v>Mtr</v>
      </c>
      <c r="F109" s="452">
        <f>F106*1.5</f>
        <v>1.5</v>
      </c>
      <c r="G109" s="307">
        <f ca="1">IF(ISERROR(OFFSET('HARGA SATUAN'!$I$6,MATCH(RAB!C109,'HARGA SATUAN'!$C$7:$C$1495,0),0)),0,OFFSET('HARGA SATUAN'!$I$6,MATCH(RAB!C109,'HARGA SATUAN'!$C$7:$C$1495,0),0))</f>
        <v>30000</v>
      </c>
      <c r="H109" s="308">
        <f t="shared" ca="1" si="35"/>
        <v>0</v>
      </c>
      <c r="I109" s="308">
        <f t="shared" ca="1" si="36"/>
        <v>45000</v>
      </c>
      <c r="J109" s="308">
        <f t="shared" ca="1" si="37"/>
        <v>0</v>
      </c>
      <c r="K109" s="309">
        <f t="shared" ca="1" si="38"/>
        <v>45000</v>
      </c>
      <c r="L109" s="316"/>
      <c r="M109" s="289" t="str">
        <f t="shared" ca="1" si="22"/>
        <v/>
      </c>
      <c r="N109" s="316"/>
      <c r="O109" s="310"/>
      <c r="P109" s="310"/>
      <c r="Q109" s="291"/>
      <c r="R109" s="283"/>
      <c r="S109" s="311"/>
      <c r="T109" s="288"/>
      <c r="U109" s="288"/>
      <c r="V109" s="288"/>
    </row>
    <row r="110" spans="1:22" s="317" customFormat="1">
      <c r="A110" s="283"/>
      <c r="B110" s="318">
        <v>4</v>
      </c>
      <c r="C110" s="319" t="s">
        <v>33</v>
      </c>
      <c r="D110" s="305" t="str">
        <f ca="1">IF(ISERROR(OFFSET('HARGA SATUAN'!$D$6,MATCH(RAB!C110,'HARGA SATUAN'!$C$7:$C$1495,0),0)),"",OFFSET('HARGA SATUAN'!$D$6,MATCH(RAB!C110,'HARGA SATUAN'!$C$7:$C$1495,0),0))</f>
        <v>HDW</v>
      </c>
      <c r="E110" s="306" t="str">
        <f ca="1">IF(B110="+","Unit",IF(ISERROR(OFFSET('HARGA SATUAN'!$E$6,MATCH(RAB!C110,'HARGA SATUAN'!$C$7:$C$1495,0),0)),"",OFFSET('HARGA SATUAN'!$E$6,MATCH(RAB!C110,'HARGA SATUAN'!$C$7:$C$1495,0),0)))</f>
        <v>Bh</v>
      </c>
      <c r="F110" s="452">
        <f>F106*2</f>
        <v>2</v>
      </c>
      <c r="G110" s="307">
        <f ca="1">IF(ISERROR(OFFSET('HARGA SATUAN'!$I$6,MATCH(RAB!C110,'HARGA SATUAN'!$C$7:$C$1495,0),0)),0,OFFSET('HARGA SATUAN'!$I$6,MATCH(RAB!C110,'HARGA SATUAN'!$C$7:$C$1495,0),0))</f>
        <v>9500</v>
      </c>
      <c r="H110" s="308">
        <f t="shared" ca="1" si="35"/>
        <v>0</v>
      </c>
      <c r="I110" s="308">
        <f t="shared" ca="1" si="36"/>
        <v>19000</v>
      </c>
      <c r="J110" s="308">
        <f t="shared" ca="1" si="37"/>
        <v>0</v>
      </c>
      <c r="K110" s="309">
        <f t="shared" ca="1" si="38"/>
        <v>19000</v>
      </c>
      <c r="L110" s="316"/>
      <c r="M110" s="289" t="str">
        <f t="shared" ca="1" si="22"/>
        <v/>
      </c>
      <c r="N110" s="316"/>
      <c r="O110" s="310"/>
      <c r="P110" s="310"/>
      <c r="Q110" s="291"/>
      <c r="R110" s="283"/>
      <c r="S110" s="311"/>
      <c r="T110" s="288"/>
      <c r="U110" s="288"/>
      <c r="V110" s="288"/>
    </row>
    <row r="111" spans="1:22" s="317" customFormat="1">
      <c r="A111" s="283"/>
      <c r="B111" s="318">
        <v>5</v>
      </c>
      <c r="C111" s="319" t="s">
        <v>735</v>
      </c>
      <c r="D111" s="305" t="str">
        <f ca="1">IF(ISERROR(OFFSET('HARGA SATUAN'!$D$6,MATCH(RAB!C111,'HARGA SATUAN'!$C$7:$C$1495,0),0)),"",OFFSET('HARGA SATUAN'!$D$6,MATCH(RAB!C111,'HARGA SATUAN'!$C$7:$C$1495,0),0))</f>
        <v>JASA</v>
      </c>
      <c r="E111" s="306" t="str">
        <f ca="1">IF(B111="+","Unit",IF(ISERROR(OFFSET('HARGA SATUAN'!$E$6,MATCH(RAB!C111,'HARGA SATUAN'!$C$7:$C$1495,0),0)),"",OFFSET('HARGA SATUAN'!$E$6,MATCH(RAB!C111,'HARGA SATUAN'!$C$7:$C$1495,0),0)))</f>
        <v>Unit</v>
      </c>
      <c r="F111" s="452">
        <f>F106*1</f>
        <v>1</v>
      </c>
      <c r="G111" s="307">
        <f ca="1">IF(ISERROR(OFFSET('HARGA SATUAN'!$I$6,MATCH(RAB!C111,'HARGA SATUAN'!$C$7:$C$1495,0),0)),0,OFFSET('HARGA SATUAN'!$I$6,MATCH(RAB!C111,'HARGA SATUAN'!$C$7:$C$1495,0),0))</f>
        <v>56400</v>
      </c>
      <c r="H111" s="308">
        <f t="shared" ca="1" si="35"/>
        <v>0</v>
      </c>
      <c r="I111" s="308">
        <f t="shared" ca="1" si="36"/>
        <v>0</v>
      </c>
      <c r="J111" s="308">
        <f t="shared" ca="1" si="37"/>
        <v>56400</v>
      </c>
      <c r="K111" s="309">
        <f t="shared" ca="1" si="38"/>
        <v>56400</v>
      </c>
      <c r="L111" s="316"/>
      <c r="M111" s="289" t="str">
        <f t="shared" ca="1" si="22"/>
        <v/>
      </c>
      <c r="N111" s="316"/>
      <c r="O111" s="310"/>
      <c r="P111" s="310"/>
      <c r="Q111" s="291"/>
      <c r="R111" s="283"/>
      <c r="S111" s="311"/>
      <c r="T111" s="288"/>
      <c r="U111" s="288"/>
      <c r="V111" s="288"/>
    </row>
    <row r="112" spans="1:22" s="317" customFormat="1">
      <c r="A112" s="283"/>
      <c r="B112" s="418" t="s">
        <v>22</v>
      </c>
      <c r="C112" s="421" t="s">
        <v>802</v>
      </c>
      <c r="D112" s="305" t="str">
        <f ca="1">IF(ISERROR(OFFSET('HARGA SATUAN'!$D$6,MATCH(RAB!C112,'HARGA SATUAN'!$C$7:$C$1495,0),0)),"",OFFSET('HARGA SATUAN'!$D$6,MATCH(RAB!C112,'HARGA SATUAN'!$C$7:$C$1495,0),0))</f>
        <v/>
      </c>
      <c r="E112" s="306">
        <f ca="1">IF(B112="+","Unit",IF(ISERROR(OFFSET('HARGA SATUAN'!$E$6,MATCH(RAB!C112,'HARGA SATUAN'!$C$7:$C$1495,0),0)),"",OFFSET('HARGA SATUAN'!$E$6,MATCH(RAB!C112,'HARGA SATUAN'!$C$7:$C$1495,0),0)))</f>
        <v>0</v>
      </c>
      <c r="F112" s="452"/>
      <c r="G112" s="307">
        <f ca="1">IF(ISERROR(OFFSET('HARGA SATUAN'!$I$6,MATCH(RAB!C112,'HARGA SATUAN'!$C$7:$C$1495,0),0)),0,OFFSET('HARGA SATUAN'!$I$6,MATCH(RAB!C112,'HARGA SATUAN'!$C$7:$C$1495,0),0))</f>
        <v>0</v>
      </c>
      <c r="H112" s="308">
        <f t="shared" ref="H112" ca="1" si="43">IF(OR(D112="MDU",D112="MDU-KD"),(IF($O$3="RAB NON MDU","PLN KD",G112*F112)),0)</f>
        <v>0</v>
      </c>
      <c r="I112" s="308">
        <f t="shared" ref="I112" ca="1" si="44">IF(D112="HDW",G112*F112,0)</f>
        <v>0</v>
      </c>
      <c r="J112" s="308">
        <f t="shared" ref="J112" ca="1" si="45">IF(D112="JASA",G112*F112,0)</f>
        <v>0</v>
      </c>
      <c r="K112" s="309">
        <f t="shared" ref="K112" ca="1" si="46">SUM(H112:J112)</f>
        <v>0</v>
      </c>
      <c r="L112" s="316"/>
      <c r="M112" s="289"/>
      <c r="N112" s="316"/>
      <c r="O112" s="310"/>
      <c r="P112" s="310"/>
      <c r="Q112" s="291"/>
      <c r="R112" s="283"/>
      <c r="S112" s="311"/>
      <c r="T112" s="288"/>
      <c r="U112" s="288"/>
      <c r="V112" s="288"/>
    </row>
    <row r="113" spans="2:13">
      <c r="B113" s="320">
        <v>1</v>
      </c>
      <c r="C113" s="109" t="s">
        <v>964</v>
      </c>
      <c r="D113" s="305" t="str">
        <f ca="1">IF(ISERROR(OFFSET('HARGA SATUAN'!$D$6,MATCH(RAB!C113,'HARGA SATUAN'!$C$7:$C$1495,0),0)),"",OFFSET('HARGA SATUAN'!$D$6,MATCH(RAB!C113,'HARGA SATUAN'!$C$7:$C$1495,0),0))</f>
        <v>JASA</v>
      </c>
      <c r="E113" s="306" t="str">
        <f ca="1">IF(B113="+","Unit",IF(ISERROR(OFFSET('HARGA SATUAN'!$E$6,MATCH(RAB!C113,'HARGA SATUAN'!$C$7:$C$1495,0),0)),"",OFFSET('HARGA SATUAN'!$E$6,MATCH(RAB!C113,'HARGA SATUAN'!$C$7:$C$1495,0),0)))</f>
        <v>Unit</v>
      </c>
      <c r="F113" s="315">
        <v>1</v>
      </c>
      <c r="G113" s="307">
        <f ca="1">IF(ISERROR(OFFSET('HARGA SATUAN'!$I$6,MATCH(RAB!C113,'HARGA SATUAN'!$C$7:$C$1495,0),0)),0,OFFSET('HARGA SATUAN'!$I$6,MATCH(RAB!C113,'HARGA SATUAN'!$C$7:$C$1495,0),0))</f>
        <v>709680</v>
      </c>
      <c r="H113" s="308">
        <f t="shared" ca="1" si="35"/>
        <v>0</v>
      </c>
      <c r="I113" s="308">
        <f t="shared" ca="1" si="36"/>
        <v>0</v>
      </c>
      <c r="J113" s="308">
        <f t="shared" ca="1" si="37"/>
        <v>709680</v>
      </c>
      <c r="K113" s="309">
        <f t="shared" ca="1" si="38"/>
        <v>709680</v>
      </c>
      <c r="M113" s="289" t="str">
        <f ca="1">IF(AND(F113&gt;0,F111=0),"",IF(AND(ISBLANK(F113)=FALSE,K113=0),"WARNING",""))</f>
        <v/>
      </c>
    </row>
    <row r="114" spans="2:13">
      <c r="B114" s="321"/>
      <c r="C114" s="322" t="s">
        <v>475</v>
      </c>
      <c r="D114" s="305" t="str">
        <f ca="1">IF(ISERROR(OFFSET('HARGA SATUAN'!$D$6,MATCH(RAB!C114,'HARGA SATUAN'!$C$7:$C$1495,0),0)),"",OFFSET('HARGA SATUAN'!$D$6,MATCH(RAB!C114,'HARGA SATUAN'!$C$7:$C$1495,0),0))</f>
        <v/>
      </c>
      <c r="E114" s="306" t="str">
        <f ca="1">IF(B114="+","Unit",IF(ISERROR(OFFSET('HARGA SATUAN'!$E$6,MATCH(RAB!C114,'HARGA SATUAN'!$C$7:$C$1495,0),0)),"",OFFSET('HARGA SATUAN'!$E$6,MATCH(RAB!C114,'HARGA SATUAN'!$C$7:$C$1495,0),0)))</f>
        <v/>
      </c>
      <c r="F114" s="315"/>
      <c r="G114" s="307">
        <f ca="1">IF(ISERROR(OFFSET('HARGA SATUAN'!$I$6,MATCH(RAB!C114,'HARGA SATUAN'!$C$7:$C$1495,0),0)),0,OFFSET('HARGA SATUAN'!$I$6,MATCH(RAB!C114,'HARGA SATUAN'!$C$7:$C$1495,0),0))</f>
        <v>0</v>
      </c>
      <c r="H114" s="308">
        <f t="shared" ca="1" si="31"/>
        <v>0</v>
      </c>
      <c r="I114" s="308">
        <f t="shared" ca="1" si="32"/>
        <v>0</v>
      </c>
      <c r="J114" s="308">
        <f t="shared" ca="1" si="33"/>
        <v>0</v>
      </c>
      <c r="K114" s="309">
        <f t="shared" ca="1" si="34"/>
        <v>0</v>
      </c>
      <c r="M114" s="289" t="e">
        <f>IF(AND(F114&gt;0,#REF!=0),"",IF(AND(ISBLANK(F114)=FALSE,K114=0),"WARNING",""))</f>
        <v>#REF!</v>
      </c>
    </row>
    <row r="115" spans="2:13">
      <c r="B115" s="324">
        <v>1</v>
      </c>
      <c r="C115" s="325" t="s">
        <v>1091</v>
      </c>
      <c r="D115" s="326" t="str">
        <f ca="1">IF(ISERROR(OFFSET('HARGA SATUAN'!$D$6,MATCH(RAB!C115,'HARGA SATUAN'!$C$7:$C$1495,0),0)),"",OFFSET('HARGA SATUAN'!$D$6,MATCH(RAB!C115,'HARGA SATUAN'!$C$7:$C$1495,0),0))</f>
        <v>JASA</v>
      </c>
      <c r="E115" s="327" t="str">
        <f ca="1">IF(ISERROR(OFFSET('HARGA SATUAN'!$E$6,MATCH(RAB!C115,'HARGA SATUAN'!$C$7:$C$1495,0),0)),"",OFFSET('HARGA SATUAN'!$E$6,MATCH(RAB!C115,'HARGA SATUAN'!$C$7:$C$1495,0),0))</f>
        <v>Lot</v>
      </c>
      <c r="F115" s="328">
        <v>1</v>
      </c>
      <c r="G115" s="329">
        <f ca="1">IF(ISERROR(OFFSET('HARGA SATUAN'!$I$6,MATCH(RAB!C115,'HARGA SATUAN'!$C$7:$C$1495,0),0)),0,OFFSET('HARGA SATUAN'!$I$6,MATCH(RAB!C115,'HARGA SATUAN'!$C$7:$C$1495,0),0))</f>
        <v>2.5000000000000001E-2</v>
      </c>
      <c r="H115" s="330">
        <f ca="1">SUM(H14:H114)*G115</f>
        <v>2186430</v>
      </c>
      <c r="I115" s="330">
        <f ca="1">SUM(I14:I114)*G115</f>
        <v>178075.52500000002</v>
      </c>
      <c r="J115" s="330">
        <f ca="1">SUM(J14:J114)*G115</f>
        <v>128573.66666666666</v>
      </c>
      <c r="K115" s="330">
        <f ca="1">SUM(K14:K114)*G115</f>
        <v>2493079.1916666669</v>
      </c>
      <c r="M115" s="289" t="str">
        <f t="shared" ref="M115" si="47">IF(AND(F115&gt;0,F114=0),"",IF(AND(ISBLANK(F115)=FALSE,K115=0),"WARNING",""))</f>
        <v/>
      </c>
    </row>
    <row r="116" spans="2:13">
      <c r="B116" s="331"/>
      <c r="C116" s="332"/>
      <c r="D116" s="305" t="str">
        <f ca="1">IF(ISERROR(OFFSET('HARGA SATUAN'!$D$6,MATCH(RAB!C116,'HARGA SATUAN'!$C$7:$C$1495,0),0)),"",OFFSET('HARGA SATUAN'!$D$6,MATCH(RAB!C116,'HARGA SATUAN'!$C$7:$C$1495,0),0))</f>
        <v/>
      </c>
      <c r="E116" s="306" t="str">
        <f ca="1">IF(ISERROR(OFFSET('HARGA SATUAN'!$E$6,MATCH(RAB!C116,'HARGA SATUAN'!$C$7:$C$1495,0),0)),"",OFFSET('HARGA SATUAN'!$E$6,MATCH(RAB!C116,'HARGA SATUAN'!$C$7:$C$1495,0),0))</f>
        <v/>
      </c>
      <c r="F116" s="323"/>
      <c r="G116" s="307" t="str">
        <f ca="1">IF(ISERROR(OFFSET('HARGA SATUAN'!$I$6,MATCH(RAB!C116,'HARGA SATUAN'!$C$7:$C$1495,0),0)),"",OFFSET('HARGA SATUAN'!$I$6,MATCH(RAB!C116,'HARGA SATUAN'!$C$7:$C$1495,0),0))</f>
        <v/>
      </c>
      <c r="H116" s="308">
        <f ca="1">IF(OR(D116="MDU",D116="MDU-KD"),IF(G116="PLN",0,G116*F116),0)</f>
        <v>0</v>
      </c>
      <c r="I116" s="308">
        <f ca="1">IF(D116="HDW",IF(G116="PLN",0,G116*F116),0)</f>
        <v>0</v>
      </c>
      <c r="J116" s="308">
        <f ca="1">IF(D116="JASA",IF(G116="PLN",0,G116*F116),0)</f>
        <v>0</v>
      </c>
      <c r="K116" s="309">
        <f ca="1">SUM(H116:J116)</f>
        <v>0</v>
      </c>
    </row>
    <row r="117" spans="2:13" ht="15.75" thickBot="1">
      <c r="B117" s="333"/>
      <c r="C117" s="334"/>
      <c r="D117" s="335"/>
      <c r="E117" s="336"/>
      <c r="F117" s="336"/>
      <c r="G117" s="336"/>
      <c r="H117" s="337"/>
      <c r="I117" s="337"/>
      <c r="J117" s="337"/>
      <c r="K117" s="338"/>
    </row>
    <row r="118" spans="2:13">
      <c r="B118" s="339"/>
      <c r="C118" s="641" t="s">
        <v>1008</v>
      </c>
      <c r="D118" s="641"/>
      <c r="E118" s="641"/>
      <c r="F118" s="641"/>
      <c r="G118" s="340" t="s">
        <v>9</v>
      </c>
      <c r="H118" s="341">
        <f ca="1">SUM(H14:H116)</f>
        <v>89643630</v>
      </c>
      <c r="I118" s="341">
        <f ca="1">SUM(I14:I116)</f>
        <v>7301096.5250000004</v>
      </c>
      <c r="J118" s="341">
        <f ca="1">SUM(J14:J116)</f>
        <v>5271520.333333333</v>
      </c>
      <c r="K118" s="341">
        <f ca="1">SUM(K14:K116)</f>
        <v>102216246.85833333</v>
      </c>
    </row>
    <row r="119" spans="2:13">
      <c r="B119" s="342"/>
      <c r="C119" s="624" t="s">
        <v>1455</v>
      </c>
      <c r="D119" s="624"/>
      <c r="E119" s="624"/>
      <c r="F119" s="624"/>
      <c r="G119" s="343" t="s">
        <v>9</v>
      </c>
      <c r="H119" s="344">
        <f ca="1">H118*0.11</f>
        <v>9860799.3000000007</v>
      </c>
      <c r="I119" s="344">
        <f ca="1">I118*0.11</f>
        <v>803120.61775000009</v>
      </c>
      <c r="J119" s="344">
        <f ca="1">J118*0.11</f>
        <v>579867.23666666669</v>
      </c>
      <c r="K119" s="344">
        <f ca="1">K118*0.11</f>
        <v>11243787.154416667</v>
      </c>
    </row>
    <row r="120" spans="2:13" ht="15.75" thickBot="1">
      <c r="B120" s="342"/>
      <c r="C120" s="621" t="s">
        <v>463</v>
      </c>
      <c r="D120" s="621"/>
      <c r="E120" s="621"/>
      <c r="F120" s="621"/>
      <c r="G120" s="345" t="s">
        <v>9</v>
      </c>
      <c r="H120" s="346">
        <f ca="1">SUM(H118:H119)</f>
        <v>99504429.299999997</v>
      </c>
      <c r="I120" s="346">
        <f ca="1">SUM(I118:I119)</f>
        <v>8104217.1427500006</v>
      </c>
      <c r="J120" s="345">
        <f ca="1">SUM(J118:J119)</f>
        <v>5851387.5699999994</v>
      </c>
      <c r="K120" s="345">
        <f ca="1">SUM(K118:K119)</f>
        <v>113460034.01275</v>
      </c>
      <c r="M120" s="410"/>
    </row>
    <row r="121" spans="2:13">
      <c r="B121" s="625" t="str">
        <f ca="1">"Terbilang : "&amp;PROPER(IF(K120=0,"nol",IF(K120&lt;0,"minus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IF(--MID(TEXT(ABS(K120),"000000000000000"),1,3)=0,"",MID(TEXT(ABS(K120),"000000000000000"),1,1)&amp;" ratus "&amp;MID(TEXT(ABS(K120),"000000000000000"),2,1)&amp;" puluh "&amp;MID(TEXT(ABS(K120),"000000000000000"),3,1)&amp;" trilyun ")&amp; IF(--MID(TEXT(ABS(K120),"000000000000000"),4,3)=0,"",MID(TEXT(ABS(K120),"000000000000000"),4,1)&amp;" ratus "&amp;MID(TEXT(ABS(K120),"000000000000000"),5,1)&amp;" puluh "&amp;MID(TEXT(ABS(K120),"000000000000000"),6,1)&amp;" milyar ")&amp; IF(--MID(TEXT(ABS(K120),"000000000000000"),7,3)=0,"",MID(TEXT(ABS(K120),"000000000000000"),7,1)&amp;" ratus "&amp;MID(TEXT(ABS(K120),"000000000000000"),8,1)&amp;" puluh "&amp;MID(TEXT(ABS(K120),"000000000000000"),9,1)&amp;" juta ")&amp; IF(--MID(TEXT(ABS(K120),"000000000000000"),10,3)=0,"",IF(--MID(TEXT(ABS(K120),"000000000000000"),10,3)=1,"*",MID(TEXT(ABS(K120),"000000000000000"),10,1)&amp;" ratus "&amp;MID(TEXT(ABS(K120),"000000000000000"),11,1)&amp;" puluh ")&amp;MID(TEXT(ABS(K120),"000000000000000"),12,1)&amp;" ribu ")&amp; IF(--MID(TEXT(ABS(K120),"000000000000000"),13,3)=0,"",MID(TEXT(ABS(K120),"000000000000000"),13,1)&amp;" ratus "&amp;MID(TEXT(ABS(K120),"000000000000000"),14,1)&amp;" puluh "&amp;MID(TEXT(ABS(K120),"000000000000000"),15,1)),1,"satu"),2,"dua"),3,"tiga"),4,"empat"),5,"lima"),6,"enam"),7,"tujuh"),8,"delapan"),9,"sembilan"),"0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Tiga Belas Juta Empat Ratus Enam Puluh Ribu Tiga Puluh Empat Rupiah</v>
      </c>
      <c r="C121" s="626"/>
      <c r="D121" s="626"/>
      <c r="E121" s="626"/>
      <c r="F121" s="626"/>
      <c r="G121" s="626"/>
      <c r="H121" s="626"/>
      <c r="I121" s="626"/>
      <c r="J121" s="626"/>
      <c r="K121" s="627"/>
    </row>
    <row r="122" spans="2:13">
      <c r="B122" s="628"/>
      <c r="C122" s="629"/>
      <c r="D122" s="629"/>
      <c r="E122" s="629"/>
      <c r="F122" s="629"/>
      <c r="G122" s="629"/>
      <c r="H122" s="629"/>
      <c r="I122" s="629"/>
      <c r="J122" s="629"/>
      <c r="K122" s="630"/>
    </row>
    <row r="123" spans="2:13" ht="15.75" thickBot="1">
      <c r="B123" s="347" t="str">
        <f>"Harga yang dipakai adalah "&amp;'HARGA SATUAN'!I5&amp;""</f>
        <v>Harga yang dipakai adalah RAB HSS 2023</v>
      </c>
      <c r="C123" s="348"/>
      <c r="D123" s="349"/>
      <c r="E123" s="349"/>
      <c r="F123" s="349"/>
      <c r="G123" s="350"/>
      <c r="H123" s="350"/>
      <c r="I123" s="350"/>
      <c r="J123" s="350"/>
      <c r="K123" s="351"/>
    </row>
    <row r="124" spans="2:13">
      <c r="C124" s="352"/>
      <c r="E124" s="354"/>
      <c r="F124" s="354"/>
      <c r="G124" s="354"/>
    </row>
    <row r="125" spans="2:13">
      <c r="C125" s="284"/>
      <c r="E125" s="354"/>
      <c r="F125" s="354"/>
      <c r="G125" s="354"/>
      <c r="H125" s="631"/>
      <c r="I125" s="631"/>
      <c r="J125" s="632"/>
      <c r="K125" s="632"/>
    </row>
    <row r="126" spans="2:13">
      <c r="C126" s="284"/>
      <c r="E126" s="354"/>
      <c r="F126" s="354"/>
      <c r="G126" s="354"/>
      <c r="H126" s="355"/>
      <c r="I126" s="620" t="s">
        <v>1617</v>
      </c>
      <c r="J126" s="620"/>
      <c r="K126" s="620"/>
    </row>
    <row r="127" spans="2:13">
      <c r="C127" s="284"/>
      <c r="E127" s="354"/>
      <c r="F127" s="354"/>
      <c r="G127" s="354"/>
      <c r="H127" s="355"/>
      <c r="I127" s="620" t="s">
        <v>1611</v>
      </c>
      <c r="J127" s="620"/>
      <c r="K127" s="620"/>
    </row>
    <row r="128" spans="2:13">
      <c r="C128" s="284"/>
      <c r="E128" s="354"/>
      <c r="F128" s="354"/>
      <c r="G128" s="354"/>
      <c r="H128" s="356"/>
      <c r="I128" s="357"/>
      <c r="J128" s="357"/>
      <c r="K128" s="357"/>
    </row>
    <row r="129" spans="3:11">
      <c r="C129" s="284"/>
      <c r="E129" s="354"/>
      <c r="F129" s="354"/>
      <c r="G129" s="354"/>
      <c r="H129" s="356"/>
      <c r="I129" s="356"/>
      <c r="J129" s="356"/>
      <c r="K129" s="356"/>
    </row>
    <row r="130" spans="3:11">
      <c r="C130" s="284"/>
      <c r="E130" s="354"/>
      <c r="F130" s="354"/>
      <c r="G130" s="354"/>
      <c r="H130" s="356"/>
      <c r="I130" s="356"/>
      <c r="J130" s="356"/>
      <c r="K130" s="356"/>
    </row>
    <row r="131" spans="3:11">
      <c r="C131" s="284"/>
      <c r="E131" s="354"/>
      <c r="F131" s="354"/>
      <c r="G131" s="354"/>
      <c r="H131" s="356"/>
      <c r="I131" s="356"/>
      <c r="J131" s="356"/>
      <c r="K131" s="356"/>
    </row>
    <row r="132" spans="3:11">
      <c r="C132" s="284"/>
      <c r="E132" s="354"/>
      <c r="F132" s="354"/>
      <c r="G132" s="354"/>
      <c r="H132" s="358"/>
      <c r="I132" s="620" t="s">
        <v>1612</v>
      </c>
      <c r="J132" s="620"/>
      <c r="K132" s="620"/>
    </row>
    <row r="133" spans="3:11">
      <c r="C133" s="352"/>
      <c r="E133" s="354"/>
      <c r="F133" s="354"/>
      <c r="G133" s="354"/>
      <c r="H133" s="356"/>
      <c r="I133" s="356"/>
      <c r="J133" s="356"/>
      <c r="K133" s="356"/>
    </row>
    <row r="134" spans="3:11">
      <c r="C134" s="352"/>
      <c r="E134" s="354"/>
      <c r="F134" s="354"/>
      <c r="G134" s="354"/>
      <c r="H134" s="356"/>
      <c r="I134" s="356"/>
      <c r="J134" s="356"/>
      <c r="K134" s="356"/>
    </row>
    <row r="135" spans="3:11">
      <c r="C135" s="352"/>
      <c r="E135" s="354"/>
      <c r="F135" s="354"/>
      <c r="G135" s="354"/>
      <c r="H135" s="356"/>
      <c r="I135" s="356"/>
      <c r="J135" s="356"/>
      <c r="K135" s="356"/>
    </row>
  </sheetData>
  <sheetProtection sort="0" autoFilter="0"/>
  <protectedRanges>
    <protectedRange sqref="B98:C98 B15 B16:C16 B19:C30 B17:B18 B74:C94 B95:B97" name="Range1_6_1"/>
    <protectedRange sqref="B37:C71" name="Range1_6_1_1_1"/>
    <protectedRange sqref="B31:C36" name="Range1_6_1_2"/>
    <protectedRange sqref="C97" name="Range1_6_1_10"/>
    <protectedRange sqref="B105:C112 B99:B104" name="Range1_6_1_11"/>
    <protectedRange sqref="B72:C73" name="Range1_6_1_15"/>
    <protectedRange sqref="C99:C101 C104" name="Range1_6_1_18"/>
    <protectedRange sqref="C18" name="Range1_1_3_1"/>
    <protectedRange sqref="C95" name="Range1_1_3_3"/>
    <protectedRange sqref="C96" name="Range1_1_3_4"/>
    <protectedRange sqref="C103" name="Range1_1_3_5"/>
    <protectedRange sqref="C17" name="Range1_1_3_2"/>
    <protectedRange sqref="C113" name="Range1_1_3_6"/>
    <protectedRange sqref="C102" name="Range1_1_3_7"/>
  </protectedRanges>
  <mergeCells count="22">
    <mergeCell ref="O3:P4"/>
    <mergeCell ref="B4:K4"/>
    <mergeCell ref="C118:F118"/>
    <mergeCell ref="B11:B13"/>
    <mergeCell ref="C11:C13"/>
    <mergeCell ref="D11:D13"/>
    <mergeCell ref="E11:E13"/>
    <mergeCell ref="F11:F13"/>
    <mergeCell ref="G11:G13"/>
    <mergeCell ref="I12:I13"/>
    <mergeCell ref="I127:K127"/>
    <mergeCell ref="I132:K132"/>
    <mergeCell ref="C120:F120"/>
    <mergeCell ref="G6:K6"/>
    <mergeCell ref="I126:K126"/>
    <mergeCell ref="C119:F119"/>
    <mergeCell ref="B121:K122"/>
    <mergeCell ref="H125:K125"/>
    <mergeCell ref="H11:K11"/>
    <mergeCell ref="H12:H13"/>
    <mergeCell ref="J12:J13"/>
    <mergeCell ref="K12:K13"/>
  </mergeCells>
  <phoneticPr fontId="134" type="noConversion"/>
  <conditionalFormatting sqref="C15">
    <cfRule type="cellIs" dxfId="16" priority="94" operator="equal">
      <formula>0</formula>
    </cfRule>
  </conditionalFormatting>
  <conditionalFormatting sqref="C18">
    <cfRule type="cellIs" dxfId="15" priority="17" operator="equal">
      <formula>0</formula>
    </cfRule>
  </conditionalFormatting>
  <conditionalFormatting sqref="C95:C96">
    <cfRule type="cellIs" dxfId="14" priority="10" operator="equal">
      <formula>0</formula>
    </cfRule>
  </conditionalFormatting>
  <conditionalFormatting sqref="E1:E3 E5:E13 H12:I12 O13 E115:G115 H115:K117 E116:H116 E117:F117 S14:V112 E39:K98 E104:K114 E99:E103 G99:K103">
    <cfRule type="cellIs" dxfId="11" priority="1138" stopIfTrue="1" operator="equal">
      <formula>0</formula>
    </cfRule>
  </conditionalFormatting>
  <conditionalFormatting sqref="E14:K19 E20:E38 G20:K38">
    <cfRule type="cellIs" dxfId="10" priority="12" stopIfTrue="1" operator="equal">
      <formula>0</formula>
    </cfRule>
  </conditionalFormatting>
  <conditionalFormatting sqref="G1:G13">
    <cfRule type="cellIs" dxfId="9" priority="63" stopIfTrue="1" operator="equal">
      <formula>0</formula>
    </cfRule>
  </conditionalFormatting>
  <conditionalFormatting sqref="G116:G65582 E121:E65582">
    <cfRule type="cellIs" dxfId="8" priority="272" stopIfTrue="1" operator="equal">
      <formula>0</formula>
    </cfRule>
  </conditionalFormatting>
  <conditionalFormatting sqref="C17">
    <cfRule type="cellIs" dxfId="7" priority="8" operator="equal">
      <formula>0</formula>
    </cfRule>
  </conditionalFormatting>
  <conditionalFormatting sqref="C21">
    <cfRule type="cellIs" dxfId="6" priority="7" operator="equal">
      <formula>0</formula>
    </cfRule>
  </conditionalFormatting>
  <conditionalFormatting sqref="C25">
    <cfRule type="cellIs" dxfId="5" priority="6" operator="equal">
      <formula>0</formula>
    </cfRule>
  </conditionalFormatting>
  <conditionalFormatting sqref="F20:F38">
    <cfRule type="cellIs" dxfId="4" priority="5" stopIfTrue="1" operator="equal">
      <formula>0</formula>
    </cfRule>
  </conditionalFormatting>
  <conditionalFormatting sqref="C113">
    <cfRule type="cellIs" dxfId="3" priority="4" operator="equal">
      <formula>0</formula>
    </cfRule>
  </conditionalFormatting>
  <conditionalFormatting sqref="C100">
    <cfRule type="cellIs" dxfId="2" priority="3" operator="equal">
      <formula>0</formula>
    </cfRule>
  </conditionalFormatting>
  <conditionalFormatting sqref="F99:F103">
    <cfRule type="cellIs" dxfId="1" priority="2" stopIfTrue="1" operator="equal">
      <formula>0</formula>
    </cfRule>
  </conditionalFormatting>
  <conditionalFormatting sqref="C102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06:F112 F64 C22:C24 F16:F60 F67:F93 F95:F97 H14:K117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6" max="10" man="1"/>
  </rowBreaks>
  <ignoredErrors>
    <ignoredError sqref="K115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8A2-C064-48A0-9036-7DBDC0000577}">
  <sheetPr>
    <tabColor rgb="FF92D050"/>
  </sheetPr>
  <dimension ref="C1:AD55"/>
  <sheetViews>
    <sheetView showGridLines="0" topLeftCell="A19" zoomScale="90" zoomScaleNormal="90" zoomScaleSheetLayoutView="100" workbookViewId="0">
      <selection activeCell="AA23" sqref="AA23:AB23"/>
    </sheetView>
  </sheetViews>
  <sheetFormatPr defaultColWidth="9.140625" defaultRowHeight="12"/>
  <cols>
    <col min="1" max="2" width="1.42578125" style="468" customWidth="1"/>
    <col min="3" max="3" width="7.42578125" style="468" customWidth="1"/>
    <col min="4" max="23" width="5.7109375" style="468" customWidth="1"/>
    <col min="24" max="24" width="6.28515625" style="468" customWidth="1"/>
    <col min="25" max="26" width="5.7109375" style="468" customWidth="1"/>
    <col min="27" max="27" width="6.5703125" style="468" customWidth="1"/>
    <col min="28" max="118" width="5.7109375" style="468" customWidth="1"/>
    <col min="119" max="16384" width="9.140625" style="468"/>
  </cols>
  <sheetData>
    <row r="1" spans="3:30" ht="12.75" thickBot="1"/>
    <row r="2" spans="3:30" ht="12.75" customHeight="1">
      <c r="C2" s="469"/>
      <c r="D2" s="470"/>
      <c r="E2" s="470"/>
      <c r="F2" s="470"/>
      <c r="G2" s="470"/>
      <c r="H2" s="470"/>
      <c r="I2" s="470"/>
      <c r="J2" s="470"/>
      <c r="K2" s="470"/>
      <c r="L2" s="470"/>
      <c r="M2" s="470"/>
      <c r="N2" s="470"/>
      <c r="O2" s="470"/>
      <c r="P2" s="470"/>
      <c r="Q2" s="470"/>
      <c r="R2" s="470"/>
      <c r="S2" s="470"/>
      <c r="T2" s="470"/>
      <c r="U2" s="470"/>
      <c r="V2" s="470"/>
      <c r="W2" s="650" t="s">
        <v>1438</v>
      </c>
      <c r="X2" s="651"/>
      <c r="Y2" s="651"/>
      <c r="Z2" s="651"/>
      <c r="AA2" s="651"/>
      <c r="AB2" s="651"/>
      <c r="AC2" s="651"/>
      <c r="AD2" s="652"/>
    </row>
    <row r="3" spans="3:30">
      <c r="C3" s="471"/>
      <c r="W3" s="653"/>
      <c r="X3" s="654"/>
      <c r="Y3" s="654"/>
      <c r="Z3" s="654"/>
      <c r="AA3" s="654"/>
      <c r="AB3" s="654"/>
      <c r="AC3" s="654"/>
      <c r="AD3" s="655"/>
    </row>
    <row r="4" spans="3:30">
      <c r="C4" s="471"/>
      <c r="G4" s="472" t="s">
        <v>1638</v>
      </c>
      <c r="W4" s="473" t="s">
        <v>987</v>
      </c>
      <c r="AD4" s="474"/>
    </row>
    <row r="5" spans="3:30">
      <c r="C5" s="471"/>
      <c r="W5" s="475" t="s">
        <v>991</v>
      </c>
      <c r="X5" s="656" t="s">
        <v>990</v>
      </c>
      <c r="Y5" s="656"/>
      <c r="Z5" s="656"/>
      <c r="AA5" s="656" t="s">
        <v>988</v>
      </c>
      <c r="AB5" s="656"/>
      <c r="AC5" s="656" t="s">
        <v>989</v>
      </c>
      <c r="AD5" s="657"/>
    </row>
    <row r="6" spans="3:30">
      <c r="C6" s="471"/>
      <c r="W6" s="475">
        <v>1</v>
      </c>
      <c r="X6" s="656" t="s">
        <v>993</v>
      </c>
      <c r="Y6" s="656"/>
      <c r="Z6" s="656"/>
      <c r="AA6" s="656"/>
      <c r="AB6" s="656"/>
      <c r="AC6" s="656"/>
      <c r="AD6" s="657"/>
    </row>
    <row r="7" spans="3:30">
      <c r="C7" s="471"/>
      <c r="W7" s="475">
        <v>2</v>
      </c>
      <c r="X7" s="656" t="s">
        <v>994</v>
      </c>
      <c r="Y7" s="656"/>
      <c r="Z7" s="656"/>
      <c r="AA7" s="656"/>
      <c r="AB7" s="656"/>
      <c r="AC7" s="656"/>
      <c r="AD7" s="657"/>
    </row>
    <row r="8" spans="3:30">
      <c r="C8" s="471"/>
      <c r="W8" s="475">
        <v>3</v>
      </c>
      <c r="X8" s="656" t="s">
        <v>995</v>
      </c>
      <c r="Y8" s="656"/>
      <c r="Z8" s="656"/>
      <c r="AA8" s="656"/>
      <c r="AB8" s="656"/>
      <c r="AC8" s="656"/>
      <c r="AD8" s="657"/>
    </row>
    <row r="9" spans="3:30">
      <c r="C9" s="471"/>
      <c r="W9" s="475">
        <v>4</v>
      </c>
      <c r="X9" s="656" t="s">
        <v>996</v>
      </c>
      <c r="Y9" s="656"/>
      <c r="Z9" s="656"/>
      <c r="AA9" s="656"/>
      <c r="AB9" s="656"/>
      <c r="AC9" s="656"/>
      <c r="AD9" s="657"/>
    </row>
    <row r="10" spans="3:30">
      <c r="C10" s="471"/>
      <c r="W10" s="475">
        <v>5</v>
      </c>
      <c r="X10" s="656" t="s">
        <v>997</v>
      </c>
      <c r="Y10" s="656"/>
      <c r="Z10" s="656"/>
      <c r="AA10" s="656"/>
      <c r="AB10" s="656"/>
      <c r="AC10" s="656"/>
      <c r="AD10" s="657"/>
    </row>
    <row r="11" spans="3:30">
      <c r="C11" s="471"/>
      <c r="W11" s="475">
        <v>6</v>
      </c>
      <c r="X11" s="656" t="s">
        <v>998</v>
      </c>
      <c r="Y11" s="656"/>
      <c r="Z11" s="656"/>
      <c r="AA11" s="656"/>
      <c r="AB11" s="656"/>
      <c r="AC11" s="656"/>
      <c r="AD11" s="657"/>
    </row>
    <row r="12" spans="3:30">
      <c r="C12" s="471"/>
      <c r="W12" s="475">
        <v>7</v>
      </c>
      <c r="X12" s="656" t="s">
        <v>999</v>
      </c>
      <c r="Y12" s="656"/>
      <c r="Z12" s="656"/>
      <c r="AA12" s="656"/>
      <c r="AB12" s="656"/>
      <c r="AC12" s="656"/>
      <c r="AD12" s="657"/>
    </row>
    <row r="13" spans="3:30" ht="12.75" customHeight="1">
      <c r="C13" s="471"/>
      <c r="W13" s="475">
        <v>8</v>
      </c>
      <c r="X13" s="656" t="s">
        <v>1000</v>
      </c>
      <c r="Y13" s="656"/>
      <c r="Z13" s="656"/>
      <c r="AA13" s="656"/>
      <c r="AB13" s="656"/>
      <c r="AC13" s="656"/>
      <c r="AD13" s="657"/>
    </row>
    <row r="14" spans="3:30">
      <c r="C14" s="471"/>
      <c r="W14" s="475">
        <v>9</v>
      </c>
      <c r="X14" s="656" t="s">
        <v>1001</v>
      </c>
      <c r="Y14" s="656"/>
      <c r="Z14" s="656"/>
      <c r="AA14" s="656"/>
      <c r="AB14" s="656"/>
      <c r="AC14" s="656"/>
      <c r="AD14" s="657"/>
    </row>
    <row r="15" spans="3:30">
      <c r="C15" s="471"/>
      <c r="W15" s="475">
        <v>10</v>
      </c>
      <c r="X15" s="656" t="s">
        <v>1010</v>
      </c>
      <c r="Y15" s="656"/>
      <c r="Z15" s="656"/>
      <c r="AA15" s="656"/>
      <c r="AB15" s="656"/>
      <c r="AC15" s="656"/>
      <c r="AD15" s="657"/>
    </row>
    <row r="16" spans="3:30">
      <c r="C16" s="471"/>
      <c r="W16" s="475">
        <v>11</v>
      </c>
      <c r="X16" s="656" t="s">
        <v>1454</v>
      </c>
      <c r="Y16" s="656"/>
      <c r="Z16" s="656"/>
      <c r="AA16" s="656"/>
      <c r="AB16" s="656"/>
      <c r="AC16" s="656"/>
      <c r="AD16" s="657"/>
    </row>
    <row r="17" spans="3:30">
      <c r="C17" s="471"/>
      <c r="S17" s="477"/>
      <c r="W17" s="475">
        <v>12</v>
      </c>
      <c r="X17" s="656" t="s">
        <v>1011</v>
      </c>
      <c r="Y17" s="656"/>
      <c r="Z17" s="656"/>
      <c r="AA17" s="656"/>
      <c r="AB17" s="656"/>
      <c r="AC17" s="656"/>
      <c r="AD17" s="657"/>
    </row>
    <row r="18" spans="3:30">
      <c r="C18" s="478"/>
      <c r="D18" s="479"/>
      <c r="E18" s="479"/>
      <c r="W18" s="475">
        <v>13</v>
      </c>
      <c r="X18" s="656"/>
      <c r="Y18" s="656"/>
      <c r="Z18" s="656"/>
      <c r="AA18" s="656"/>
      <c r="AB18" s="656"/>
      <c r="AC18" s="656"/>
      <c r="AD18" s="657"/>
    </row>
    <row r="19" spans="3:30">
      <c r="C19" s="471"/>
      <c r="W19" s="480"/>
      <c r="X19" s="666"/>
      <c r="Y19" s="666"/>
      <c r="Z19" s="666"/>
      <c r="AA19" s="666"/>
      <c r="AB19" s="666"/>
      <c r="AC19" s="666"/>
      <c r="AD19" s="667"/>
    </row>
    <row r="20" spans="3:30">
      <c r="C20" s="471"/>
      <c r="Q20" s="481"/>
      <c r="W20" s="668" t="s">
        <v>992</v>
      </c>
      <c r="X20" s="669"/>
      <c r="Y20" s="669"/>
      <c r="Z20" s="669"/>
      <c r="AA20" s="669"/>
      <c r="AB20" s="669"/>
      <c r="AC20" s="669"/>
      <c r="AD20" s="670"/>
    </row>
    <row r="21" spans="3:30">
      <c r="C21" s="471"/>
      <c r="W21" s="671" t="s">
        <v>985</v>
      </c>
      <c r="X21" s="672"/>
      <c r="Y21" s="672"/>
      <c r="Z21" s="673"/>
      <c r="AA21" s="674" t="s">
        <v>986</v>
      </c>
      <c r="AB21" s="675"/>
      <c r="AC21" s="675"/>
      <c r="AD21" s="676"/>
    </row>
    <row r="22" spans="3:30">
      <c r="C22" s="471"/>
      <c r="S22" s="482"/>
      <c r="W22" s="658" t="s">
        <v>1640</v>
      </c>
      <c r="X22" s="659"/>
      <c r="Y22" s="483" t="s">
        <v>1618</v>
      </c>
      <c r="Z22" s="484">
        <v>1</v>
      </c>
      <c r="AA22" s="660" t="s">
        <v>1628</v>
      </c>
      <c r="AB22" s="661"/>
      <c r="AC22" s="485" t="s">
        <v>1618</v>
      </c>
      <c r="AD22" s="486">
        <v>1</v>
      </c>
    </row>
    <row r="23" spans="3:30">
      <c r="C23" s="471"/>
      <c r="W23" s="658" t="s">
        <v>1629</v>
      </c>
      <c r="X23" s="659"/>
      <c r="Y23" s="483" t="s">
        <v>1618</v>
      </c>
      <c r="Z23" s="484">
        <v>2</v>
      </c>
      <c r="AA23" s="662"/>
      <c r="AB23" s="663"/>
      <c r="AC23" s="485"/>
      <c r="AD23" s="486"/>
    </row>
    <row r="24" spans="3:30">
      <c r="C24" s="471"/>
      <c r="W24" s="658" t="s">
        <v>1641</v>
      </c>
      <c r="X24" s="659"/>
      <c r="Y24" s="483" t="s">
        <v>1630</v>
      </c>
      <c r="Z24" s="484">
        <v>1</v>
      </c>
      <c r="AA24" s="664"/>
      <c r="AB24" s="665"/>
      <c r="AC24" s="485"/>
      <c r="AD24" s="486"/>
    </row>
    <row r="25" spans="3:30">
      <c r="C25" s="471"/>
      <c r="W25" s="658"/>
      <c r="X25" s="659"/>
      <c r="Y25" s="483"/>
      <c r="Z25" s="484"/>
      <c r="AA25" s="662"/>
      <c r="AB25" s="663"/>
      <c r="AC25" s="485"/>
      <c r="AD25" s="486"/>
    </row>
    <row r="26" spans="3:30">
      <c r="C26" s="471"/>
      <c r="W26" s="679" t="s">
        <v>1642</v>
      </c>
      <c r="X26" s="680"/>
      <c r="Y26" s="483" t="s">
        <v>1618</v>
      </c>
      <c r="Z26" s="484">
        <v>1</v>
      </c>
      <c r="AA26" s="662"/>
      <c r="AB26" s="663"/>
      <c r="AC26" s="485"/>
      <c r="AD26" s="486"/>
    </row>
    <row r="27" spans="3:30">
      <c r="C27" s="471"/>
      <c r="W27" s="679" t="s">
        <v>1631</v>
      </c>
      <c r="X27" s="680"/>
      <c r="Y27" s="483" t="s">
        <v>1618</v>
      </c>
      <c r="Z27" s="484">
        <v>1</v>
      </c>
      <c r="AA27" s="662"/>
      <c r="AB27" s="663"/>
      <c r="AC27" s="485"/>
      <c r="AD27" s="486"/>
    </row>
    <row r="28" spans="3:30">
      <c r="C28" s="471"/>
      <c r="W28" s="677" t="s">
        <v>1632</v>
      </c>
      <c r="X28" s="678"/>
      <c r="Y28" s="483" t="s">
        <v>1618</v>
      </c>
      <c r="Z28" s="484">
        <v>1</v>
      </c>
      <c r="AA28" s="662"/>
      <c r="AB28" s="663"/>
      <c r="AC28" s="485"/>
      <c r="AD28" s="486"/>
    </row>
    <row r="29" spans="3:30">
      <c r="C29" s="471"/>
      <c r="W29" s="679" t="s">
        <v>1633</v>
      </c>
      <c r="X29" s="680"/>
      <c r="Y29" s="483" t="s">
        <v>1618</v>
      </c>
      <c r="Z29" s="484">
        <v>1</v>
      </c>
      <c r="AA29" s="662"/>
      <c r="AB29" s="663"/>
      <c r="AC29" s="485"/>
      <c r="AD29" s="486"/>
    </row>
    <row r="30" spans="3:30" ht="11.25" customHeight="1">
      <c r="C30" s="471"/>
      <c r="W30" s="677" t="s">
        <v>1634</v>
      </c>
      <c r="X30" s="678"/>
      <c r="Y30" s="483" t="s">
        <v>1618</v>
      </c>
      <c r="Z30" s="484">
        <v>1</v>
      </c>
      <c r="AA30" s="662"/>
      <c r="AB30" s="663"/>
      <c r="AC30" s="485"/>
      <c r="AD30" s="486"/>
    </row>
    <row r="31" spans="3:30">
      <c r="C31" s="471"/>
      <c r="U31" s="491"/>
      <c r="W31" s="489" t="s">
        <v>1619</v>
      </c>
      <c r="X31" s="490"/>
      <c r="Y31" s="483" t="s">
        <v>1618</v>
      </c>
      <c r="Z31" s="484">
        <v>1</v>
      </c>
      <c r="AA31" s="662"/>
      <c r="AB31" s="663"/>
      <c r="AC31" s="485"/>
      <c r="AD31" s="486"/>
    </row>
    <row r="32" spans="3:30">
      <c r="C32" s="471"/>
      <c r="U32" s="491"/>
      <c r="W32" s="487"/>
      <c r="X32" s="488"/>
      <c r="Y32" s="483"/>
      <c r="Z32" s="484"/>
      <c r="AA32" s="662"/>
      <c r="AB32" s="663"/>
      <c r="AC32" s="485"/>
      <c r="AD32" s="486"/>
    </row>
    <row r="33" spans="3:30">
      <c r="C33" s="471"/>
      <c r="W33" s="677" t="s">
        <v>1635</v>
      </c>
      <c r="X33" s="678"/>
      <c r="Y33" s="483" t="s">
        <v>1636</v>
      </c>
      <c r="Z33" s="484">
        <v>60</v>
      </c>
      <c r="AA33" s="662"/>
      <c r="AB33" s="663"/>
      <c r="AC33" s="485"/>
      <c r="AD33" s="486"/>
    </row>
    <row r="34" spans="3:30">
      <c r="C34" s="471"/>
      <c r="Q34" s="468" t="s">
        <v>1607</v>
      </c>
      <c r="W34" s="677" t="s">
        <v>1637</v>
      </c>
      <c r="X34" s="678"/>
      <c r="Y34" s="483" t="s">
        <v>1636</v>
      </c>
      <c r="Z34" s="484">
        <v>50</v>
      </c>
      <c r="AA34" s="662"/>
      <c r="AB34" s="663"/>
      <c r="AC34" s="485"/>
      <c r="AD34" s="486"/>
    </row>
    <row r="35" spans="3:30">
      <c r="C35" s="471"/>
      <c r="W35" s="677"/>
      <c r="X35" s="678"/>
      <c r="Y35" s="483"/>
      <c r="Z35" s="484"/>
      <c r="AA35" s="662"/>
      <c r="AB35" s="663"/>
      <c r="AC35" s="485"/>
      <c r="AD35" s="486"/>
    </row>
    <row r="36" spans="3:30">
      <c r="C36" s="471"/>
      <c r="W36" s="677"/>
      <c r="X36" s="678"/>
      <c r="Y36" s="483"/>
      <c r="Z36" s="484"/>
      <c r="AA36" s="662"/>
      <c r="AB36" s="663"/>
      <c r="AC36" s="485"/>
      <c r="AD36" s="486"/>
    </row>
    <row r="37" spans="3:30" ht="12.75" customHeight="1">
      <c r="C37" s="471"/>
      <c r="W37" s="489"/>
      <c r="X37" s="492"/>
      <c r="Y37" s="483"/>
      <c r="Z37" s="484"/>
      <c r="AA37" s="681"/>
      <c r="AB37" s="682"/>
      <c r="AC37" s="485"/>
      <c r="AD37" s="493"/>
    </row>
    <row r="38" spans="3:30" ht="12.75" customHeight="1">
      <c r="C38" s="471"/>
      <c r="W38" s="494"/>
      <c r="X38" s="495"/>
      <c r="Y38" s="483"/>
      <c r="Z38" s="496"/>
      <c r="AA38" s="683"/>
      <c r="AB38" s="684"/>
      <c r="AC38" s="485"/>
      <c r="AD38" s="493"/>
    </row>
    <row r="39" spans="3:30" ht="12" customHeight="1">
      <c r="C39" s="471"/>
      <c r="W39" s="494"/>
      <c r="X39" s="495"/>
      <c r="Y39" s="483"/>
      <c r="Z39" s="496"/>
      <c r="AA39" s="688"/>
      <c r="AB39" s="689"/>
      <c r="AC39" s="485"/>
      <c r="AD39" s="493"/>
    </row>
    <row r="40" spans="3:30" ht="12" customHeight="1">
      <c r="C40" s="471"/>
      <c r="W40" s="497"/>
      <c r="X40" s="498"/>
      <c r="Y40" s="499"/>
      <c r="Z40" s="496"/>
      <c r="AA40" s="500"/>
      <c r="AB40" s="501"/>
      <c r="AC40" s="502"/>
      <c r="AD40" s="503"/>
    </row>
    <row r="41" spans="3:30" ht="12" customHeight="1">
      <c r="C41" s="471"/>
      <c r="W41" s="690"/>
      <c r="X41" s="691"/>
      <c r="Y41" s="504"/>
      <c r="Z41" s="505"/>
      <c r="AA41" s="692"/>
      <c r="AB41" s="693"/>
      <c r="AC41" s="502"/>
      <c r="AD41" s="503"/>
    </row>
    <row r="42" spans="3:30" ht="12" customHeight="1">
      <c r="C42" s="471"/>
      <c r="W42" s="694" t="s">
        <v>1625</v>
      </c>
      <c r="X42" s="695"/>
      <c r="Y42" s="695"/>
      <c r="Z42" s="695"/>
      <c r="AA42" s="695"/>
      <c r="AB42" s="695"/>
      <c r="AC42" s="695"/>
      <c r="AD42" s="696"/>
    </row>
    <row r="43" spans="3:30" ht="12" customHeight="1">
      <c r="C43" s="471"/>
      <c r="V43" s="506"/>
      <c r="W43" s="697"/>
      <c r="X43" s="698"/>
      <c r="Y43" s="698"/>
      <c r="Z43" s="698"/>
      <c r="AA43" s="698"/>
      <c r="AB43" s="698"/>
      <c r="AC43" s="698"/>
      <c r="AD43" s="699"/>
    </row>
    <row r="44" spans="3:30">
      <c r="C44" s="507"/>
      <c r="D44" s="508"/>
      <c r="E44" s="508"/>
      <c r="F44" s="508"/>
      <c r="G44" s="508"/>
      <c r="H44" s="508"/>
      <c r="I44" s="508"/>
      <c r="N44" s="508"/>
      <c r="O44" s="508"/>
      <c r="P44" s="508"/>
      <c r="Q44" s="508"/>
      <c r="R44" s="508"/>
      <c r="S44" s="508"/>
      <c r="T44" s="508"/>
      <c r="U44" s="508"/>
      <c r="V44" s="506"/>
      <c r="W44" s="685" t="s">
        <v>11</v>
      </c>
      <c r="X44" s="686"/>
      <c r="Y44" s="656"/>
      <c r="Z44" s="656"/>
      <c r="AA44" s="656"/>
      <c r="AB44" s="656"/>
      <c r="AC44" s="656"/>
      <c r="AD44" s="657"/>
    </row>
    <row r="45" spans="3:30">
      <c r="C45" s="507"/>
      <c r="D45" s="508"/>
      <c r="E45" s="508"/>
      <c r="F45" s="508"/>
      <c r="G45" s="508"/>
      <c r="H45" s="508"/>
      <c r="I45" s="508"/>
      <c r="N45" s="508"/>
      <c r="O45" s="508"/>
      <c r="P45" s="508"/>
      <c r="Q45" s="508"/>
      <c r="R45" s="508"/>
      <c r="S45" s="508"/>
      <c r="T45" s="508"/>
      <c r="U45" s="508"/>
      <c r="V45" s="506"/>
      <c r="W45" s="685" t="s">
        <v>984</v>
      </c>
      <c r="X45" s="686"/>
      <c r="Y45" s="656">
        <v>1</v>
      </c>
      <c r="Z45" s="656"/>
      <c r="AA45" s="656"/>
      <c r="AB45" s="656" t="s">
        <v>12</v>
      </c>
      <c r="AC45" s="656"/>
      <c r="AD45" s="476" t="s">
        <v>13</v>
      </c>
    </row>
    <row r="46" spans="3:30">
      <c r="C46" s="507"/>
      <c r="D46" s="508"/>
      <c r="E46" s="508"/>
      <c r="F46" s="508"/>
      <c r="G46" s="508"/>
      <c r="H46" s="508"/>
      <c r="I46" s="508"/>
      <c r="J46" s="508"/>
      <c r="K46" s="508"/>
      <c r="L46" s="508"/>
      <c r="M46" s="508"/>
      <c r="N46" s="508"/>
      <c r="O46" s="508"/>
      <c r="P46" s="508"/>
      <c r="Q46" s="508"/>
      <c r="R46" s="508"/>
      <c r="S46" s="508"/>
      <c r="T46" s="508"/>
      <c r="U46" s="508"/>
      <c r="V46" s="506"/>
      <c r="W46" s="685" t="s">
        <v>15</v>
      </c>
      <c r="X46" s="686"/>
      <c r="Y46" s="687"/>
      <c r="Z46" s="687"/>
      <c r="AA46" s="687"/>
      <c r="AB46" s="656" t="s">
        <v>16</v>
      </c>
      <c r="AC46" s="656"/>
      <c r="AD46" s="509"/>
    </row>
    <row r="47" spans="3:30">
      <c r="C47" s="507"/>
      <c r="D47" s="508"/>
      <c r="E47" s="508"/>
      <c r="F47" s="508"/>
      <c r="G47" s="508"/>
      <c r="H47" s="508"/>
      <c r="I47" s="508"/>
      <c r="J47" s="508"/>
      <c r="K47" s="508"/>
      <c r="L47" s="508"/>
      <c r="M47" s="508"/>
      <c r="N47" s="508"/>
      <c r="O47" s="508"/>
      <c r="P47" s="508"/>
      <c r="Q47" s="508"/>
      <c r="R47" s="508"/>
      <c r="S47" s="508"/>
      <c r="T47" s="508"/>
      <c r="U47" s="508"/>
      <c r="V47" s="506"/>
      <c r="W47" s="705" t="s">
        <v>17</v>
      </c>
      <c r="X47" s="705"/>
      <c r="Y47" s="705"/>
      <c r="Z47" s="705"/>
      <c r="AA47" s="705"/>
      <c r="AB47" s="705"/>
      <c r="AC47" s="705"/>
      <c r="AD47" s="706"/>
    </row>
    <row r="48" spans="3:30" ht="12.75" customHeight="1">
      <c r="C48" s="507"/>
      <c r="D48" s="508"/>
      <c r="E48" s="508"/>
      <c r="F48" s="508"/>
      <c r="G48" s="508"/>
      <c r="H48" s="508"/>
      <c r="I48" s="508"/>
      <c r="J48" s="508"/>
      <c r="K48" s="508"/>
      <c r="L48" s="508"/>
      <c r="M48" s="508"/>
      <c r="R48" s="508"/>
      <c r="S48" s="508"/>
      <c r="T48" s="508"/>
      <c r="U48" s="508"/>
      <c r="V48" s="506"/>
      <c r="W48" s="707" t="s">
        <v>1639</v>
      </c>
      <c r="X48" s="707"/>
      <c r="Y48" s="707"/>
      <c r="Z48" s="707"/>
      <c r="AA48" s="707"/>
      <c r="AB48" s="707"/>
      <c r="AC48" s="707"/>
      <c r="AD48" s="708"/>
    </row>
    <row r="49" spans="3:30">
      <c r="C49" s="507"/>
      <c r="D49" s="510"/>
      <c r="E49" s="508"/>
      <c r="F49" s="508"/>
      <c r="G49" s="508"/>
      <c r="I49" s="508"/>
      <c r="J49" s="508"/>
      <c r="K49" s="508"/>
      <c r="L49" s="508"/>
      <c r="M49" s="508"/>
      <c r="R49" s="508"/>
      <c r="S49" s="508"/>
      <c r="T49" s="508"/>
      <c r="U49" s="508"/>
      <c r="V49" s="511"/>
      <c r="W49" s="707"/>
      <c r="X49" s="707"/>
      <c r="Y49" s="707"/>
      <c r="Z49" s="707"/>
      <c r="AA49" s="707"/>
      <c r="AB49" s="707"/>
      <c r="AC49" s="707"/>
      <c r="AD49" s="708"/>
    </row>
    <row r="50" spans="3:30">
      <c r="C50" s="507"/>
      <c r="D50" s="512"/>
      <c r="E50" s="512"/>
      <c r="F50" s="512"/>
      <c r="G50" s="512"/>
      <c r="I50" s="508"/>
      <c r="J50" s="508"/>
      <c r="K50" s="508"/>
      <c r="L50" s="508"/>
      <c r="M50" s="508"/>
      <c r="N50" s="508"/>
      <c r="O50" s="508"/>
      <c r="P50" s="508"/>
      <c r="Q50" s="508"/>
      <c r="R50" s="508"/>
      <c r="S50" s="508"/>
      <c r="T50" s="508"/>
      <c r="U50" s="508"/>
      <c r="V50" s="511"/>
      <c r="W50" s="707"/>
      <c r="X50" s="707"/>
      <c r="Y50" s="707"/>
      <c r="Z50" s="707"/>
      <c r="AA50" s="707"/>
      <c r="AB50" s="707"/>
      <c r="AC50" s="707"/>
      <c r="AD50" s="708"/>
    </row>
    <row r="51" spans="3:30" ht="19.5" customHeight="1">
      <c r="C51" s="507"/>
      <c r="D51" s="512"/>
      <c r="E51" s="512"/>
      <c r="F51" s="512"/>
      <c r="G51" s="512"/>
      <c r="I51" s="508"/>
      <c r="J51" s="508"/>
      <c r="K51" s="508"/>
      <c r="L51" s="508"/>
      <c r="M51" s="508"/>
      <c r="N51" s="508"/>
      <c r="O51" s="508"/>
      <c r="P51" s="508"/>
      <c r="Q51" s="508"/>
      <c r="R51" s="508"/>
      <c r="S51" s="508"/>
      <c r="T51" s="508"/>
      <c r="U51" s="508"/>
      <c r="V51" s="511"/>
      <c r="W51" s="709"/>
      <c r="X51" s="709"/>
      <c r="Y51" s="709"/>
      <c r="Z51" s="709"/>
      <c r="AA51" s="709"/>
      <c r="AB51" s="709"/>
      <c r="AC51" s="709"/>
      <c r="AD51" s="710"/>
    </row>
    <row r="52" spans="3:30">
      <c r="C52" s="507"/>
      <c r="D52" s="513"/>
      <c r="E52" s="513"/>
      <c r="F52" s="513"/>
      <c r="G52" s="513"/>
      <c r="I52" s="508"/>
      <c r="J52" s="508"/>
      <c r="K52" s="508"/>
      <c r="L52" s="422"/>
      <c r="M52" s="508"/>
      <c r="N52" s="508"/>
      <c r="O52" s="508"/>
      <c r="P52" s="508"/>
      <c r="Q52" s="508"/>
      <c r="R52" s="508"/>
      <c r="S52" s="508"/>
      <c r="T52" s="508"/>
      <c r="U52" s="508"/>
      <c r="V52" s="506"/>
      <c r="W52" s="700" t="s">
        <v>18</v>
      </c>
      <c r="X52" s="686"/>
      <c r="Y52" s="656" t="s">
        <v>1624</v>
      </c>
      <c r="Z52" s="656"/>
      <c r="AA52" s="656"/>
      <c r="AB52" s="656"/>
      <c r="AC52" s="656"/>
      <c r="AD52" s="657"/>
    </row>
    <row r="53" spans="3:30">
      <c r="C53" s="507"/>
      <c r="D53" s="512"/>
      <c r="E53" s="512"/>
      <c r="F53" s="512"/>
      <c r="G53" s="512"/>
      <c r="I53" s="508"/>
      <c r="J53" s="508"/>
      <c r="K53" s="508"/>
      <c r="L53" s="508"/>
      <c r="M53" s="508"/>
      <c r="N53" s="508"/>
      <c r="O53" s="508"/>
      <c r="P53" s="508"/>
      <c r="Q53" s="508"/>
      <c r="R53" s="508"/>
      <c r="S53" s="508"/>
      <c r="T53" s="508"/>
      <c r="V53" s="506"/>
      <c r="W53" s="700" t="s">
        <v>19</v>
      </c>
      <c r="X53" s="686"/>
      <c r="Y53" s="656" t="s">
        <v>1623</v>
      </c>
      <c r="Z53" s="656"/>
      <c r="AA53" s="656"/>
      <c r="AB53" s="656"/>
      <c r="AC53" s="656"/>
      <c r="AD53" s="657"/>
    </row>
    <row r="54" spans="3:30">
      <c r="C54" s="507"/>
      <c r="D54" s="423"/>
      <c r="E54" s="423"/>
      <c r="F54" s="423"/>
      <c r="G54" s="423"/>
      <c r="I54" s="508"/>
      <c r="J54" s="508"/>
      <c r="K54" s="508"/>
      <c r="L54" s="508"/>
      <c r="M54" s="508"/>
      <c r="N54" s="508"/>
      <c r="O54" s="508"/>
      <c r="P54" s="508"/>
      <c r="Q54" s="508"/>
      <c r="R54" s="508"/>
      <c r="S54" s="508"/>
      <c r="T54" s="508"/>
      <c r="V54" s="506"/>
      <c r="W54" s="700" t="s">
        <v>20</v>
      </c>
      <c r="X54" s="686"/>
      <c r="Y54" s="656" t="s">
        <v>1623</v>
      </c>
      <c r="Z54" s="656"/>
      <c r="AA54" s="656"/>
      <c r="AB54" s="656"/>
      <c r="AC54" s="656"/>
      <c r="AD54" s="657"/>
    </row>
    <row r="55" spans="3:30" ht="12.75" thickBot="1">
      <c r="C55" s="514"/>
      <c r="D55" s="515"/>
      <c r="E55" s="515"/>
      <c r="F55" s="515"/>
      <c r="G55" s="515"/>
      <c r="H55" s="515"/>
      <c r="I55" s="515"/>
      <c r="J55" s="515"/>
      <c r="K55" s="515"/>
      <c r="L55" s="515"/>
      <c r="M55" s="515"/>
      <c r="N55" s="515"/>
      <c r="O55" s="515"/>
      <c r="P55" s="515"/>
      <c r="Q55" s="515"/>
      <c r="R55" s="515"/>
      <c r="S55" s="515"/>
      <c r="T55" s="515"/>
      <c r="U55" s="516"/>
      <c r="V55" s="517"/>
      <c r="W55" s="701" t="s">
        <v>21</v>
      </c>
      <c r="X55" s="702"/>
      <c r="Y55" s="703" t="s">
        <v>1622</v>
      </c>
      <c r="Z55" s="703"/>
      <c r="AA55" s="703"/>
      <c r="AB55" s="703"/>
      <c r="AC55" s="703"/>
      <c r="AD55" s="704"/>
    </row>
  </sheetData>
  <mergeCells count="105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6A82-131C-4510-88B2-6218709457BD}">
  <sheetPr>
    <tabColor rgb="FFFF66FF"/>
  </sheetPr>
  <dimension ref="B1:AE122"/>
  <sheetViews>
    <sheetView view="pageBreakPreview" zoomScale="47" zoomScaleNormal="40" zoomScaleSheetLayoutView="103" workbookViewId="0">
      <selection activeCell="AC38" sqref="AC38"/>
    </sheetView>
  </sheetViews>
  <sheetFormatPr defaultColWidth="9.140625" defaultRowHeight="12.75"/>
  <cols>
    <col min="1" max="1" width="1.7109375" style="424" customWidth="1"/>
    <col min="2" max="2" width="10.7109375" style="424" customWidth="1"/>
    <col min="3" max="3" width="2.5703125" style="424" customWidth="1"/>
    <col min="4" max="20" width="9.140625" style="424"/>
    <col min="21" max="21" width="14.5703125" style="424" customWidth="1"/>
    <col min="22" max="22" width="3.140625" style="424" customWidth="1"/>
    <col min="23" max="26" width="9.140625" style="424"/>
    <col min="27" max="27" width="2.85546875" style="424" customWidth="1"/>
    <col min="28" max="30" width="4.7109375" style="424" customWidth="1"/>
    <col min="31" max="31" width="1.7109375" style="424" customWidth="1"/>
    <col min="32" max="16384" width="9.140625" style="424"/>
  </cols>
  <sheetData>
    <row r="1" spans="2:31" ht="13.5" thickBot="1"/>
    <row r="2" spans="2:31" ht="13.5" thickBot="1">
      <c r="B2" s="425"/>
      <c r="C2" s="426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426"/>
      <c r="X2" s="426"/>
      <c r="Y2" s="426"/>
      <c r="Z2" s="426"/>
      <c r="AA2" s="426"/>
      <c r="AB2" s="426"/>
      <c r="AC2" s="426"/>
      <c r="AD2" s="427"/>
      <c r="AE2" s="428"/>
    </row>
    <row r="3" spans="2:31" ht="12.75" customHeight="1" thickTop="1">
      <c r="B3" s="429"/>
      <c r="C3" s="711" t="s">
        <v>1620</v>
      </c>
      <c r="D3" s="712"/>
      <c r="E3" s="712"/>
      <c r="F3" s="712"/>
      <c r="G3" s="712"/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3"/>
      <c r="AC3" s="430"/>
      <c r="AD3" s="428"/>
      <c r="AE3" s="428"/>
    </row>
    <row r="4" spans="2:31" ht="13.5" customHeight="1" thickBot="1">
      <c r="B4" s="429"/>
      <c r="C4" s="714"/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6"/>
      <c r="AC4" s="430"/>
      <c r="AD4" s="428"/>
      <c r="AE4" s="428"/>
    </row>
    <row r="5" spans="2:31" ht="12.75" customHeight="1" thickTop="1">
      <c r="B5" s="429"/>
      <c r="C5" s="431"/>
      <c r="AD5" s="428"/>
      <c r="AE5" s="428"/>
    </row>
    <row r="6" spans="2:31" ht="12.75" customHeight="1">
      <c r="B6" s="429"/>
      <c r="Y6" s="432"/>
      <c r="Z6" s="432"/>
      <c r="AA6" s="432"/>
      <c r="AB6" s="433"/>
      <c r="AC6" s="433"/>
      <c r="AD6" s="428"/>
      <c r="AE6" s="428"/>
    </row>
    <row r="7" spans="2:31" ht="12.75" customHeight="1">
      <c r="B7" s="429"/>
      <c r="Y7" s="432"/>
      <c r="Z7" s="432"/>
      <c r="AA7" s="432"/>
      <c r="AB7" s="433"/>
      <c r="AC7" s="433"/>
      <c r="AD7" s="428"/>
      <c r="AE7" s="428"/>
    </row>
    <row r="8" spans="2:31" ht="12.75" customHeight="1">
      <c r="B8" s="429"/>
      <c r="AD8" s="428"/>
      <c r="AE8" s="428"/>
    </row>
    <row r="9" spans="2:31" ht="12.75" customHeight="1">
      <c r="B9" s="429"/>
      <c r="AD9" s="428"/>
      <c r="AE9" s="428"/>
    </row>
    <row r="10" spans="2:31">
      <c r="B10" s="429"/>
      <c r="AD10" s="428"/>
      <c r="AE10" s="428"/>
    </row>
    <row r="11" spans="2:31">
      <c r="B11" s="429"/>
      <c r="AD11" s="428"/>
      <c r="AE11" s="428"/>
    </row>
    <row r="12" spans="2:31">
      <c r="B12" s="429"/>
      <c r="AD12" s="428"/>
      <c r="AE12" s="428"/>
    </row>
    <row r="13" spans="2:31">
      <c r="B13" s="429"/>
      <c r="AD13" s="428"/>
      <c r="AE13" s="428"/>
    </row>
    <row r="14" spans="2:31">
      <c r="B14" s="429"/>
      <c r="D14" s="434"/>
      <c r="AD14" s="428"/>
      <c r="AE14" s="428"/>
    </row>
    <row r="15" spans="2:31">
      <c r="B15" s="429"/>
      <c r="AD15" s="428"/>
      <c r="AE15" s="428"/>
    </row>
    <row r="16" spans="2:31">
      <c r="B16" s="429"/>
      <c r="AD16" s="428"/>
      <c r="AE16" s="428"/>
    </row>
    <row r="17" spans="2:31">
      <c r="B17" s="429"/>
      <c r="AD17" s="428"/>
      <c r="AE17" s="428"/>
    </row>
    <row r="18" spans="2:31">
      <c r="B18" s="429"/>
      <c r="AD18" s="428"/>
      <c r="AE18" s="428"/>
    </row>
    <row r="19" spans="2:31">
      <c r="B19" s="429"/>
      <c r="AD19" s="428"/>
      <c r="AE19" s="428"/>
    </row>
    <row r="20" spans="2:31">
      <c r="B20" s="429"/>
      <c r="AD20" s="428"/>
      <c r="AE20" s="428"/>
    </row>
    <row r="21" spans="2:31">
      <c r="B21" s="429"/>
      <c r="AD21" s="428"/>
      <c r="AE21" s="428"/>
    </row>
    <row r="22" spans="2:31">
      <c r="B22" s="429"/>
      <c r="AD22" s="428"/>
      <c r="AE22" s="428"/>
    </row>
    <row r="23" spans="2:31">
      <c r="B23" s="429"/>
      <c r="AD23" s="428"/>
      <c r="AE23" s="428"/>
    </row>
    <row r="24" spans="2:31">
      <c r="B24" s="429"/>
      <c r="AD24" s="428"/>
      <c r="AE24" s="428"/>
    </row>
    <row r="25" spans="2:31">
      <c r="B25" s="429"/>
      <c r="AD25" s="428"/>
      <c r="AE25" s="428"/>
    </row>
    <row r="26" spans="2:31">
      <c r="B26" s="429"/>
      <c r="AD26" s="428"/>
      <c r="AE26" s="428"/>
    </row>
    <row r="27" spans="2:31">
      <c r="B27" s="429"/>
      <c r="AD27" s="428"/>
      <c r="AE27" s="428"/>
    </row>
    <row r="28" spans="2:31">
      <c r="B28" s="429"/>
      <c r="AD28" s="428"/>
      <c r="AE28" s="428"/>
    </row>
    <row r="29" spans="2:31">
      <c r="B29" s="429"/>
      <c r="AD29" s="428"/>
      <c r="AE29" s="428"/>
    </row>
    <row r="30" spans="2:31">
      <c r="B30" s="429"/>
      <c r="AD30" s="428"/>
      <c r="AE30" s="428"/>
    </row>
    <row r="31" spans="2:31">
      <c r="B31" s="429"/>
      <c r="AD31" s="428"/>
      <c r="AE31" s="428"/>
    </row>
    <row r="32" spans="2:31">
      <c r="B32" s="429"/>
      <c r="AD32" s="428"/>
      <c r="AE32" s="428"/>
    </row>
    <row r="33" spans="2:31">
      <c r="B33" s="429"/>
      <c r="AD33" s="428"/>
      <c r="AE33" s="428"/>
    </row>
    <row r="34" spans="2:31">
      <c r="B34" s="429"/>
      <c r="AD34" s="428"/>
      <c r="AE34" s="428"/>
    </row>
    <row r="35" spans="2:31">
      <c r="B35" s="429"/>
      <c r="AD35" s="428"/>
      <c r="AE35" s="428"/>
    </row>
    <row r="36" spans="2:31">
      <c r="B36" s="429"/>
      <c r="AD36" s="428"/>
      <c r="AE36" s="428"/>
    </row>
    <row r="37" spans="2:31">
      <c r="B37" s="429"/>
      <c r="AD37" s="428"/>
      <c r="AE37" s="428"/>
    </row>
    <row r="38" spans="2:31">
      <c r="B38" s="429"/>
      <c r="AD38" s="428"/>
      <c r="AE38" s="428"/>
    </row>
    <row r="39" spans="2:31">
      <c r="B39" s="429"/>
      <c r="AD39" s="428"/>
      <c r="AE39" s="428"/>
    </row>
    <row r="40" spans="2:31">
      <c r="B40" s="429"/>
      <c r="AD40" s="428"/>
      <c r="AE40" s="428"/>
    </row>
    <row r="41" spans="2:31">
      <c r="B41" s="429"/>
      <c r="AD41" s="428"/>
      <c r="AE41" s="428"/>
    </row>
    <row r="42" spans="2:31">
      <c r="B42" s="429"/>
      <c r="AD42" s="428"/>
      <c r="AE42" s="428"/>
    </row>
    <row r="43" spans="2:31">
      <c r="B43" s="429"/>
      <c r="AD43" s="428"/>
      <c r="AE43" s="428"/>
    </row>
    <row r="44" spans="2:31">
      <c r="B44" s="429"/>
      <c r="AD44" s="428"/>
      <c r="AE44" s="428"/>
    </row>
    <row r="45" spans="2:31">
      <c r="B45" s="429"/>
      <c r="AD45" s="428"/>
      <c r="AE45" s="428"/>
    </row>
    <row r="46" spans="2:31">
      <c r="B46" s="429"/>
      <c r="AD46" s="428"/>
      <c r="AE46" s="428"/>
    </row>
    <row r="47" spans="2:31">
      <c r="B47" s="429"/>
      <c r="AD47" s="428"/>
      <c r="AE47" s="428"/>
    </row>
    <row r="48" spans="2:31">
      <c r="B48" s="429"/>
      <c r="AD48" s="428"/>
      <c r="AE48" s="428"/>
    </row>
    <row r="49" spans="2:31">
      <c r="B49" s="429"/>
      <c r="AD49" s="428"/>
      <c r="AE49" s="428"/>
    </row>
    <row r="50" spans="2:31">
      <c r="B50" s="429"/>
      <c r="AD50" s="428"/>
      <c r="AE50" s="428"/>
    </row>
    <row r="51" spans="2:31">
      <c r="B51" s="429"/>
      <c r="AD51" s="428"/>
      <c r="AE51" s="428"/>
    </row>
    <row r="52" spans="2:31">
      <c r="B52" s="429"/>
      <c r="AD52" s="428"/>
      <c r="AE52" s="428"/>
    </row>
    <row r="53" spans="2:31">
      <c r="B53" s="429"/>
      <c r="AD53" s="428"/>
      <c r="AE53" s="428"/>
    </row>
    <row r="54" spans="2:31">
      <c r="B54" s="429"/>
      <c r="AD54" s="428"/>
      <c r="AE54" s="428"/>
    </row>
    <row r="55" spans="2:31">
      <c r="B55" s="429"/>
      <c r="AD55" s="428"/>
      <c r="AE55" s="428"/>
    </row>
    <row r="56" spans="2:31">
      <c r="B56" s="429"/>
      <c r="R56" s="435"/>
      <c r="S56" s="435"/>
      <c r="T56" s="435"/>
      <c r="U56" s="436"/>
      <c r="V56" s="436"/>
      <c r="W56" s="436"/>
      <c r="X56" s="436"/>
      <c r="Y56" s="436"/>
      <c r="Z56" s="436"/>
      <c r="AA56" s="436"/>
      <c r="AB56" s="436"/>
      <c r="AC56" s="436"/>
      <c r="AD56" s="437"/>
      <c r="AE56" s="428"/>
    </row>
    <row r="57" spans="2:31">
      <c r="B57" s="429"/>
      <c r="R57" s="438"/>
      <c r="S57" s="435"/>
      <c r="T57" s="435"/>
      <c r="U57" s="436"/>
      <c r="V57" s="439"/>
      <c r="W57" s="436"/>
      <c r="X57" s="436"/>
      <c r="Y57" s="436"/>
      <c r="Z57" s="436"/>
      <c r="AA57" s="439"/>
      <c r="AB57" s="439"/>
      <c r="AC57" s="439"/>
      <c r="AD57" s="440"/>
      <c r="AE57" s="428"/>
    </row>
    <row r="58" spans="2:31">
      <c r="B58" s="429"/>
      <c r="U58" s="436"/>
      <c r="V58" s="439"/>
      <c r="W58" s="436"/>
      <c r="X58" s="436"/>
      <c r="Y58" s="436"/>
      <c r="Z58" s="436"/>
      <c r="AA58" s="439"/>
      <c r="AB58" s="436"/>
      <c r="AC58" s="436"/>
      <c r="AD58" s="437"/>
      <c r="AE58" s="428"/>
    </row>
    <row r="59" spans="2:31">
      <c r="B59" s="429"/>
      <c r="U59" s="436"/>
      <c r="V59" s="439"/>
      <c r="W59" s="436"/>
      <c r="X59" s="436"/>
      <c r="Y59" s="436"/>
      <c r="Z59" s="436"/>
      <c r="AA59" s="436"/>
      <c r="AB59" s="436"/>
      <c r="AC59" s="436"/>
      <c r="AD59" s="437"/>
      <c r="AE59" s="428"/>
    </row>
    <row r="60" spans="2:31">
      <c r="B60" s="429"/>
      <c r="U60" s="436"/>
      <c r="V60" s="439"/>
      <c r="W60" s="436"/>
      <c r="X60" s="436"/>
      <c r="Y60" s="436"/>
      <c r="Z60" s="436"/>
      <c r="AA60" s="436"/>
      <c r="AB60" s="436"/>
      <c r="AC60" s="436"/>
      <c r="AD60" s="437"/>
      <c r="AE60" s="428"/>
    </row>
    <row r="61" spans="2:31">
      <c r="B61" s="429"/>
      <c r="U61" s="436"/>
      <c r="V61" s="439"/>
      <c r="W61" s="436"/>
      <c r="X61" s="436"/>
      <c r="Y61" s="436"/>
      <c r="Z61" s="436"/>
      <c r="AA61" s="436"/>
      <c r="AB61" s="436"/>
      <c r="AC61" s="436"/>
      <c r="AD61" s="437"/>
      <c r="AE61" s="428"/>
    </row>
    <row r="62" spans="2:31">
      <c r="B62" s="429"/>
      <c r="U62" s="436"/>
      <c r="V62" s="439"/>
      <c r="W62" s="436"/>
      <c r="X62" s="436"/>
      <c r="Y62" s="436"/>
      <c r="Z62" s="436"/>
      <c r="AA62" s="439"/>
      <c r="AB62" s="436"/>
      <c r="AC62" s="436"/>
      <c r="AD62" s="437"/>
      <c r="AE62" s="428"/>
    </row>
    <row r="63" spans="2:31">
      <c r="B63" s="429"/>
      <c r="U63" s="436"/>
      <c r="V63" s="439"/>
      <c r="W63" s="436"/>
      <c r="X63" s="436"/>
      <c r="Y63" s="436"/>
      <c r="Z63" s="436"/>
      <c r="AA63" s="436"/>
      <c r="AB63" s="436"/>
      <c r="AC63" s="436"/>
      <c r="AD63" s="437"/>
      <c r="AE63" s="428"/>
    </row>
    <row r="64" spans="2:31">
      <c r="B64" s="429"/>
      <c r="U64" s="436"/>
      <c r="V64" s="439"/>
      <c r="W64" s="436"/>
      <c r="X64" s="436"/>
      <c r="Y64" s="436"/>
      <c r="Z64" s="436"/>
      <c r="AA64" s="436"/>
      <c r="AB64" s="436"/>
      <c r="AC64" s="436"/>
      <c r="AD64" s="437"/>
      <c r="AE64" s="428"/>
    </row>
    <row r="65" spans="2:31">
      <c r="B65" s="429"/>
      <c r="U65" s="436"/>
      <c r="V65" s="439"/>
      <c r="W65" s="436"/>
      <c r="X65" s="436"/>
      <c r="Y65" s="436"/>
      <c r="Z65" s="436"/>
      <c r="AA65" s="436"/>
      <c r="AB65" s="436"/>
      <c r="AC65" s="436"/>
      <c r="AD65" s="437"/>
      <c r="AE65" s="428"/>
    </row>
    <row r="66" spans="2:31">
      <c r="B66" s="429"/>
      <c r="U66" s="436"/>
      <c r="V66" s="439"/>
      <c r="W66" s="436"/>
      <c r="X66" s="436"/>
      <c r="Y66" s="436"/>
      <c r="Z66" s="436"/>
      <c r="AA66" s="436"/>
      <c r="AB66" s="436"/>
      <c r="AC66" s="436"/>
      <c r="AD66" s="437"/>
      <c r="AE66" s="428"/>
    </row>
    <row r="67" spans="2:31" ht="13.5" thickBot="1">
      <c r="B67" s="441"/>
      <c r="C67" s="442"/>
      <c r="D67" s="442"/>
      <c r="E67" s="442"/>
      <c r="F67" s="442"/>
      <c r="G67" s="442"/>
      <c r="H67" s="442"/>
      <c r="I67" s="442"/>
      <c r="J67" s="442"/>
      <c r="K67" s="442"/>
      <c r="L67" s="442"/>
      <c r="M67" s="442"/>
      <c r="N67" s="442"/>
      <c r="O67" s="442"/>
      <c r="P67" s="442"/>
      <c r="Q67" s="442"/>
      <c r="R67" s="442"/>
      <c r="S67" s="442"/>
      <c r="T67" s="442"/>
      <c r="U67" s="443"/>
      <c r="V67" s="444"/>
      <c r="W67" s="443"/>
      <c r="X67" s="443"/>
      <c r="Y67" s="443"/>
      <c r="Z67" s="443"/>
      <c r="AA67" s="443"/>
      <c r="AB67" s="443"/>
      <c r="AC67" s="443"/>
      <c r="AD67" s="445"/>
      <c r="AE67" s="428"/>
    </row>
    <row r="68" spans="2:31" ht="6" customHeight="1" thickBot="1">
      <c r="B68" s="442"/>
      <c r="C68" s="442"/>
      <c r="D68" s="442"/>
      <c r="E68" s="442"/>
      <c r="F68" s="442"/>
      <c r="G68" s="442"/>
      <c r="H68" s="442"/>
      <c r="I68" s="442"/>
      <c r="J68" s="442"/>
      <c r="K68" s="442"/>
      <c r="L68" s="442"/>
      <c r="M68" s="442"/>
      <c r="N68" s="442"/>
      <c r="O68" s="442"/>
      <c r="P68" s="442"/>
      <c r="Q68" s="442"/>
      <c r="R68" s="442"/>
      <c r="S68" s="442"/>
      <c r="T68" s="442"/>
      <c r="U68" s="442"/>
      <c r="V68" s="442"/>
      <c r="W68" s="442"/>
      <c r="X68" s="442"/>
      <c r="Y68" s="442"/>
      <c r="Z68" s="442"/>
      <c r="AA68" s="442"/>
      <c r="AB68" s="442"/>
      <c r="AC68" s="442"/>
      <c r="AD68" s="442"/>
      <c r="AE68" s="446"/>
    </row>
    <row r="75" spans="2:31">
      <c r="M75" s="447"/>
    </row>
    <row r="76" spans="2:31" ht="15" customHeight="1">
      <c r="E76" s="448"/>
      <c r="M76" s="447"/>
    </row>
    <row r="77" spans="2:31" ht="15" customHeight="1">
      <c r="E77" s="448"/>
      <c r="M77" s="447"/>
    </row>
    <row r="78" spans="2:31" ht="15" customHeight="1">
      <c r="E78" s="448"/>
      <c r="M78" s="447"/>
    </row>
    <row r="79" spans="2:31" ht="15" customHeight="1">
      <c r="E79" s="448"/>
      <c r="M79" s="447"/>
    </row>
    <row r="80" spans="2:31" ht="15" customHeight="1">
      <c r="E80" s="448"/>
      <c r="M80" s="447"/>
    </row>
    <row r="81" spans="5:13" ht="15" customHeight="1">
      <c r="E81" s="448"/>
      <c r="M81" s="447"/>
    </row>
    <row r="82" spans="5:13" ht="15" customHeight="1">
      <c r="E82" s="448"/>
      <c r="M82" s="447"/>
    </row>
    <row r="83" spans="5:13" ht="15" customHeight="1">
      <c r="E83" s="448"/>
      <c r="M83" s="447"/>
    </row>
    <row r="84" spans="5:13" ht="15" customHeight="1">
      <c r="E84" s="448"/>
      <c r="M84" s="447"/>
    </row>
    <row r="85" spans="5:13" ht="15" customHeight="1">
      <c r="E85" s="448"/>
      <c r="M85" s="447"/>
    </row>
    <row r="86" spans="5:13" ht="15" customHeight="1">
      <c r="E86" s="448"/>
      <c r="M86" s="447"/>
    </row>
    <row r="87" spans="5:13" ht="15" customHeight="1">
      <c r="E87" s="448"/>
      <c r="M87" s="447"/>
    </row>
    <row r="88" spans="5:13" ht="15" customHeight="1">
      <c r="E88" s="448"/>
      <c r="M88" s="447"/>
    </row>
    <row r="89" spans="5:13" ht="15" customHeight="1">
      <c r="E89" s="448"/>
      <c r="M89" s="447"/>
    </row>
    <row r="90" spans="5:13" ht="15" customHeight="1">
      <c r="E90" s="448"/>
      <c r="M90" s="447"/>
    </row>
    <row r="91" spans="5:13" ht="15" customHeight="1">
      <c r="E91" s="448"/>
      <c r="M91" s="447"/>
    </row>
    <row r="92" spans="5:13" ht="15" customHeight="1">
      <c r="E92" s="448"/>
      <c r="M92" s="447"/>
    </row>
    <row r="93" spans="5:13" ht="15" customHeight="1">
      <c r="E93" s="448"/>
      <c r="M93" s="447"/>
    </row>
    <row r="94" spans="5:13" ht="15" customHeight="1">
      <c r="E94" s="448"/>
      <c r="M94" s="447"/>
    </row>
    <row r="95" spans="5:13" ht="15" customHeight="1">
      <c r="E95" s="448"/>
      <c r="M95" s="447"/>
    </row>
    <row r="96" spans="5:13" ht="15" customHeight="1">
      <c r="E96" s="448"/>
      <c r="M96" s="447"/>
    </row>
    <row r="97" spans="5:13" ht="15" customHeight="1">
      <c r="E97" s="448"/>
      <c r="M97" s="447"/>
    </row>
    <row r="98" spans="5:13" ht="15" customHeight="1">
      <c r="E98" s="448"/>
    </row>
    <row r="99" spans="5:13" ht="15" customHeight="1">
      <c r="E99" s="448"/>
    </row>
    <row r="100" spans="5:13" ht="15" customHeight="1">
      <c r="E100" s="448"/>
    </row>
    <row r="101" spans="5:13" ht="15" customHeight="1">
      <c r="E101" s="448"/>
    </row>
    <row r="102" spans="5:13" ht="15" customHeight="1">
      <c r="E102" s="448"/>
    </row>
    <row r="103" spans="5:13" ht="15" customHeight="1">
      <c r="E103" s="448"/>
    </row>
    <row r="104" spans="5:13" ht="15" customHeight="1">
      <c r="E104" s="448"/>
    </row>
    <row r="105" spans="5:13" ht="15" customHeight="1">
      <c r="E105" s="448"/>
    </row>
    <row r="106" spans="5:13" ht="15" customHeight="1">
      <c r="E106" s="448"/>
    </row>
    <row r="107" spans="5:13" ht="15" customHeight="1">
      <c r="E107" s="448"/>
    </row>
    <row r="108" spans="5:13" ht="15" customHeight="1">
      <c r="E108" s="448"/>
    </row>
    <row r="109" spans="5:13" ht="15" customHeight="1">
      <c r="E109" s="448"/>
    </row>
    <row r="110" spans="5:13" ht="15" customHeight="1">
      <c r="E110" s="448"/>
    </row>
    <row r="111" spans="5:13" ht="15" customHeight="1">
      <c r="E111" s="448"/>
    </row>
    <row r="112" spans="5:13" ht="15" customHeight="1">
      <c r="E112" s="448"/>
    </row>
    <row r="113" spans="5:5" ht="15" customHeight="1">
      <c r="E113" s="448"/>
    </row>
    <row r="114" spans="5:5" ht="15" customHeight="1">
      <c r="E114" s="448"/>
    </row>
    <row r="115" spans="5:5" ht="15" customHeight="1">
      <c r="E115" s="448"/>
    </row>
    <row r="116" spans="5:5" ht="15" customHeight="1">
      <c r="E116" s="448"/>
    </row>
    <row r="117" spans="5:5" ht="15" customHeight="1">
      <c r="E117" s="448"/>
    </row>
    <row r="118" spans="5:5" ht="15" customHeight="1">
      <c r="E118" s="448"/>
    </row>
    <row r="119" spans="5:5" ht="15" customHeight="1">
      <c r="E119" s="448"/>
    </row>
    <row r="120" spans="5:5" ht="15" customHeight="1">
      <c r="E120" s="448"/>
    </row>
    <row r="121" spans="5:5" ht="15" customHeight="1">
      <c r="E121" s="448"/>
    </row>
    <row r="122" spans="5:5">
      <c r="E122" s="448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53F4-1B85-43C4-9EFE-A454A10C8DBF}">
  <sheetPr>
    <tabColor rgb="FF92D050"/>
  </sheetPr>
  <dimension ref="B1:AF122"/>
  <sheetViews>
    <sheetView zoomScale="43" zoomScaleNormal="130" zoomScaleSheetLayoutView="40" workbookViewId="0">
      <selection activeCell="AC44" sqref="AC44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7" t="s">
        <v>1621</v>
      </c>
      <c r="E4" s="718"/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718"/>
      <c r="T4" s="718"/>
      <c r="U4" s="718"/>
      <c r="V4" s="718"/>
      <c r="W4" s="718"/>
      <c r="X4" s="718"/>
      <c r="Y4" s="718"/>
      <c r="Z4" s="718"/>
      <c r="AA4" s="718"/>
      <c r="AB4" s="718"/>
      <c r="AC4" s="719"/>
      <c r="AD4" s="206"/>
      <c r="AE4" s="205"/>
      <c r="AF4" s="205"/>
    </row>
    <row r="5" spans="2:32" ht="13.5" customHeight="1" thickBot="1">
      <c r="B5" s="204"/>
      <c r="C5" s="204"/>
      <c r="D5" s="720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1"/>
      <c r="P5" s="721"/>
      <c r="Q5" s="721"/>
      <c r="R5" s="721"/>
      <c r="S5" s="721"/>
      <c r="T5" s="721"/>
      <c r="U5" s="721"/>
      <c r="V5" s="721"/>
      <c r="W5" s="721"/>
      <c r="X5" s="721"/>
      <c r="Y5" s="721"/>
      <c r="Z5" s="721"/>
      <c r="AA5" s="721"/>
      <c r="AB5" s="721"/>
      <c r="AC5" s="722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59"/>
    </row>
    <row r="76" spans="2:32" ht="15" customHeight="1">
      <c r="F76" s="460"/>
      <c r="N76" s="459"/>
    </row>
    <row r="77" spans="2:32" ht="15" customHeight="1">
      <c r="F77" s="460"/>
      <c r="N77" s="459"/>
    </row>
    <row r="78" spans="2:32" ht="15" customHeight="1">
      <c r="F78" s="460"/>
      <c r="N78" s="459"/>
    </row>
    <row r="79" spans="2:32" ht="15" customHeight="1">
      <c r="F79" s="460"/>
      <c r="N79" s="459"/>
    </row>
    <row r="80" spans="2:32" ht="15" customHeight="1">
      <c r="F80" s="460"/>
      <c r="N80" s="459"/>
    </row>
    <row r="81" spans="6:14" ht="15" customHeight="1">
      <c r="F81" s="460"/>
      <c r="N81" s="459"/>
    </row>
    <row r="82" spans="6:14" ht="15" customHeight="1">
      <c r="F82" s="460"/>
      <c r="N82" s="459"/>
    </row>
    <row r="83" spans="6:14" ht="15" customHeight="1">
      <c r="F83" s="460"/>
      <c r="N83" s="459"/>
    </row>
    <row r="84" spans="6:14" ht="15" customHeight="1">
      <c r="F84" s="460"/>
      <c r="N84" s="459"/>
    </row>
    <row r="85" spans="6:14" ht="15" customHeight="1">
      <c r="F85" s="460"/>
      <c r="N85" s="459"/>
    </row>
    <row r="86" spans="6:14" ht="15" customHeight="1">
      <c r="F86" s="460"/>
      <c r="N86" s="459"/>
    </row>
    <row r="87" spans="6:14" ht="15" customHeight="1">
      <c r="F87" s="460"/>
      <c r="N87" s="459"/>
    </row>
    <row r="88" spans="6:14" ht="15" customHeight="1">
      <c r="F88" s="460"/>
      <c r="N88" s="459"/>
    </row>
    <row r="89" spans="6:14" ht="15" customHeight="1">
      <c r="F89" s="460"/>
      <c r="N89" s="459"/>
    </row>
    <row r="90" spans="6:14" ht="15" customHeight="1">
      <c r="F90" s="460"/>
      <c r="N90" s="459"/>
    </row>
    <row r="91" spans="6:14" ht="15" customHeight="1">
      <c r="F91" s="460"/>
      <c r="N91" s="459"/>
    </row>
    <row r="92" spans="6:14" ht="15" customHeight="1">
      <c r="F92" s="460"/>
      <c r="N92" s="459"/>
    </row>
    <row r="93" spans="6:14" ht="15" customHeight="1">
      <c r="F93" s="460"/>
      <c r="N93" s="459"/>
    </row>
    <row r="94" spans="6:14" ht="15" customHeight="1">
      <c r="F94" s="460"/>
      <c r="N94" s="459"/>
    </row>
    <row r="95" spans="6:14" ht="15" customHeight="1">
      <c r="F95" s="460"/>
      <c r="N95" s="459"/>
    </row>
    <row r="96" spans="6:14" ht="15" customHeight="1">
      <c r="F96" s="460"/>
      <c r="N96" s="459"/>
    </row>
    <row r="97" spans="6:14" ht="15" customHeight="1">
      <c r="F97" s="460"/>
      <c r="N97" s="459"/>
    </row>
    <row r="98" spans="6:14" ht="15" customHeight="1">
      <c r="F98" s="460"/>
    </row>
    <row r="99" spans="6:14" ht="15" customHeight="1">
      <c r="F99" s="460"/>
    </row>
    <row r="100" spans="6:14" ht="15" customHeight="1">
      <c r="F100" s="460"/>
    </row>
    <row r="101" spans="6:14" ht="15" customHeight="1">
      <c r="F101" s="460"/>
    </row>
    <row r="102" spans="6:14" ht="15" customHeight="1">
      <c r="F102" s="460"/>
    </row>
    <row r="103" spans="6:14" ht="15" customHeight="1">
      <c r="F103" s="460"/>
    </row>
    <row r="104" spans="6:14" ht="15" customHeight="1">
      <c r="F104" s="460"/>
    </row>
    <row r="105" spans="6:14" ht="15" customHeight="1">
      <c r="F105" s="460"/>
    </row>
    <row r="106" spans="6:14" ht="15" customHeight="1">
      <c r="F106" s="460"/>
    </row>
    <row r="107" spans="6:14" ht="15" customHeight="1">
      <c r="F107" s="460"/>
    </row>
    <row r="108" spans="6:14" ht="15" customHeight="1">
      <c r="F108" s="460"/>
    </row>
    <row r="109" spans="6:14" ht="15" customHeight="1">
      <c r="F109" s="460"/>
    </row>
    <row r="110" spans="6:14" ht="15" customHeight="1">
      <c r="F110" s="460"/>
    </row>
    <row r="111" spans="6:14" ht="15" customHeight="1">
      <c r="F111" s="460"/>
    </row>
    <row r="112" spans="6:14" ht="15" customHeight="1">
      <c r="F112" s="460"/>
    </row>
    <row r="113" spans="6:6" ht="15" customHeight="1">
      <c r="F113" s="460"/>
    </row>
    <row r="114" spans="6:6" ht="15" customHeight="1">
      <c r="F114" s="460"/>
    </row>
    <row r="115" spans="6:6" ht="15" customHeight="1">
      <c r="F115" s="460"/>
    </row>
    <row r="116" spans="6:6" ht="15" customHeight="1">
      <c r="F116" s="460"/>
    </row>
    <row r="117" spans="6:6" ht="15" customHeight="1">
      <c r="F117" s="460"/>
    </row>
    <row r="118" spans="6:6" ht="15" customHeight="1">
      <c r="F118" s="460"/>
    </row>
    <row r="119" spans="6:6" ht="15" customHeight="1">
      <c r="F119" s="460"/>
    </row>
    <row r="120" spans="6:6" ht="15" customHeight="1">
      <c r="F120" s="460"/>
    </row>
    <row r="121" spans="6:6" ht="15" customHeight="1">
      <c r="F121" s="460"/>
    </row>
    <row r="122" spans="6:6">
      <c r="F122" s="460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7">
        <v>1</v>
      </c>
    </row>
    <row r="2" spans="1:11" ht="48" customHeight="1">
      <c r="A2" s="387">
        <v>3</v>
      </c>
    </row>
    <row r="4" spans="1:11" ht="48" customHeight="1">
      <c r="C4" s="387">
        <v>1</v>
      </c>
    </row>
    <row r="5" spans="1:11" ht="48" customHeight="1">
      <c r="C5" s="387">
        <v>3</v>
      </c>
    </row>
    <row r="7" spans="1:11" ht="48" customHeight="1">
      <c r="E7" s="387">
        <v>1</v>
      </c>
    </row>
    <row r="8" spans="1:11" ht="48" customHeight="1">
      <c r="E8" s="387">
        <v>3</v>
      </c>
    </row>
    <row r="10" spans="1:11" ht="48" customHeight="1">
      <c r="G10" s="387">
        <v>3</v>
      </c>
    </row>
    <row r="11" spans="1:11" ht="48" customHeight="1">
      <c r="G11" s="387">
        <v>1</v>
      </c>
    </row>
    <row r="13" spans="1:11" ht="48" customHeight="1">
      <c r="I13" s="387">
        <v>3</v>
      </c>
    </row>
    <row r="14" spans="1:11" ht="48" customHeight="1">
      <c r="I14" s="387">
        <v>1</v>
      </c>
    </row>
    <row r="16" spans="1:11" ht="48" customHeight="1">
      <c r="K16" s="387">
        <v>3</v>
      </c>
    </row>
    <row r="17" spans="11:21" ht="48" customHeight="1">
      <c r="K17" s="387">
        <v>1</v>
      </c>
    </row>
    <row r="19" spans="11:21" ht="48" customHeight="1">
      <c r="M19" s="387">
        <v>3</v>
      </c>
    </row>
    <row r="20" spans="11:21" ht="48" customHeight="1">
      <c r="M20" s="387">
        <v>1</v>
      </c>
    </row>
    <row r="22" spans="11:21" ht="48" customHeight="1">
      <c r="O22" s="387">
        <v>3</v>
      </c>
    </row>
    <row r="23" spans="11:21" ht="48" customHeight="1">
      <c r="O23" s="387">
        <v>1</v>
      </c>
    </row>
    <row r="25" spans="11:21" ht="57" customHeight="1">
      <c r="Q25" s="387">
        <v>3</v>
      </c>
    </row>
    <row r="26" spans="11:21" ht="57" customHeight="1">
      <c r="Q26" s="387">
        <v>1</v>
      </c>
    </row>
    <row r="28" spans="11:21" ht="57" customHeight="1">
      <c r="S28" s="387">
        <v>3</v>
      </c>
    </row>
    <row r="29" spans="11:21" ht="57" customHeight="1">
      <c r="S29" s="387">
        <v>1</v>
      </c>
    </row>
    <row r="31" spans="11:21" ht="57" customHeight="1">
      <c r="U31" s="387">
        <v>3</v>
      </c>
    </row>
    <row r="32" spans="11:21" ht="57" customHeight="1">
      <c r="U32" s="38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  <vt:lpstr>'HARGA SATUAN'!Print_Area</vt:lpstr>
      <vt:lpstr>KKF!Print_Area</vt:lpstr>
      <vt:lpstr>KKO!Print_Area</vt:lpstr>
      <vt:lpstr>'Peta lokasi 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2023-12-15T04:25:03Z</dcterms:modified>
</cp:coreProperties>
</file>