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D302527E-D17B-4E49-B8BF-F155629B9E74}" xr6:coauthVersionLast="47" xr6:coauthVersionMax="47" xr10:uidLastSave="{00000000-0000-0000-0000-000000000000}"/>
  <bookViews>
    <workbookView xWindow="-120" yWindow="-120" windowWidth="20730" windowHeight="11160" tabRatio="859" firstSheet="1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1" r:id="rId10"/>
    <sheet name="PETA" sheetId="78" r:id="rId11"/>
    <sheet name="SLD" sheetId="79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PETA!$A$1:$AD$67</definedName>
    <definedName name="_xlnm.Print_Area" localSheetId="8">RAB!$A$1:$K$141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G103" i="11" l="1"/>
  <c r="D103" i="11"/>
  <c r="E103" i="11"/>
  <c r="H34" i="11"/>
  <c r="F79" i="11"/>
  <c r="F78" i="11"/>
  <c r="F77" i="11"/>
  <c r="F76" i="11"/>
  <c r="F75" i="11"/>
  <c r="F74" i="11"/>
  <c r="F71" i="11"/>
  <c r="F70" i="11"/>
  <c r="F69" i="11"/>
  <c r="F68" i="11"/>
  <c r="F65" i="11"/>
  <c r="F64" i="11"/>
  <c r="F63" i="11"/>
  <c r="F62" i="11"/>
  <c r="F59" i="11"/>
  <c r="F58" i="11"/>
  <c r="F57" i="11"/>
  <c r="F56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D54" i="11"/>
  <c r="H54" i="11" s="1"/>
  <c r="E54" i="11"/>
  <c r="D55" i="11"/>
  <c r="J55" i="11" s="1"/>
  <c r="E55" i="11"/>
  <c r="D56" i="11"/>
  <c r="E56" i="11"/>
  <c r="D57" i="11"/>
  <c r="H57" i="11" s="1"/>
  <c r="E57" i="11"/>
  <c r="D58" i="11"/>
  <c r="H58" i="11" s="1"/>
  <c r="E58" i="11"/>
  <c r="D59" i="11"/>
  <c r="E59" i="11"/>
  <c r="D60" i="11"/>
  <c r="I60" i="11" s="1"/>
  <c r="E60" i="11"/>
  <c r="D61" i="11"/>
  <c r="H61" i="11" s="1"/>
  <c r="E61" i="11"/>
  <c r="D62" i="11"/>
  <c r="H62" i="11" s="1"/>
  <c r="E62" i="11"/>
  <c r="D63" i="11"/>
  <c r="J63" i="11" s="1"/>
  <c r="E63" i="11"/>
  <c r="D64" i="11"/>
  <c r="I64" i="11" s="1"/>
  <c r="E64" i="11"/>
  <c r="D65" i="11"/>
  <c r="H65" i="11" s="1"/>
  <c r="E65" i="11"/>
  <c r="D66" i="11"/>
  <c r="H66" i="11" s="1"/>
  <c r="E66" i="11"/>
  <c r="D67" i="11"/>
  <c r="J67" i="11" s="1"/>
  <c r="E67" i="11"/>
  <c r="D68" i="11"/>
  <c r="I68" i="11" s="1"/>
  <c r="E68" i="11"/>
  <c r="D69" i="11"/>
  <c r="H69" i="11" s="1"/>
  <c r="E69" i="11"/>
  <c r="D70" i="11"/>
  <c r="J70" i="11" s="1"/>
  <c r="E70" i="11"/>
  <c r="D71" i="11"/>
  <c r="E71" i="11"/>
  <c r="D72" i="11"/>
  <c r="I72" i="11" s="1"/>
  <c r="E72" i="11"/>
  <c r="D73" i="11"/>
  <c r="H73" i="11" s="1"/>
  <c r="E73" i="11"/>
  <c r="D74" i="11"/>
  <c r="H74" i="11" s="1"/>
  <c r="E74" i="11"/>
  <c r="D75" i="11"/>
  <c r="J75" i="11" s="1"/>
  <c r="E75" i="11"/>
  <c r="D76" i="11"/>
  <c r="I76" i="11" s="1"/>
  <c r="E76" i="11"/>
  <c r="D77" i="11"/>
  <c r="H77" i="11" s="1"/>
  <c r="E77" i="11"/>
  <c r="D78" i="11"/>
  <c r="H78" i="11" s="1"/>
  <c r="E78" i="11"/>
  <c r="D79" i="11"/>
  <c r="E79" i="11"/>
  <c r="F53" i="11"/>
  <c r="F52" i="11"/>
  <c r="F51" i="11"/>
  <c r="F50" i="11"/>
  <c r="F49" i="11"/>
  <c r="F46" i="11"/>
  <c r="F45" i="11"/>
  <c r="F44" i="11"/>
  <c r="F43" i="11"/>
  <c r="F42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1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D19" i="11"/>
  <c r="H19" i="11" s="1"/>
  <c r="E19" i="11"/>
  <c r="D20" i="11"/>
  <c r="J20" i="11" s="1"/>
  <c r="E20" i="11"/>
  <c r="D21" i="11"/>
  <c r="I21" i="11" s="1"/>
  <c r="E21" i="11"/>
  <c r="D22" i="11"/>
  <c r="H22" i="11" s="1"/>
  <c r="E22" i="11"/>
  <c r="E23" i="11"/>
  <c r="D24" i="11"/>
  <c r="J24" i="11" s="1"/>
  <c r="E24" i="11"/>
  <c r="I25" i="11"/>
  <c r="E25" i="11"/>
  <c r="E26" i="11"/>
  <c r="H27" i="11"/>
  <c r="E27" i="11"/>
  <c r="J28" i="11"/>
  <c r="E28" i="11"/>
  <c r="E29" i="11"/>
  <c r="H30" i="11"/>
  <c r="E30" i="11"/>
  <c r="H31" i="11"/>
  <c r="E31" i="11"/>
  <c r="J32" i="11"/>
  <c r="E32" i="11"/>
  <c r="E33" i="11"/>
  <c r="E34" i="11"/>
  <c r="H35" i="11"/>
  <c r="E35" i="11"/>
  <c r="J36" i="11"/>
  <c r="E36" i="11"/>
  <c r="E37" i="11"/>
  <c r="H38" i="11"/>
  <c r="E38" i="11"/>
  <c r="D39" i="11"/>
  <c r="H39" i="11" s="1"/>
  <c r="E39" i="11"/>
  <c r="D40" i="11"/>
  <c r="J40" i="11" s="1"/>
  <c r="E40" i="11"/>
  <c r="D41" i="11"/>
  <c r="I41" i="11" s="1"/>
  <c r="E41" i="11"/>
  <c r="D42" i="11"/>
  <c r="H42" i="11" s="1"/>
  <c r="E42" i="11"/>
  <c r="D43" i="11"/>
  <c r="H43" i="11" s="1"/>
  <c r="E43" i="11"/>
  <c r="D44" i="11"/>
  <c r="J44" i="11" s="1"/>
  <c r="E44" i="11"/>
  <c r="D45" i="11"/>
  <c r="E45" i="11"/>
  <c r="D46" i="11"/>
  <c r="H46" i="11" s="1"/>
  <c r="E46" i="11"/>
  <c r="D47" i="11"/>
  <c r="H47" i="11" s="1"/>
  <c r="E47" i="11"/>
  <c r="D48" i="11"/>
  <c r="J48" i="11" s="1"/>
  <c r="E48" i="11"/>
  <c r="D49" i="11"/>
  <c r="E49" i="11"/>
  <c r="D50" i="11"/>
  <c r="H50" i="11" s="1"/>
  <c r="E50" i="11"/>
  <c r="D51" i="11"/>
  <c r="H51" i="11" s="1"/>
  <c r="E51" i="11"/>
  <c r="D52" i="11"/>
  <c r="J52" i="11" s="1"/>
  <c r="E52" i="11"/>
  <c r="D53" i="11"/>
  <c r="I53" i="11" s="1"/>
  <c r="E53" i="11"/>
  <c r="G17" i="11"/>
  <c r="D17" i="11"/>
  <c r="H17" i="11" s="1"/>
  <c r="E17" i="11"/>
  <c r="G119" i="11"/>
  <c r="D119" i="11"/>
  <c r="H119" i="11" s="1"/>
  <c r="E119" i="11"/>
  <c r="D107" i="11"/>
  <c r="J107" i="11" s="1"/>
  <c r="D108" i="11"/>
  <c r="I108" i="11" s="1"/>
  <c r="D109" i="11"/>
  <c r="H109" i="11" s="1"/>
  <c r="D110" i="11"/>
  <c r="D111" i="11"/>
  <c r="D112" i="11"/>
  <c r="I112" i="11" s="1"/>
  <c r="D16" i="11"/>
  <c r="D18" i="11"/>
  <c r="F118" i="11"/>
  <c r="F117" i="11"/>
  <c r="F116" i="11"/>
  <c r="F115" i="11"/>
  <c r="F114" i="11"/>
  <c r="F111" i="11"/>
  <c r="F109" i="11"/>
  <c r="F108" i="11"/>
  <c r="F107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20" i="11"/>
  <c r="G121" i="11"/>
  <c r="D106" i="11"/>
  <c r="H106" i="11" s="1"/>
  <c r="E106" i="11"/>
  <c r="E107" i="11"/>
  <c r="E108" i="11"/>
  <c r="E109" i="11"/>
  <c r="E110" i="11"/>
  <c r="E111" i="11"/>
  <c r="E112" i="11"/>
  <c r="D113" i="11"/>
  <c r="H113" i="11" s="1"/>
  <c r="E113" i="11"/>
  <c r="D114" i="11"/>
  <c r="H114" i="11" s="1"/>
  <c r="E114" i="11"/>
  <c r="D115" i="11"/>
  <c r="J115" i="11" s="1"/>
  <c r="E115" i="11"/>
  <c r="D116" i="11"/>
  <c r="E116" i="11"/>
  <c r="D117" i="11"/>
  <c r="H117" i="11" s="1"/>
  <c r="E117" i="11"/>
  <c r="D118" i="11"/>
  <c r="H118" i="11" s="1"/>
  <c r="E118" i="11"/>
  <c r="D120" i="11"/>
  <c r="E120" i="11"/>
  <c r="H103" i="11" l="1"/>
  <c r="J59" i="11"/>
  <c r="J103" i="11"/>
  <c r="I103" i="11"/>
  <c r="I56" i="11"/>
  <c r="J79" i="11"/>
  <c r="J71" i="11"/>
  <c r="H56" i="11"/>
  <c r="H64" i="11"/>
  <c r="H72" i="11"/>
  <c r="J66" i="11"/>
  <c r="J58" i="11"/>
  <c r="J74" i="11"/>
  <c r="H68" i="11"/>
  <c r="H60" i="11"/>
  <c r="H76" i="11"/>
  <c r="J62" i="11"/>
  <c r="J54" i="11"/>
  <c r="J78" i="11"/>
  <c r="H79" i="11"/>
  <c r="I78" i="11"/>
  <c r="J77" i="11"/>
  <c r="H75" i="11"/>
  <c r="I74" i="11"/>
  <c r="J73" i="11"/>
  <c r="H71" i="11"/>
  <c r="I70" i="11"/>
  <c r="J69" i="11"/>
  <c r="H67" i="11"/>
  <c r="I66" i="11"/>
  <c r="J65" i="11"/>
  <c r="H63" i="11"/>
  <c r="I62" i="11"/>
  <c r="J61" i="11"/>
  <c r="H59" i="11"/>
  <c r="I58" i="11"/>
  <c r="J57" i="11"/>
  <c r="H55" i="11"/>
  <c r="I54" i="11"/>
  <c r="I77" i="11"/>
  <c r="J76" i="11"/>
  <c r="I73" i="11"/>
  <c r="J72" i="11"/>
  <c r="H70" i="11"/>
  <c r="I69" i="11"/>
  <c r="J68" i="11"/>
  <c r="K68" i="11" s="1"/>
  <c r="I65" i="11"/>
  <c r="J64" i="11"/>
  <c r="I61" i="11"/>
  <c r="J60" i="11"/>
  <c r="I57" i="11"/>
  <c r="J56" i="11"/>
  <c r="I79" i="11"/>
  <c r="I75" i="11"/>
  <c r="I71" i="11"/>
  <c r="I67" i="11"/>
  <c r="I63" i="11"/>
  <c r="I59" i="11"/>
  <c r="I55" i="11"/>
  <c r="I49" i="11"/>
  <c r="I45" i="11"/>
  <c r="I37" i="11"/>
  <c r="I33" i="11"/>
  <c r="I29" i="11"/>
  <c r="H23" i="11"/>
  <c r="H26" i="11"/>
  <c r="I52" i="11"/>
  <c r="H45" i="11"/>
  <c r="J43" i="11"/>
  <c r="I36" i="11"/>
  <c r="H29" i="11"/>
  <c r="J27" i="11"/>
  <c r="I20" i="11"/>
  <c r="H49" i="11"/>
  <c r="J47" i="11"/>
  <c r="I40" i="11"/>
  <c r="H33" i="11"/>
  <c r="J31" i="11"/>
  <c r="I24" i="11"/>
  <c r="H53" i="11"/>
  <c r="J51" i="11"/>
  <c r="I44" i="11"/>
  <c r="H37" i="11"/>
  <c r="J35" i="11"/>
  <c r="I28" i="11"/>
  <c r="H21" i="11"/>
  <c r="J19" i="11"/>
  <c r="I48" i="11"/>
  <c r="H41" i="11"/>
  <c r="J39" i="11"/>
  <c r="I32" i="11"/>
  <c r="H25" i="11"/>
  <c r="J23" i="11"/>
  <c r="H52" i="11"/>
  <c r="I51" i="11"/>
  <c r="J50" i="11"/>
  <c r="H48" i="11"/>
  <c r="I47" i="11"/>
  <c r="J46" i="11"/>
  <c r="H44" i="11"/>
  <c r="I43" i="11"/>
  <c r="J42" i="11"/>
  <c r="H40" i="11"/>
  <c r="I39" i="11"/>
  <c r="J38" i="11"/>
  <c r="H36" i="11"/>
  <c r="I35" i="11"/>
  <c r="J34" i="11"/>
  <c r="H32" i="11"/>
  <c r="I31" i="11"/>
  <c r="J30" i="11"/>
  <c r="H28" i="11"/>
  <c r="I27" i="11"/>
  <c r="J26" i="11"/>
  <c r="H24" i="11"/>
  <c r="K24" i="11" s="1"/>
  <c r="I23" i="11"/>
  <c r="J22" i="11"/>
  <c r="H20" i="11"/>
  <c r="I19" i="11"/>
  <c r="K19" i="11" s="1"/>
  <c r="J53" i="11"/>
  <c r="I50" i="11"/>
  <c r="J49" i="11"/>
  <c r="I46" i="11"/>
  <c r="J45" i="11"/>
  <c r="I42" i="11"/>
  <c r="J41" i="11"/>
  <c r="I38" i="11"/>
  <c r="J37" i="11"/>
  <c r="I34" i="11"/>
  <c r="J33" i="11"/>
  <c r="I30" i="11"/>
  <c r="J29" i="11"/>
  <c r="I26" i="11"/>
  <c r="J25" i="11"/>
  <c r="I22" i="11"/>
  <c r="J21" i="11"/>
  <c r="J17" i="11"/>
  <c r="I17" i="11"/>
  <c r="J120" i="11"/>
  <c r="J119" i="11"/>
  <c r="I119" i="11"/>
  <c r="I116" i="11"/>
  <c r="J111" i="11"/>
  <c r="H110" i="11"/>
  <c r="I111" i="11"/>
  <c r="I120" i="11"/>
  <c r="I107" i="11"/>
  <c r="J118" i="11"/>
  <c r="I115" i="11"/>
  <c r="H108" i="11"/>
  <c r="J106" i="11"/>
  <c r="H120" i="11"/>
  <c r="I118" i="11"/>
  <c r="J117" i="11"/>
  <c r="H115" i="11"/>
  <c r="I114" i="11"/>
  <c r="J113" i="11"/>
  <c r="H111" i="11"/>
  <c r="I110" i="11"/>
  <c r="J109" i="11"/>
  <c r="H107" i="11"/>
  <c r="I106" i="11"/>
  <c r="H116" i="11"/>
  <c r="J114" i="11"/>
  <c r="H112" i="11"/>
  <c r="J110" i="11"/>
  <c r="I117" i="11"/>
  <c r="J116" i="11"/>
  <c r="I113" i="11"/>
  <c r="K113" i="11" s="1"/>
  <c r="J112" i="11"/>
  <c r="I109" i="11"/>
  <c r="J108" i="11"/>
  <c r="K103" i="11" l="1"/>
  <c r="K78" i="11"/>
  <c r="K77" i="11"/>
  <c r="K76" i="11"/>
  <c r="K57" i="11"/>
  <c r="K64" i="11"/>
  <c r="K69" i="11"/>
  <c r="K54" i="11"/>
  <c r="K56" i="11"/>
  <c r="K66" i="11"/>
  <c r="K65" i="11"/>
  <c r="K41" i="11"/>
  <c r="K20" i="11"/>
  <c r="K72" i="11"/>
  <c r="K62" i="11"/>
  <c r="K74" i="11"/>
  <c r="K47" i="11"/>
  <c r="K60" i="11"/>
  <c r="K73" i="11"/>
  <c r="K58" i="11"/>
  <c r="K63" i="11"/>
  <c r="K79" i="11"/>
  <c r="K34" i="11"/>
  <c r="K50" i="11"/>
  <c r="K27" i="11"/>
  <c r="K61" i="11"/>
  <c r="K75" i="11"/>
  <c r="K37" i="11"/>
  <c r="K45" i="11"/>
  <c r="K44" i="11"/>
  <c r="K70" i="11"/>
  <c r="K55" i="11"/>
  <c r="K71" i="11"/>
  <c r="K59" i="11"/>
  <c r="K22" i="11"/>
  <c r="K38" i="11"/>
  <c r="K51" i="11"/>
  <c r="K67" i="11"/>
  <c r="K21" i="11"/>
  <c r="K29" i="11"/>
  <c r="K31" i="11"/>
  <c r="K52" i="11"/>
  <c r="K25" i="11"/>
  <c r="K49" i="11"/>
  <c r="K48" i="11"/>
  <c r="K53" i="11"/>
  <c r="K35" i="11"/>
  <c r="K40" i="11"/>
  <c r="K43" i="11"/>
  <c r="K26" i="11"/>
  <c r="K42" i="11"/>
  <c r="K23" i="11"/>
  <c r="K39" i="11"/>
  <c r="K46" i="11"/>
  <c r="K36" i="11"/>
  <c r="K30" i="11"/>
  <c r="K33" i="11"/>
  <c r="K32" i="11"/>
  <c r="K28" i="11"/>
  <c r="K17" i="11"/>
  <c r="K119" i="11"/>
  <c r="K111" i="11"/>
  <c r="K117" i="11"/>
  <c r="K106" i="11"/>
  <c r="K107" i="11"/>
  <c r="K120" i="11"/>
  <c r="K114" i="11"/>
  <c r="K118" i="11"/>
  <c r="K109" i="11"/>
  <c r="K116" i="11"/>
  <c r="K110" i="11"/>
  <c r="K115" i="11"/>
  <c r="K108" i="11"/>
  <c r="K112" i="11"/>
  <c r="D8" i="59"/>
  <c r="E16" i="11"/>
  <c r="E18" i="11"/>
  <c r="D104" i="11" l="1"/>
  <c r="H104" i="11" s="1"/>
  <c r="D105" i="11"/>
  <c r="J105" i="11" s="1"/>
  <c r="D121" i="11"/>
  <c r="G104" i="11"/>
  <c r="G105" i="11"/>
  <c r="D15" i="11"/>
  <c r="H15" i="11" s="1"/>
  <c r="I16" i="11"/>
  <c r="H18" i="11"/>
  <c r="G15" i="11"/>
  <c r="G16" i="11"/>
  <c r="G18" i="11"/>
  <c r="K6" i="60"/>
  <c r="M122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G101" i="11"/>
  <c r="E101" i="11"/>
  <c r="D101" i="11"/>
  <c r="G100" i="11"/>
  <c r="E100" i="11"/>
  <c r="D100" i="11"/>
  <c r="H100" i="11" s="1"/>
  <c r="G99" i="11"/>
  <c r="E99" i="11"/>
  <c r="D99" i="11"/>
  <c r="G98" i="11"/>
  <c r="E98" i="11"/>
  <c r="D98" i="11"/>
  <c r="J98" i="11" s="1"/>
  <c r="G97" i="11"/>
  <c r="E97" i="11"/>
  <c r="D97" i="11"/>
  <c r="I97" i="11" s="1"/>
  <c r="G96" i="11"/>
  <c r="E96" i="11"/>
  <c r="D96" i="11"/>
  <c r="G95" i="11"/>
  <c r="E95" i="11"/>
  <c r="D95" i="11"/>
  <c r="H95" i="11" s="1"/>
  <c r="G94" i="11"/>
  <c r="E94" i="11"/>
  <c r="D94" i="11"/>
  <c r="G93" i="11"/>
  <c r="E93" i="11"/>
  <c r="D93" i="11"/>
  <c r="G92" i="11"/>
  <c r="E92" i="11"/>
  <c r="D92" i="11"/>
  <c r="G91" i="11"/>
  <c r="E91" i="11"/>
  <c r="D91" i="11"/>
  <c r="J91" i="11" s="1"/>
  <c r="G90" i="11"/>
  <c r="E90" i="11"/>
  <c r="D90" i="11"/>
  <c r="J90" i="11" s="1"/>
  <c r="G89" i="11"/>
  <c r="E89" i="11"/>
  <c r="D89" i="11"/>
  <c r="G88" i="11"/>
  <c r="E88" i="11"/>
  <c r="D88" i="11"/>
  <c r="G87" i="11"/>
  <c r="E87" i="11"/>
  <c r="D87" i="11"/>
  <c r="G86" i="11"/>
  <c r="E86" i="11"/>
  <c r="D86" i="11"/>
  <c r="G85" i="11"/>
  <c r="E85" i="11"/>
  <c r="D85" i="11"/>
  <c r="J85" i="11" s="1"/>
  <c r="G84" i="11"/>
  <c r="E84" i="11"/>
  <c r="D84" i="11"/>
  <c r="G83" i="11"/>
  <c r="E83" i="11"/>
  <c r="D83" i="11"/>
  <c r="G82" i="11"/>
  <c r="E82" i="11"/>
  <c r="D82" i="11"/>
  <c r="G81" i="11"/>
  <c r="E81" i="11"/>
  <c r="D81" i="11"/>
  <c r="I81" i="11" s="1"/>
  <c r="G80" i="11"/>
  <c r="E80" i="11"/>
  <c r="D80" i="11"/>
  <c r="D14" i="59"/>
  <c r="D5" i="60" s="1"/>
  <c r="K5" i="60" s="1"/>
  <c r="E15" i="11"/>
  <c r="A15" i="11"/>
  <c r="D19" i="59"/>
  <c r="D18" i="59"/>
  <c r="D7" i="60" s="1"/>
  <c r="M16" i="11"/>
  <c r="E104" i="11"/>
  <c r="E105" i="11"/>
  <c r="D102" i="11"/>
  <c r="E102" i="11"/>
  <c r="E121" i="11"/>
  <c r="D14" i="11"/>
  <c r="H14" i="11" s="1"/>
  <c r="E14" i="11"/>
  <c r="G14" i="11"/>
  <c r="K19" i="60"/>
  <c r="D19" i="60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K18" i="60"/>
  <c r="K17" i="60"/>
  <c r="D17" i="60"/>
  <c r="D18" i="60"/>
  <c r="D20" i="60" s="1"/>
  <c r="D6" i="60"/>
  <c r="D122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122" i="11"/>
  <c r="D123" i="11"/>
  <c r="E123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123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22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30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102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113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C714" i="41"/>
  <c r="D714" i="41" s="1"/>
  <c r="C339" i="29"/>
  <c r="C329" i="29"/>
  <c r="D329" i="29" s="1"/>
  <c r="E329" i="29" s="1"/>
  <c r="C373" i="29"/>
  <c r="C369" i="29"/>
  <c r="C372" i="29"/>
  <c r="D372" i="29" s="1"/>
  <c r="E372" i="29" s="1"/>
  <c r="C67" i="39"/>
  <c r="C73" i="39"/>
  <c r="N144" i="10"/>
  <c r="C363" i="29"/>
  <c r="D363" i="29" s="1"/>
  <c r="C346" i="29"/>
  <c r="D346" i="29" s="1"/>
  <c r="C358" i="29"/>
  <c r="D358" i="29" s="1"/>
  <c r="E358" i="29" s="1"/>
  <c r="C371" i="29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C69" i="39"/>
  <c r="C70" i="39"/>
  <c r="D70" i="39" s="1"/>
  <c r="C66" i="39"/>
  <c r="C76" i="39"/>
  <c r="C74" i="39"/>
  <c r="C68" i="39"/>
  <c r="D68" i="39" s="1"/>
  <c r="C72" i="39"/>
  <c r="C332" i="29"/>
  <c r="D332" i="29" s="1"/>
  <c r="E332" i="29" s="1"/>
  <c r="C370" i="29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C71" i="39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C997" i="41"/>
  <c r="C1192" i="41"/>
  <c r="D1192" i="41" s="1"/>
  <c r="E1192" i="41" s="1"/>
  <c r="C1028" i="41"/>
  <c r="C1212" i="41"/>
  <c r="C1238" i="4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C1102" i="41"/>
  <c r="C1059" i="41"/>
  <c r="D1059" i="41" s="1"/>
  <c r="E1059" i="41" s="1"/>
  <c r="C920" i="41"/>
  <c r="C1108" i="41"/>
  <c r="C802" i="41"/>
  <c r="C985" i="41"/>
  <c r="D985" i="41" s="1"/>
  <c r="C1065" i="4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C1103" i="41"/>
  <c r="C1115" i="41"/>
  <c r="D1115" i="41" s="1"/>
  <c r="E1115" i="41" s="1"/>
  <c r="C1235" i="41"/>
  <c r="C1256" i="41"/>
  <c r="C929" i="41"/>
  <c r="C1130" i="41"/>
  <c r="D1130" i="41" s="1"/>
  <c r="C731" i="41"/>
  <c r="D731" i="41" s="1"/>
  <c r="E731" i="41" s="1"/>
  <c r="C1167" i="41"/>
  <c r="C856" i="41"/>
  <c r="D856" i="41" s="1"/>
  <c r="F856" i="41" s="1"/>
  <c r="C764" i="41"/>
  <c r="D764" i="41" s="1"/>
  <c r="E764" i="41" s="1"/>
  <c r="C916" i="41"/>
  <c r="C1248" i="41"/>
  <c r="C1252" i="41"/>
  <c r="C970" i="41"/>
  <c r="D970" i="41" s="1"/>
  <c r="E970" i="41" s="1"/>
  <c r="C1284" i="41"/>
  <c r="C875" i="4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C813" i="41"/>
  <c r="D813" i="41" s="1"/>
  <c r="F813" i="41" s="1"/>
  <c r="C951" i="41"/>
  <c r="C1051" i="41"/>
  <c r="C879" i="41"/>
  <c r="C1222" i="41"/>
  <c r="D1222" i="41" s="1"/>
  <c r="C769" i="41"/>
  <c r="D769" i="41" s="1"/>
  <c r="E769" i="41" s="1"/>
  <c r="C1074" i="41"/>
  <c r="C900" i="41"/>
  <c r="C1194" i="41"/>
  <c r="D1194" i="41" s="1"/>
  <c r="C1057" i="41"/>
  <c r="C941" i="41"/>
  <c r="C1030" i="41"/>
  <c r="C1055" i="41"/>
  <c r="D1055" i="41" s="1"/>
  <c r="C831" i="41"/>
  <c r="D831" i="41" s="1"/>
  <c r="E831" i="41" s="1"/>
  <c r="C866" i="41"/>
  <c r="D866" i="41" s="1"/>
  <c r="E866" i="41" s="1"/>
  <c r="C903" i="4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C1107" i="41"/>
  <c r="C1181" i="41"/>
  <c r="C1174" i="41"/>
  <c r="D1174" i="41" s="1"/>
  <c r="E1174" i="41" s="1"/>
  <c r="C1048" i="41"/>
  <c r="C738" i="41"/>
  <c r="D738" i="41" s="1"/>
  <c r="E738" i="41" s="1"/>
  <c r="C788" i="41"/>
  <c r="D788" i="41" s="1"/>
  <c r="F788" i="41" s="1"/>
  <c r="C1205" i="41"/>
  <c r="D1205" i="41" s="1"/>
  <c r="C1160" i="41"/>
  <c r="C1163" i="41"/>
  <c r="C834" i="41"/>
  <c r="D834" i="41" s="1"/>
  <c r="F834" i="41" s="1"/>
  <c r="C1183" i="41"/>
  <c r="D1183" i="41" s="1"/>
  <c r="C992" i="41"/>
  <c r="C751" i="41"/>
  <c r="D751" i="41" s="1"/>
  <c r="E751" i="41" s="1"/>
  <c r="C988" i="41"/>
  <c r="C1319" i="41"/>
  <c r="D1319" i="41" s="1"/>
  <c r="E1319" i="41" s="1"/>
  <c r="C897" i="41"/>
  <c r="C914" i="41"/>
  <c r="C1281" i="41"/>
  <c r="C913" i="41"/>
  <c r="D913" i="41" s="1"/>
  <c r="E913" i="41" s="1"/>
  <c r="C1001" i="41"/>
  <c r="C967" i="41"/>
  <c r="C1250" i="41"/>
  <c r="C949" i="41"/>
  <c r="D949" i="41" s="1"/>
  <c r="C836" i="41"/>
  <c r="D836" i="41" s="1"/>
  <c r="E836" i="41" s="1"/>
  <c r="C1312" i="41"/>
  <c r="C718" i="41"/>
  <c r="D718" i="41" s="1"/>
  <c r="E718" i="41" s="1"/>
  <c r="C716" i="41"/>
  <c r="D716" i="41" s="1"/>
  <c r="E716" i="41" s="1"/>
  <c r="C938" i="41"/>
  <c r="C1104" i="41"/>
  <c r="C794" i="41"/>
  <c r="D794" i="41" s="1"/>
  <c r="C1217" i="41"/>
  <c r="D1217" i="41" s="1"/>
  <c r="E1217" i="41" s="1"/>
  <c r="C1024" i="41"/>
  <c r="C732" i="41"/>
  <c r="D732" i="41" s="1"/>
  <c r="E732" i="41" s="1"/>
  <c r="C1078" i="41"/>
  <c r="C1314" i="41"/>
  <c r="D1314" i="41" s="1"/>
  <c r="E1314" i="41" s="1"/>
  <c r="C882" i="41"/>
  <c r="C1044" i="41"/>
  <c r="C1144" i="41"/>
  <c r="C968" i="41"/>
  <c r="D968" i="41" s="1"/>
  <c r="E968" i="41" s="1"/>
  <c r="C1227" i="41"/>
  <c r="C1098" i="41"/>
  <c r="C795" i="41"/>
  <c r="D795" i="41" s="1"/>
  <c r="E795" i="41" s="1"/>
  <c r="C1127" i="41"/>
  <c r="D1127" i="41" s="1"/>
  <c r="C1243" i="41"/>
  <c r="C1015" i="41"/>
  <c r="C942" i="41"/>
  <c r="C1008" i="41"/>
  <c r="D1008" i="41" s="1"/>
  <c r="E1008" i="41" s="1"/>
  <c r="C936" i="41"/>
  <c r="C940" i="41"/>
  <c r="C1085" i="41"/>
  <c r="C753" i="41"/>
  <c r="D753" i="41" s="1"/>
  <c r="F753" i="41" s="1"/>
  <c r="C890" i="41"/>
  <c r="C945" i="41"/>
  <c r="C740" i="41"/>
  <c r="D740" i="41" s="1"/>
  <c r="F740" i="41" s="1"/>
  <c r="C832" i="41"/>
  <c r="D832" i="41" s="1"/>
  <c r="C955" i="41"/>
  <c r="C1157" i="41"/>
  <c r="C1023" i="41"/>
  <c r="C1017" i="41"/>
  <c r="D1017" i="41" s="1"/>
  <c r="C963" i="41"/>
  <c r="C723" i="41"/>
  <c r="D723" i="41" s="1"/>
  <c r="E723" i="41" s="1"/>
  <c r="C999" i="4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F803" i="41" s="1"/>
  <c r="C853" i="41"/>
  <c r="D853" i="41" s="1"/>
  <c r="E853" i="41" s="1"/>
  <c r="C1224" i="41"/>
  <c r="C798" i="41"/>
  <c r="D798" i="41" s="1"/>
  <c r="F798" i="41" s="1"/>
  <c r="C1029" i="41"/>
  <c r="D1029" i="41" s="1"/>
  <c r="C895" i="41"/>
  <c r="C1296" i="41"/>
  <c r="C1095" i="41"/>
  <c r="C1046" i="41"/>
  <c r="D1046" i="41" s="1"/>
  <c r="E1046" i="41" s="1"/>
  <c r="C869" i="41"/>
  <c r="C1275" i="41"/>
  <c r="C935" i="41"/>
  <c r="C1155" i="41"/>
  <c r="D1155" i="41" s="1"/>
  <c r="C950" i="41"/>
  <c r="C987" i="41"/>
  <c r="C952" i="41"/>
  <c r="C899" i="41"/>
  <c r="D899" i="41" s="1"/>
  <c r="C1269" i="41"/>
  <c r="C1228" i="41"/>
  <c r="C993" i="41"/>
  <c r="C1282" i="41"/>
  <c r="D1282" i="41" s="1"/>
  <c r="E1282" i="41" s="1"/>
  <c r="C1231" i="41"/>
  <c r="C926" i="41"/>
  <c r="C1267" i="41"/>
  <c r="C1241" i="41"/>
  <c r="D1241" i="41" s="1"/>
  <c r="C1022" i="41"/>
  <c r="C1086" i="41"/>
  <c r="C1042" i="41"/>
  <c r="C905" i="41"/>
  <c r="D905" i="41" s="1"/>
  <c r="C1279" i="41"/>
  <c r="C1280" i="41"/>
  <c r="C1135" i="41"/>
  <c r="C868" i="41"/>
  <c r="D868" i="41" s="1"/>
  <c r="E868" i="41" s="1"/>
  <c r="C958" i="41"/>
  <c r="C1120" i="41"/>
  <c r="C736" i="41"/>
  <c r="D736" i="41" s="1"/>
  <c r="E736" i="41" s="1"/>
  <c r="C1069" i="41"/>
  <c r="D1069" i="41" s="1"/>
  <c r="E1069" i="41" s="1"/>
  <c r="C1050" i="41"/>
  <c r="C1239" i="41"/>
  <c r="C1067" i="41"/>
  <c r="C1097" i="41"/>
  <c r="D1097" i="41" s="1"/>
  <c r="E1097" i="41" s="1"/>
  <c r="C1303" i="41"/>
  <c r="C1013" i="41"/>
  <c r="C719" i="41"/>
  <c r="D719" i="41" s="1"/>
  <c r="E719" i="41" s="1"/>
  <c r="C1191" i="41"/>
  <c r="D1191" i="41" s="1"/>
  <c r="C1039" i="41"/>
  <c r="C1195" i="41"/>
  <c r="C874" i="41"/>
  <c r="C984" i="41"/>
  <c r="D984" i="41" s="1"/>
  <c r="C1031" i="41"/>
  <c r="C752" i="41"/>
  <c r="D752" i="41" s="1"/>
  <c r="C969" i="41"/>
  <c r="C975" i="41"/>
  <c r="D975" i="41" s="1"/>
  <c r="E975" i="41" s="1"/>
  <c r="C1079" i="41"/>
  <c r="C1276" i="41"/>
  <c r="C1310" i="41"/>
  <c r="C921" i="41"/>
  <c r="D921" i="41" s="1"/>
  <c r="E921" i="41" s="1"/>
  <c r="C1011" i="41"/>
  <c r="C759" i="41"/>
  <c r="D759" i="41" s="1"/>
  <c r="E759" i="41" s="1"/>
  <c r="C1099" i="41"/>
  <c r="C786" i="41"/>
  <c r="D786" i="41" s="1"/>
  <c r="E786" i="41" s="1"/>
  <c r="C1169" i="41"/>
  <c r="C923" i="41"/>
  <c r="C1317" i="41"/>
  <c r="C932" i="41"/>
  <c r="D932" i="41" s="1"/>
  <c r="E932" i="41" s="1"/>
  <c r="C1131" i="41"/>
  <c r="C939" i="41"/>
  <c r="C784" i="41"/>
  <c r="D784" i="41" s="1"/>
  <c r="C1198" i="41"/>
  <c r="D1198" i="41" s="1"/>
  <c r="C734" i="41"/>
  <c r="D734" i="41" s="1"/>
  <c r="F734" i="41" s="1"/>
  <c r="C1242" i="41"/>
  <c r="C754" i="41"/>
  <c r="D754" i="41" s="1"/>
  <c r="E754" i="41" s="1"/>
  <c r="C765" i="41"/>
  <c r="D765" i="41" s="1"/>
  <c r="C1187" i="41"/>
  <c r="C1219" i="41"/>
  <c r="C799" i="41"/>
  <c r="D799" i="41" s="1"/>
  <c r="F799" i="41" s="1"/>
  <c r="C861" i="41"/>
  <c r="D861" i="41" s="1"/>
  <c r="C1247" i="41"/>
  <c r="C835" i="41"/>
  <c r="C961" i="41"/>
  <c r="C1265" i="41"/>
  <c r="D1265" i="41" s="1"/>
  <c r="E1265" i="41" s="1"/>
  <c r="C1125" i="41"/>
  <c r="C757" i="41"/>
  <c r="D757" i="41" s="1"/>
  <c r="E757" i="41" s="1"/>
  <c r="C966" i="41"/>
  <c r="C907" i="41"/>
  <c r="D907" i="41" s="1"/>
  <c r="E907" i="41" s="1"/>
  <c r="C1220" i="41"/>
  <c r="C841" i="41"/>
  <c r="D841" i="41" s="1"/>
  <c r="E841" i="41" s="1"/>
  <c r="C1264" i="41"/>
  <c r="C768" i="41"/>
  <c r="D768" i="41" s="1"/>
  <c r="E768" i="41" s="1"/>
  <c r="C1301" i="41"/>
  <c r="C1288" i="41"/>
  <c r="C780" i="41"/>
  <c r="D780" i="41" s="1"/>
  <c r="E780" i="41" s="1"/>
  <c r="C998" i="41"/>
  <c r="D998" i="41" s="1"/>
  <c r="C822" i="41"/>
  <c r="D822" i="41" s="1"/>
  <c r="E822" i="41" s="1"/>
  <c r="C1145" i="41"/>
  <c r="C931" i="41"/>
  <c r="C1315" i="41"/>
  <c r="D1315" i="41" s="1"/>
  <c r="C871" i="41"/>
  <c r="C771" i="41"/>
  <c r="D771" i="41" s="1"/>
  <c r="F771" i="41" s="1"/>
  <c r="C1180" i="41"/>
  <c r="C1302" i="41"/>
  <c r="D1302" i="41" s="1"/>
  <c r="E1302" i="41" s="1"/>
  <c r="C1152" i="41"/>
  <c r="C1258" i="41"/>
  <c r="C721" i="41"/>
  <c r="D721" i="41" s="1"/>
  <c r="E721" i="41" s="1"/>
  <c r="C1305" i="41"/>
  <c r="D1305" i="41" s="1"/>
  <c r="C1209" i="41"/>
  <c r="C1232" i="41"/>
  <c r="C933" i="41"/>
  <c r="C1257" i="41"/>
  <c r="D1257" i="41" s="1"/>
  <c r="E1257" i="41" s="1"/>
  <c r="C915" i="41"/>
  <c r="C846" i="41"/>
  <c r="D846" i="41" s="1"/>
  <c r="E846" i="41" s="1"/>
  <c r="C901" i="41"/>
  <c r="C745" i="41"/>
  <c r="D745" i="41" s="1"/>
  <c r="E745" i="41" s="1"/>
  <c r="C894" i="41"/>
  <c r="C758" i="41"/>
  <c r="D758" i="41" s="1"/>
  <c r="E758" i="41" s="1"/>
  <c r="C1094" i="41"/>
  <c r="C791" i="41"/>
  <c r="D791" i="41" s="1"/>
  <c r="F791" i="41" s="1"/>
  <c r="C1080" i="41"/>
  <c r="C1129" i="41"/>
  <c r="C1151" i="41"/>
  <c r="C1234" i="41"/>
  <c r="D1234" i="41" s="1"/>
  <c r="C1041" i="41"/>
  <c r="C781" i="41"/>
  <c r="D781" i="41" s="1"/>
  <c r="C1308" i="41"/>
  <c r="C922" i="41"/>
  <c r="D922" i="41" s="1"/>
  <c r="E922" i="41" s="1"/>
  <c r="C1123" i="41"/>
  <c r="C957" i="41"/>
  <c r="C994" i="41"/>
  <c r="C1118" i="41"/>
  <c r="D1118" i="41" s="1"/>
  <c r="C1170" i="41"/>
  <c r="C1176" i="41"/>
  <c r="C973" i="41"/>
  <c r="C1038" i="41"/>
  <c r="D1038" i="41" s="1"/>
  <c r="E1038" i="41" s="1"/>
  <c r="C1226" i="41"/>
  <c r="C959" i="41"/>
  <c r="C857" i="41"/>
  <c r="D857" i="41" s="1"/>
  <c r="E857" i="41" s="1"/>
  <c r="C1316" i="41"/>
  <c r="D1316" i="41" s="1"/>
  <c r="E1316" i="41" s="1"/>
  <c r="C1173" i="41"/>
  <c r="C809" i="41"/>
  <c r="D809" i="41" s="1"/>
  <c r="F809" i="41" s="1"/>
  <c r="C1208" i="41"/>
  <c r="C1199" i="41"/>
  <c r="D1199" i="41" s="1"/>
  <c r="C1117" i="41"/>
  <c r="C818" i="41"/>
  <c r="D818" i="41" s="1"/>
  <c r="F818" i="41" s="1"/>
  <c r="C1058" i="41"/>
  <c r="C946" i="41"/>
  <c r="D946" i="41" s="1"/>
  <c r="C974" i="41"/>
  <c r="C1274" i="41"/>
  <c r="C1273" i="41"/>
  <c r="C1295" i="41"/>
  <c r="D1295" i="41" s="1"/>
  <c r="C1249" i="41"/>
  <c r="C792" i="41"/>
  <c r="D792" i="41" s="1"/>
  <c r="E792" i="41" s="1"/>
  <c r="C1021" i="4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C1141" i="41"/>
  <c r="C735" i="41"/>
  <c r="D735" i="41" s="1"/>
  <c r="F735" i="41" s="1"/>
  <c r="C1293" i="41"/>
  <c r="D1293" i="41" s="1"/>
  <c r="C1207" i="41"/>
  <c r="C1068" i="41"/>
  <c r="C1213" i="41"/>
  <c r="C865" i="41"/>
  <c r="D865" i="41" s="1"/>
  <c r="C1289" i="41"/>
  <c r="C1203" i="41"/>
  <c r="C1056" i="41"/>
  <c r="C1073" i="41"/>
  <c r="D1073" i="41" s="1"/>
  <c r="E1073" i="41" s="1"/>
  <c r="C806" i="41"/>
  <c r="D806" i="41" s="1"/>
  <c r="E806" i="41" s="1"/>
  <c r="C1088" i="41"/>
  <c r="C1253" i="41"/>
  <c r="C891" i="41"/>
  <c r="D891" i="41" s="1"/>
  <c r="C1197" i="41"/>
  <c r="C1007" i="41"/>
  <c r="C860" i="41"/>
  <c r="D860" i="41" s="1"/>
  <c r="E860" i="41" s="1"/>
  <c r="C917" i="41"/>
  <c r="D917" i="41" s="1"/>
  <c r="E917" i="41" s="1"/>
  <c r="C1311" i="41"/>
  <c r="C1309" i="41"/>
  <c r="C1002" i="41"/>
  <c r="C1035" i="41"/>
  <c r="D1035" i="41" s="1"/>
  <c r="C837" i="41"/>
  <c r="D837" i="41" s="1"/>
  <c r="E837" i="41" s="1"/>
  <c r="C1283" i="41"/>
  <c r="C826" i="41"/>
  <c r="D826" i="41" s="1"/>
  <c r="E826" i="41" s="1"/>
  <c r="C995" i="41"/>
  <c r="D995" i="41" s="1"/>
  <c r="E995" i="41" s="1"/>
  <c r="C1266" i="41"/>
  <c r="C1188" i="41"/>
  <c r="C902" i="41"/>
  <c r="C850" i="41"/>
  <c r="D850" i="41" s="1"/>
  <c r="F850" i="41" s="1"/>
  <c r="C810" i="41"/>
  <c r="D810" i="41" s="1"/>
  <c r="E810" i="41" s="1"/>
  <c r="C964" i="41"/>
  <c r="C824" i="41"/>
  <c r="D824" i="41" s="1"/>
  <c r="E824" i="41" s="1"/>
  <c r="C960" i="41"/>
  <c r="D960" i="41" s="1"/>
  <c r="E960" i="41" s="1"/>
  <c r="C1255" i="41"/>
  <c r="C1101" i="41"/>
  <c r="C1036" i="41"/>
  <c r="C888" i="41"/>
  <c r="D888" i="41" s="1"/>
  <c r="E888" i="41" s="1"/>
  <c r="C1306" i="41"/>
  <c r="C739" i="41"/>
  <c r="D739" i="41" s="1"/>
  <c r="F739" i="41" s="1"/>
  <c r="C1204" i="4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C776" i="41"/>
  <c r="D776" i="41" s="1"/>
  <c r="F776" i="41" s="1"/>
  <c r="C1026" i="41"/>
  <c r="C867" i="41"/>
  <c r="D867" i="41" s="1"/>
  <c r="C1087" i="4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C715" i="41"/>
  <c r="D715" i="41" s="1"/>
  <c r="C1114" i="41"/>
  <c r="C804" i="41"/>
  <c r="D804" i="41" s="1"/>
  <c r="C1025" i="41"/>
  <c r="C774" i="41"/>
  <c r="D774" i="41" s="1"/>
  <c r="E774" i="41" s="1"/>
  <c r="C1010" i="41"/>
  <c r="C956" i="41"/>
  <c r="D956" i="41" s="1"/>
  <c r="E956" i="41" s="1"/>
  <c r="C1045" i="41"/>
  <c r="C1229" i="41"/>
  <c r="C872" i="41"/>
  <c r="C1150" i="41"/>
  <c r="D1150" i="41" s="1"/>
  <c r="E1150" i="41" s="1"/>
  <c r="C1000" i="41"/>
  <c r="C910" i="41"/>
  <c r="C1162" i="41"/>
  <c r="C1014" i="41"/>
  <c r="D1014" i="41" s="1"/>
  <c r="C849" i="41"/>
  <c r="D849" i="41" s="1"/>
  <c r="E849" i="41" s="1"/>
  <c r="C805" i="41"/>
  <c r="D805" i="41" s="1"/>
  <c r="F805" i="41" s="1"/>
  <c r="C1112" i="41"/>
  <c r="C1027" i="41"/>
  <c r="D1027" i="41" s="1"/>
  <c r="C1278" i="41"/>
  <c r="C1096" i="41"/>
  <c r="C1216" i="41"/>
  <c r="C947" i="41"/>
  <c r="D947" i="41" s="1"/>
  <c r="C815" i="41"/>
  <c r="D815" i="41" s="1"/>
  <c r="F815" i="41" s="1"/>
  <c r="C996" i="41"/>
  <c r="C1004" i="41"/>
  <c r="C1159" i="41"/>
  <c r="D1159" i="41" s="1"/>
  <c r="E1159" i="41" s="1"/>
  <c r="C851" i="41"/>
  <c r="D851" i="41" s="1"/>
  <c r="E851" i="41" s="1"/>
  <c r="C1064" i="41"/>
  <c r="C724" i="41"/>
  <c r="D724" i="41" s="1"/>
  <c r="F724" i="41" s="1"/>
  <c r="C885" i="41"/>
  <c r="D885" i="41" s="1"/>
  <c r="E885" i="41" s="1"/>
  <c r="C1128" i="41"/>
  <c r="C1210" i="41"/>
  <c r="C1109" i="41"/>
  <c r="C1012" i="41"/>
  <c r="D1012" i="41" s="1"/>
  <c r="C989" i="41"/>
  <c r="C817" i="41"/>
  <c r="D817" i="41" s="1"/>
  <c r="E817" i="41" s="1"/>
  <c r="C750" i="41"/>
  <c r="D750" i="41" s="1"/>
  <c r="C1066" i="41"/>
  <c r="D1066" i="41" s="1"/>
  <c r="C1113" i="41"/>
  <c r="C991" i="41"/>
  <c r="C1153" i="41"/>
  <c r="C909" i="41"/>
  <c r="D909" i="41" s="1"/>
  <c r="E909" i="41" s="1"/>
  <c r="C948" i="41"/>
  <c r="C1290" i="41"/>
  <c r="C1260" i="4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C1009" i="41"/>
  <c r="D1009" i="41" s="1"/>
  <c r="E1009" i="41" s="1"/>
  <c r="C1082" i="41"/>
  <c r="C767" i="41"/>
  <c r="D767" i="41" s="1"/>
  <c r="E767" i="41" s="1"/>
  <c r="C1189" i="4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C1052" i="41"/>
  <c r="C737" i="41"/>
  <c r="D737" i="41" s="1"/>
  <c r="F737" i="41" s="1"/>
  <c r="C1221" i="41"/>
  <c r="D1221" i="41" s="1"/>
  <c r="C773" i="41"/>
  <c r="D773" i="41" s="1"/>
  <c r="E773" i="41" s="1"/>
  <c r="C1298" i="41"/>
  <c r="C1202" i="41"/>
  <c r="C1054" i="41"/>
  <c r="D1054" i="41" s="1"/>
  <c r="E1054" i="41" s="1"/>
  <c r="C1272" i="41"/>
  <c r="C1033" i="41"/>
  <c r="C990" i="41"/>
  <c r="C1070" i="41"/>
  <c r="D1070" i="41" s="1"/>
  <c r="E1070" i="41" s="1"/>
  <c r="C1313" i="41"/>
  <c r="C1177" i="41"/>
  <c r="C819" i="41"/>
  <c r="D819" i="41" s="1"/>
  <c r="E819" i="41" s="1"/>
  <c r="C1292" i="41"/>
  <c r="D1292" i="41" s="1"/>
  <c r="C884" i="41"/>
  <c r="C887" i="41"/>
  <c r="C1277" i="41"/>
  <c r="C1040" i="41"/>
  <c r="D1040" i="41" s="1"/>
  <c r="C1142" i="41"/>
  <c r="C1215" i="41"/>
  <c r="C943" i="41"/>
  <c r="C1225" i="41"/>
  <c r="D1225" i="41" s="1"/>
  <c r="E1225" i="41" s="1"/>
  <c r="C1089" i="41"/>
  <c r="C1233" i="41"/>
  <c r="C1154" i="41"/>
  <c r="C843" i="41"/>
  <c r="D843" i="41" s="1"/>
  <c r="E843" i="41" s="1"/>
  <c r="C749" i="41"/>
  <c r="D749" i="41" s="1"/>
  <c r="F749" i="41" s="1"/>
  <c r="C870" i="41"/>
  <c r="C1190" i="41"/>
  <c r="C1168" i="41"/>
  <c r="D1168" i="41" s="1"/>
  <c r="C1245" i="41"/>
  <c r="C1093" i="41"/>
  <c r="C808" i="41"/>
  <c r="D808" i="41" s="1"/>
  <c r="E808" i="41" s="1"/>
  <c r="C1297" i="41"/>
  <c r="D1297" i="41" s="1"/>
  <c r="C763" i="41"/>
  <c r="D763" i="41" s="1"/>
  <c r="F763" i="41" s="1"/>
  <c r="C1320" i="41"/>
  <c r="C1218" i="41"/>
  <c r="C1132" i="41"/>
  <c r="D1132" i="41" s="1"/>
  <c r="C880" i="41"/>
  <c r="C1206" i="41"/>
  <c r="C1134" i="41"/>
  <c r="C823" i="41"/>
  <c r="D823" i="41" s="1"/>
  <c r="F823" i="41" s="1"/>
  <c r="C892" i="41"/>
  <c r="C962" i="41"/>
  <c r="C1006" i="41"/>
  <c r="C1146" i="41"/>
  <c r="D1146" i="41" s="1"/>
  <c r="E1146" i="41" s="1"/>
  <c r="C908" i="41"/>
  <c r="C1200" i="41"/>
  <c r="C1121" i="41"/>
  <c r="C1156" i="41"/>
  <c r="D1156" i="41" s="1"/>
  <c r="E1156" i="41" s="1"/>
  <c r="C904" i="41"/>
  <c r="C1164" i="41"/>
  <c r="C1237" i="41"/>
  <c r="C1147" i="41"/>
  <c r="D1147" i="41" s="1"/>
  <c r="C1143" i="41"/>
  <c r="C925" i="41"/>
  <c r="C980" i="41"/>
  <c r="C1184" i="41"/>
  <c r="D1184" i="41" s="1"/>
  <c r="E1184" i="41" s="1"/>
  <c r="C937" i="41"/>
  <c r="C877" i="41"/>
  <c r="C934" i="41"/>
  <c r="C864" i="41"/>
  <c r="D864" i="41" s="1"/>
  <c r="E864" i="41" s="1"/>
  <c r="C876" i="41"/>
  <c r="C1083" i="41"/>
  <c r="C1037" i="41"/>
  <c r="C729" i="41"/>
  <c r="D729" i="41" s="1"/>
  <c r="E729" i="41" s="1"/>
  <c r="C1005" i="41"/>
  <c r="C1196" i="41"/>
  <c r="C1049" i="41"/>
  <c r="C1071" i="41"/>
  <c r="D1071" i="41" s="1"/>
  <c r="C924" i="41"/>
  <c r="C898" i="41"/>
  <c r="C1020" i="41"/>
  <c r="C944" i="41"/>
  <c r="D944" i="41" s="1"/>
  <c r="E944" i="41" s="1"/>
  <c r="C1077" i="41"/>
  <c r="C782" i="41"/>
  <c r="D782" i="41" s="1"/>
  <c r="E782" i="41" s="1"/>
  <c r="C982" i="41"/>
  <c r="C1016" i="41"/>
  <c r="D1016" i="41" s="1"/>
  <c r="C722" i="41"/>
  <c r="D722" i="41" s="1"/>
  <c r="E722" i="41" s="1"/>
  <c r="C1259" i="41"/>
  <c r="C1090" i="41"/>
  <c r="C790" i="41"/>
  <c r="D790" i="41" s="1"/>
  <c r="E790" i="41" s="1"/>
  <c r="C883" i="41"/>
  <c r="C1158" i="41"/>
  <c r="C1291" i="4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C787" i="41"/>
  <c r="D787" i="41" s="1"/>
  <c r="F787" i="41" s="1"/>
  <c r="C1062" i="41"/>
  <c r="C1166" i="41"/>
  <c r="D1166" i="41" s="1"/>
  <c r="E1166" i="41" s="1"/>
  <c r="C1019" i="41"/>
  <c r="C981" i="41"/>
  <c r="D981" i="41" s="1"/>
  <c r="E981" i="41" s="1"/>
  <c r="C1034" i="41"/>
  <c r="C972" i="41"/>
  <c r="D972" i="41" s="1"/>
  <c r="C1053" i="41"/>
  <c r="C840" i="41"/>
  <c r="D840" i="41" s="1"/>
  <c r="E840" i="41" s="1"/>
  <c r="C1018" i="4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C953" i="41"/>
  <c r="D953" i="41" s="1"/>
  <c r="E953" i="41" s="1"/>
  <c r="C854" i="41"/>
  <c r="D854" i="41" s="1"/>
  <c r="C893" i="41"/>
  <c r="D893" i="41" s="1"/>
  <c r="E893" i="41" s="1"/>
  <c r="C1138" i="41"/>
  <c r="C772" i="41"/>
  <c r="D772" i="41" s="1"/>
  <c r="E772" i="41" s="1"/>
  <c r="C1081" i="41"/>
  <c r="C1106" i="41"/>
  <c r="D1106" i="41" s="1"/>
  <c r="C1148" i="41"/>
  <c r="C886" i="41"/>
  <c r="D886" i="41" s="1"/>
  <c r="E886" i="41" s="1"/>
  <c r="C1076" i="41"/>
  <c r="C1111" i="41"/>
  <c r="D1111" i="41" s="1"/>
  <c r="C889" i="41"/>
  <c r="C1300" i="41"/>
  <c r="D1300" i="41" s="1"/>
  <c r="E1300" i="41" s="1"/>
  <c r="C1100" i="41"/>
  <c r="C793" i="41"/>
  <c r="D793" i="41" s="1"/>
  <c r="F793" i="41" s="1"/>
  <c r="C1139" i="41"/>
  <c r="C1171" i="41"/>
  <c r="D1171" i="41" s="1"/>
  <c r="E1171" i="41" s="1"/>
  <c r="C979" i="41"/>
  <c r="C1254" i="41"/>
  <c r="D1254" i="41" s="1"/>
  <c r="C1246" i="41"/>
  <c r="C746" i="41"/>
  <c r="D746" i="41" s="1"/>
  <c r="C1133" i="41"/>
  <c r="C1043" i="41"/>
  <c r="D1043" i="41" s="1"/>
  <c r="C783" i="41"/>
  <c r="D783" i="41" s="1"/>
  <c r="E783" i="41" s="1"/>
  <c r="C807" i="41"/>
  <c r="D807" i="41" s="1"/>
  <c r="C1211" i="41"/>
  <c r="C881" i="41"/>
  <c r="D881" i="41" s="1"/>
  <c r="C965" i="41"/>
  <c r="C906" i="41"/>
  <c r="D906" i="41" s="1"/>
  <c r="E906" i="41" s="1"/>
  <c r="C1072" i="41"/>
  <c r="C1119" i="41"/>
  <c r="D1119" i="41" s="1"/>
  <c r="C1178" i="41"/>
  <c r="C919" i="41"/>
  <c r="D919" i="41" s="1"/>
  <c r="E919" i="41" s="1"/>
  <c r="C1092" i="41"/>
  <c r="C1286" i="41"/>
  <c r="D1286" i="41" s="1"/>
  <c r="E1286" i="41" s="1"/>
  <c r="C1262" i="41"/>
  <c r="C918" i="41"/>
  <c r="D918" i="41" s="1"/>
  <c r="C1137" i="41"/>
  <c r="C1179" i="41"/>
  <c r="D1179" i="41" s="1"/>
  <c r="C971" i="41"/>
  <c r="C1240" i="41"/>
  <c r="D1240" i="41" s="1"/>
  <c r="C1186" i="4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C978" i="41"/>
  <c r="D978" i="41" s="1"/>
  <c r="E978" i="41" s="1"/>
  <c r="C1244" i="41"/>
  <c r="C1047" i="41"/>
  <c r="D1047" i="41" s="1"/>
  <c r="C1236" i="41"/>
  <c r="C1193" i="41"/>
  <c r="D1193" i="41" s="1"/>
  <c r="C1268" i="41"/>
  <c r="C1091" i="41"/>
  <c r="D1091" i="41" s="1"/>
  <c r="C1032" i="41"/>
  <c r="C1124" i="41"/>
  <c r="D1124" i="41" s="1"/>
  <c r="C844" i="41"/>
  <c r="D844" i="41" s="1"/>
  <c r="E844" i="41" s="1"/>
  <c r="C775" i="41"/>
  <c r="D775" i="41" s="1"/>
  <c r="E775" i="41" s="1"/>
  <c r="C1122" i="41"/>
  <c r="C873" i="41"/>
  <c r="D873" i="41" s="1"/>
  <c r="E873" i="41" s="1"/>
  <c r="C785" i="41"/>
  <c r="D785" i="41" s="1"/>
  <c r="C977" i="41"/>
  <c r="D977" i="41" s="1"/>
  <c r="E977" i="41" s="1"/>
  <c r="C954" i="4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C812" i="41"/>
  <c r="D812" i="41" s="1"/>
  <c r="F812" i="41" s="1"/>
  <c r="C1271" i="41"/>
  <c r="C852" i="41"/>
  <c r="D852" i="41" s="1"/>
  <c r="F852" i="41" s="1"/>
  <c r="C1307" i="41"/>
  <c r="C1294" i="41"/>
  <c r="D1294" i="41" s="1"/>
  <c r="C1003" i="4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D9" i="60" l="1"/>
  <c r="D1307" i="41"/>
  <c r="E1307" i="41" s="1"/>
  <c r="D1140" i="41"/>
  <c r="E1140" i="41" s="1"/>
  <c r="D1268" i="41"/>
  <c r="E1268" i="41" s="1"/>
  <c r="D1244" i="41"/>
  <c r="E1244" i="41" s="1"/>
  <c r="D1186" i="41"/>
  <c r="E1186" i="41" s="1"/>
  <c r="D1137" i="41"/>
  <c r="E1137" i="41" s="1"/>
  <c r="D1092" i="41"/>
  <c r="E1092" i="41" s="1"/>
  <c r="D1072" i="41"/>
  <c r="E1072" i="41" s="1"/>
  <c r="D1211" i="41"/>
  <c r="D1133" i="41"/>
  <c r="E1133" i="41" s="1"/>
  <c r="D979" i="41"/>
  <c r="E979" i="41" s="1"/>
  <c r="D1100" i="41"/>
  <c r="E1100" i="41" s="1"/>
  <c r="D1076" i="41"/>
  <c r="E1076" i="41" s="1"/>
  <c r="D1081" i="41"/>
  <c r="D1053" i="41"/>
  <c r="E1053" i="41" s="1"/>
  <c r="D1019" i="41"/>
  <c r="E1019" i="41" s="1"/>
  <c r="D976" i="41"/>
  <c r="D1291" i="41"/>
  <c r="E1291" i="41" s="1"/>
  <c r="D1090" i="41"/>
  <c r="E1090" i="41" s="1"/>
  <c r="D982" i="41"/>
  <c r="E982" i="41" s="1"/>
  <c r="D1020" i="41"/>
  <c r="D1049" i="41"/>
  <c r="E1049" i="41" s="1"/>
  <c r="D1037" i="41"/>
  <c r="E1037" i="41" s="1"/>
  <c r="D934" i="41"/>
  <c r="E934" i="41" s="1"/>
  <c r="D980" i="41"/>
  <c r="E980" i="41" s="1"/>
  <c r="D1237" i="41"/>
  <c r="E1237" i="41" s="1"/>
  <c r="D1121" i="41"/>
  <c r="E1121" i="41" s="1"/>
  <c r="D1006" i="41"/>
  <c r="E1006" i="41" s="1"/>
  <c r="D1134" i="41"/>
  <c r="D1218" i="41"/>
  <c r="E1218" i="41" s="1"/>
  <c r="D1190" i="41"/>
  <c r="E1190" i="41" s="1"/>
  <c r="D1154" i="41"/>
  <c r="E1154" i="41" s="1"/>
  <c r="D943" i="41"/>
  <c r="D1277" i="41"/>
  <c r="E1277" i="41" s="1"/>
  <c r="D990" i="41"/>
  <c r="E990" i="41" s="1"/>
  <c r="D1202" i="41"/>
  <c r="E1202" i="41" s="1"/>
  <c r="D1189" i="41"/>
  <c r="D927" i="41"/>
  <c r="E927" i="41" s="1"/>
  <c r="D1260" i="41"/>
  <c r="E1260" i="41" s="1"/>
  <c r="D1153" i="41"/>
  <c r="E1153" i="41" s="1"/>
  <c r="D1109" i="41"/>
  <c r="E1109" i="41" s="1"/>
  <c r="D1004" i="41"/>
  <c r="E1004" i="41" s="1"/>
  <c r="D1216" i="41"/>
  <c r="E1216" i="41" s="1"/>
  <c r="D1112" i="41"/>
  <c r="E1112" i="41" s="1"/>
  <c r="D1162" i="41"/>
  <c r="E1162" i="41" s="1"/>
  <c r="D872" i="41"/>
  <c r="E872" i="41" s="1"/>
  <c r="D1010" i="41"/>
  <c r="E1010" i="41" s="1"/>
  <c r="D1114" i="41"/>
  <c r="E1114" i="41" s="1"/>
  <c r="D1087" i="41"/>
  <c r="E1087" i="41" s="1"/>
  <c r="D1175" i="41"/>
  <c r="E1175" i="41" s="1"/>
  <c r="D1204" i="41"/>
  <c r="E1204" i="41" s="1"/>
  <c r="D1036" i="41"/>
  <c r="E1036" i="41" s="1"/>
  <c r="D902" i="41"/>
  <c r="E902" i="41" s="1"/>
  <c r="D1002" i="41"/>
  <c r="E1002" i="41" s="1"/>
  <c r="D1253" i="41"/>
  <c r="E1253" i="41" s="1"/>
  <c r="D1056" i="41"/>
  <c r="E1056" i="41" s="1"/>
  <c r="D1213" i="41"/>
  <c r="E1213" i="41" s="1"/>
  <c r="D1021" i="41"/>
  <c r="E1021" i="41" s="1"/>
  <c r="D1158" i="41"/>
  <c r="E1158" i="41" s="1"/>
  <c r="D1259" i="41"/>
  <c r="E1259" i="41" s="1"/>
  <c r="D1196" i="41"/>
  <c r="E1196" i="41" s="1"/>
  <c r="D925" i="41"/>
  <c r="E925" i="41" s="1"/>
  <c r="D962" i="41"/>
  <c r="E962" i="41" s="1"/>
  <c r="D1093" i="41"/>
  <c r="E1093" i="41" s="1"/>
  <c r="D1233" i="41"/>
  <c r="E1233" i="41" s="1"/>
  <c r="D1177" i="41"/>
  <c r="E1177" i="41" s="1"/>
  <c r="D1052" i="41"/>
  <c r="E1052" i="41" s="1"/>
  <c r="D991" i="41"/>
  <c r="E991" i="41" s="1"/>
  <c r="D1229" i="41"/>
  <c r="E1229" i="41" s="1"/>
  <c r="D1188" i="41"/>
  <c r="E1188" i="41" s="1"/>
  <c r="D1007" i="41"/>
  <c r="E1007" i="41" s="1"/>
  <c r="D1068" i="41"/>
  <c r="E1068" i="41" s="1"/>
  <c r="D1141" i="41"/>
  <c r="E1141" i="41" s="1"/>
  <c r="D959" i="41"/>
  <c r="E959" i="41" s="1"/>
  <c r="D957" i="41"/>
  <c r="E957" i="41" s="1"/>
  <c r="D1258" i="41"/>
  <c r="E1258" i="41" s="1"/>
  <c r="D1276" i="41"/>
  <c r="E1276" i="41" s="1"/>
  <c r="D1013" i="41"/>
  <c r="E1013" i="41" s="1"/>
  <c r="D1280" i="41"/>
  <c r="E1280" i="41" s="1"/>
  <c r="D1228" i="41"/>
  <c r="E1228" i="41" s="1"/>
  <c r="D1157" i="41"/>
  <c r="E1157" i="41" s="1"/>
  <c r="D945" i="41"/>
  <c r="D940" i="41"/>
  <c r="E940" i="41" s="1"/>
  <c r="D1015" i="41"/>
  <c r="E1015" i="41" s="1"/>
  <c r="D1098" i="41"/>
  <c r="E1098" i="41" s="1"/>
  <c r="D1044" i="41"/>
  <c r="E1044" i="41" s="1"/>
  <c r="D1104" i="41"/>
  <c r="E1104" i="41" s="1"/>
  <c r="D1312" i="41"/>
  <c r="E1312" i="41" s="1"/>
  <c r="D967" i="41"/>
  <c r="E967" i="41" s="1"/>
  <c r="D914" i="41"/>
  <c r="E914" i="41" s="1"/>
  <c r="D1163" i="41"/>
  <c r="E1163" i="41" s="1"/>
  <c r="D1107" i="41"/>
  <c r="E1107" i="41" s="1"/>
  <c r="D941" i="41"/>
  <c r="E941" i="41" s="1"/>
  <c r="D1074" i="41"/>
  <c r="E1074" i="41" s="1"/>
  <c r="D1051" i="41"/>
  <c r="E1051" i="41" s="1"/>
  <c r="D898" i="41"/>
  <c r="E898" i="41" s="1"/>
  <c r="D1083" i="41"/>
  <c r="E1083" i="41" s="1"/>
  <c r="D877" i="41"/>
  <c r="E877" i="41" s="1"/>
  <c r="D1164" i="41"/>
  <c r="E1164" i="41" s="1"/>
  <c r="D1200" i="41"/>
  <c r="E1200" i="41" s="1"/>
  <c r="D1206" i="41"/>
  <c r="E1206" i="41" s="1"/>
  <c r="D1320" i="41"/>
  <c r="E1320" i="41" s="1"/>
  <c r="D870" i="41"/>
  <c r="E870" i="41" s="1"/>
  <c r="D1215" i="41"/>
  <c r="E1215" i="41" s="1"/>
  <c r="D887" i="41"/>
  <c r="E887" i="41" s="1"/>
  <c r="D1033" i="41"/>
  <c r="E1033" i="41" s="1"/>
  <c r="D1298" i="41"/>
  <c r="E1298" i="41" s="1"/>
  <c r="D1290" i="41"/>
  <c r="E1290" i="41" s="1"/>
  <c r="D1210" i="41"/>
  <c r="E1210" i="41" s="1"/>
  <c r="D1064" i="41"/>
  <c r="E1064" i="41" s="1"/>
  <c r="D996" i="41"/>
  <c r="E996" i="41" s="1"/>
  <c r="D1096" i="41"/>
  <c r="E1096" i="41" s="1"/>
  <c r="D910" i="41"/>
  <c r="E910" i="41" s="1"/>
  <c r="D1101" i="41"/>
  <c r="E1101" i="41" s="1"/>
  <c r="D964" i="41"/>
  <c r="E964" i="41" s="1"/>
  <c r="D1283" i="41"/>
  <c r="E1283" i="41" s="1"/>
  <c r="D1309" i="41"/>
  <c r="E1309" i="41" s="1"/>
  <c r="D1088" i="41"/>
  <c r="E1088" i="41" s="1"/>
  <c r="D1203" i="41"/>
  <c r="E1203" i="41" s="1"/>
  <c r="D1274" i="41"/>
  <c r="E1274" i="41" s="1"/>
  <c r="D1176" i="41"/>
  <c r="E1176" i="41" s="1"/>
  <c r="D1129" i="41"/>
  <c r="E1129" i="41" s="1"/>
  <c r="D1232" i="41"/>
  <c r="E1232" i="41" s="1"/>
  <c r="D1145" i="41"/>
  <c r="E1145" i="41" s="1"/>
  <c r="D1288" i="41"/>
  <c r="E1288" i="41" s="1"/>
  <c r="D1219" i="41"/>
  <c r="E1219" i="41" s="1"/>
  <c r="D1242" i="41"/>
  <c r="E1242" i="41" s="1"/>
  <c r="D939" i="41"/>
  <c r="E939" i="41" s="1"/>
  <c r="D923" i="41"/>
  <c r="E923" i="41" s="1"/>
  <c r="D1195" i="41"/>
  <c r="E1195" i="41" s="1"/>
  <c r="D1239" i="41"/>
  <c r="E1239" i="41" s="1"/>
  <c r="D1120" i="41"/>
  <c r="E1120" i="41" s="1"/>
  <c r="D1086" i="41"/>
  <c r="E1086" i="41" s="1"/>
  <c r="D926" i="41"/>
  <c r="E926" i="41" s="1"/>
  <c r="D987" i="41"/>
  <c r="E987" i="41" s="1"/>
  <c r="D1275" i="41"/>
  <c r="E1275" i="41" s="1"/>
  <c r="D1296" i="41"/>
  <c r="E1296" i="41" s="1"/>
  <c r="D1224" i="41"/>
  <c r="E1224" i="41" s="1"/>
  <c r="D1003" i="41"/>
  <c r="E1003" i="41" s="1"/>
  <c r="D1271" i="41"/>
  <c r="E1271" i="41" s="1"/>
  <c r="D954" i="41"/>
  <c r="E954" i="41" s="1"/>
  <c r="D1122" i="41"/>
  <c r="E1122" i="41" s="1"/>
  <c r="D1032" i="41"/>
  <c r="E1032" i="41" s="1"/>
  <c r="D1236" i="41"/>
  <c r="E1236" i="41" s="1"/>
  <c r="D1304" i="41"/>
  <c r="E1304" i="41" s="1"/>
  <c r="D971" i="41"/>
  <c r="E971" i="41" s="1"/>
  <c r="D1262" i="41"/>
  <c r="E1262" i="41" s="1"/>
  <c r="D1178" i="41"/>
  <c r="E1178" i="41" s="1"/>
  <c r="D965" i="41"/>
  <c r="E965" i="41" s="1"/>
  <c r="D1246" i="41"/>
  <c r="E1246" i="41" s="1"/>
  <c r="D1139" i="41"/>
  <c r="E1139" i="41" s="1"/>
  <c r="D889" i="41"/>
  <c r="E889" i="41" s="1"/>
  <c r="D1148" i="41"/>
  <c r="E1148" i="41" s="1"/>
  <c r="D1138" i="41"/>
  <c r="E1138" i="41" s="1"/>
  <c r="D1318" i="41"/>
  <c r="E1318" i="41" s="1"/>
  <c r="D1018" i="41"/>
  <c r="E1018" i="41" s="1"/>
  <c r="D1034" i="41"/>
  <c r="E1034" i="41" s="1"/>
  <c r="D1062" i="41"/>
  <c r="E1062" i="41" s="1"/>
  <c r="D883" i="41"/>
  <c r="E883" i="41" s="1"/>
  <c r="D1077" i="41"/>
  <c r="E1077" i="41" s="1"/>
  <c r="D924" i="41"/>
  <c r="E924" i="41" s="1"/>
  <c r="D1005" i="41"/>
  <c r="E1005" i="41" s="1"/>
  <c r="D876" i="41"/>
  <c r="E876" i="41" s="1"/>
  <c r="D937" i="41"/>
  <c r="E937" i="41" s="1"/>
  <c r="D1143" i="41"/>
  <c r="E1143" i="41" s="1"/>
  <c r="D904" i="41"/>
  <c r="E904" i="41" s="1"/>
  <c r="D908" i="41"/>
  <c r="E908" i="41" s="1"/>
  <c r="D892" i="41"/>
  <c r="E892" i="41" s="1"/>
  <c r="D880" i="41"/>
  <c r="E880" i="41" s="1"/>
  <c r="D1245" i="41"/>
  <c r="E1245" i="41" s="1"/>
  <c r="D1089" i="41"/>
  <c r="E1089" i="41" s="1"/>
  <c r="D1273" i="41"/>
  <c r="E1273" i="41" s="1"/>
  <c r="D1058" i="41"/>
  <c r="E1058" i="41" s="1"/>
  <c r="D1208" i="41"/>
  <c r="E1208" i="41" s="1"/>
  <c r="D973" i="41"/>
  <c r="E973" i="41" s="1"/>
  <c r="D994" i="41"/>
  <c r="E994" i="41" s="1"/>
  <c r="D1308" i="41"/>
  <c r="E1308" i="41" s="1"/>
  <c r="D1151" i="41"/>
  <c r="E1151" i="41" s="1"/>
  <c r="D1094" i="41"/>
  <c r="E1094" i="41" s="1"/>
  <c r="D901" i="41"/>
  <c r="E901" i="41" s="1"/>
  <c r="D933" i="41"/>
  <c r="E933" i="41" s="1"/>
  <c r="D1180" i="41"/>
  <c r="E1180" i="41" s="1"/>
  <c r="D931" i="41"/>
  <c r="E931" i="41" s="1"/>
  <c r="D1264" i="41"/>
  <c r="E1264" i="41" s="1"/>
  <c r="D966" i="41"/>
  <c r="E966" i="41" s="1"/>
  <c r="D961" i="41"/>
  <c r="E961" i="41" s="1"/>
  <c r="D1317" i="41"/>
  <c r="E1317" i="41" s="1"/>
  <c r="D1099" i="41"/>
  <c r="E1099" i="41" s="1"/>
  <c r="D1310" i="41"/>
  <c r="E1310" i="41" s="1"/>
  <c r="D969" i="41"/>
  <c r="E969" i="41" s="1"/>
  <c r="D874" i="41"/>
  <c r="E874" i="41" s="1"/>
  <c r="D1067" i="41"/>
  <c r="E1067" i="41" s="1"/>
  <c r="D1135" i="41"/>
  <c r="E1135" i="41" s="1"/>
  <c r="D1042" i="41"/>
  <c r="E1042" i="41" s="1"/>
  <c r="D1267" i="41"/>
  <c r="D993" i="41"/>
  <c r="E993" i="41" s="1"/>
  <c r="D952" i="41"/>
  <c r="E952" i="41" s="1"/>
  <c r="D935" i="41"/>
  <c r="E935" i="41" s="1"/>
  <c r="D1095" i="41"/>
  <c r="E1095" i="41" s="1"/>
  <c r="D999" i="41"/>
  <c r="E999" i="41" s="1"/>
  <c r="D1023" i="41"/>
  <c r="E1023" i="41" s="1"/>
  <c r="D1085" i="41"/>
  <c r="E1085" i="41" s="1"/>
  <c r="D942" i="41"/>
  <c r="E942" i="41" s="1"/>
  <c r="D1144" i="41"/>
  <c r="E1144" i="41" s="1"/>
  <c r="D1078" i="41"/>
  <c r="E1078" i="41" s="1"/>
  <c r="D1250" i="41"/>
  <c r="E1250" i="41" s="1"/>
  <c r="D1281" i="41"/>
  <c r="E1281" i="41" s="1"/>
  <c r="D988" i="41"/>
  <c r="E988" i="41" s="1"/>
  <c r="D1181" i="41"/>
  <c r="E1181" i="41" s="1"/>
  <c r="D903" i="41"/>
  <c r="E903" i="41" s="1"/>
  <c r="D1030" i="41"/>
  <c r="E1030" i="41" s="1"/>
  <c r="D900" i="41"/>
  <c r="E900" i="41" s="1"/>
  <c r="D879" i="41"/>
  <c r="E879" i="41" s="1"/>
  <c r="D986" i="41"/>
  <c r="E986" i="41" s="1"/>
  <c r="D1252" i="41"/>
  <c r="E1252" i="41" s="1"/>
  <c r="D929" i="41"/>
  <c r="E929" i="41" s="1"/>
  <c r="D1103" i="41"/>
  <c r="E1103" i="41" s="1"/>
  <c r="D1102" i="41"/>
  <c r="E1102" i="41" s="1"/>
  <c r="D1238" i="41"/>
  <c r="E1238" i="41" s="1"/>
  <c r="D997" i="41"/>
  <c r="E997" i="41" s="1"/>
  <c r="D71" i="39"/>
  <c r="E71" i="39" s="1"/>
  <c r="D370" i="29"/>
  <c r="E370" i="29" s="1"/>
  <c r="D74" i="39"/>
  <c r="E74" i="39" s="1"/>
  <c r="D69" i="39"/>
  <c r="E69" i="39" s="1"/>
  <c r="D367" i="29"/>
  <c r="E367" i="29" s="1"/>
  <c r="D371" i="29"/>
  <c r="E371" i="29" s="1"/>
  <c r="D369" i="29"/>
  <c r="E369" i="29" s="1"/>
  <c r="D365" i="29"/>
  <c r="E365" i="29" s="1"/>
  <c r="D875" i="41"/>
  <c r="E875" i="41" s="1"/>
  <c r="D1248" i="41"/>
  <c r="E1248" i="41" s="1"/>
  <c r="D1167" i="41"/>
  <c r="E1167" i="41" s="1"/>
  <c r="D1256" i="41"/>
  <c r="E1256" i="41" s="1"/>
  <c r="D1223" i="41"/>
  <c r="E1223" i="41" s="1"/>
  <c r="D1108" i="41"/>
  <c r="E1108" i="41" s="1"/>
  <c r="D1061" i="41"/>
  <c r="E1061" i="41" s="1"/>
  <c r="D1212" i="41"/>
  <c r="E1212" i="41" s="1"/>
  <c r="D1165" i="41"/>
  <c r="E1165" i="41" s="1"/>
  <c r="D63" i="39"/>
  <c r="E63" i="39" s="1"/>
  <c r="D76" i="39"/>
  <c r="E76" i="39" s="1"/>
  <c r="D64" i="39"/>
  <c r="E64" i="39" s="1"/>
  <c r="D73" i="39"/>
  <c r="E73" i="39" s="1"/>
  <c r="D373" i="29"/>
  <c r="E373" i="29" s="1"/>
  <c r="D364" i="29"/>
  <c r="E364" i="29" s="1"/>
  <c r="D1142" i="41"/>
  <c r="E1142" i="41" s="1"/>
  <c r="D884" i="41"/>
  <c r="E884" i="41" s="1"/>
  <c r="D1313" i="41"/>
  <c r="E1313" i="41" s="1"/>
  <c r="D1272" i="41"/>
  <c r="E1272" i="41" s="1"/>
  <c r="D1126" i="41"/>
  <c r="E1126" i="41" s="1"/>
  <c r="D1082" i="41"/>
  <c r="E1082" i="41" s="1"/>
  <c r="D948" i="41"/>
  <c r="E948" i="41" s="1"/>
  <c r="D1113" i="41"/>
  <c r="E1113" i="41" s="1"/>
  <c r="D989" i="41"/>
  <c r="E989" i="41" s="1"/>
  <c r="D1128" i="41"/>
  <c r="E1128" i="41" s="1"/>
  <c r="D1278" i="41"/>
  <c r="E1278" i="41" s="1"/>
  <c r="D1000" i="41"/>
  <c r="E1000" i="41" s="1"/>
  <c r="D1045" i="41"/>
  <c r="E1045" i="41" s="1"/>
  <c r="D1025" i="41"/>
  <c r="E1025" i="41" s="1"/>
  <c r="D896" i="41"/>
  <c r="E896" i="41" s="1"/>
  <c r="D1026" i="41"/>
  <c r="E1026" i="41" s="1"/>
  <c r="D1306" i="41"/>
  <c r="E1306" i="41" s="1"/>
  <c r="D1255" i="41"/>
  <c r="E1255" i="41" s="1"/>
  <c r="D1266" i="41"/>
  <c r="E1266" i="41" s="1"/>
  <c r="D1311" i="41"/>
  <c r="E1311" i="41" s="1"/>
  <c r="D1197" i="41"/>
  <c r="E1197" i="41" s="1"/>
  <c r="D1289" i="41"/>
  <c r="E1289" i="41" s="1"/>
  <c r="D1207" i="41"/>
  <c r="E1207" i="41" s="1"/>
  <c r="D1110" i="41"/>
  <c r="E1110" i="41" s="1"/>
  <c r="D1249" i="41"/>
  <c r="E1249" i="41" s="1"/>
  <c r="D974" i="41"/>
  <c r="E974" i="41" s="1"/>
  <c r="D1117" i="41"/>
  <c r="E1117" i="41" s="1"/>
  <c r="D1173" i="41"/>
  <c r="E1173" i="41" s="1"/>
  <c r="D1226" i="41"/>
  <c r="E1226" i="41" s="1"/>
  <c r="D1170" i="41"/>
  <c r="E1170" i="41" s="1"/>
  <c r="D1123" i="41"/>
  <c r="E1123" i="41" s="1"/>
  <c r="D1041" i="41"/>
  <c r="E1041" i="41" s="1"/>
  <c r="D1080" i="41"/>
  <c r="E1080" i="41" s="1"/>
  <c r="D894" i="41"/>
  <c r="E894" i="41" s="1"/>
  <c r="D915" i="41"/>
  <c r="E915" i="41" s="1"/>
  <c r="D1209" i="41"/>
  <c r="E1209" i="41" s="1"/>
  <c r="D1152" i="41"/>
  <c r="E1152" i="41" s="1"/>
  <c r="D871" i="41"/>
  <c r="E871" i="41" s="1"/>
  <c r="D1301" i="41"/>
  <c r="E1301" i="41" s="1"/>
  <c r="D1220" i="41"/>
  <c r="E1220" i="41" s="1"/>
  <c r="D1125" i="41"/>
  <c r="E1125" i="41" s="1"/>
  <c r="D1247" i="41"/>
  <c r="E1247" i="41" s="1"/>
  <c r="D1187" i="41"/>
  <c r="E1187" i="41" s="1"/>
  <c r="D1131" i="41"/>
  <c r="E1131" i="41" s="1"/>
  <c r="D1169" i="41"/>
  <c r="E1169" i="41" s="1"/>
  <c r="D1011" i="41"/>
  <c r="E1011" i="41" s="1"/>
  <c r="D1079" i="41"/>
  <c r="E1079" i="41" s="1"/>
  <c r="D1031" i="41"/>
  <c r="E1031" i="41" s="1"/>
  <c r="D1039" i="41"/>
  <c r="E1039" i="41" s="1"/>
  <c r="D1303" i="41"/>
  <c r="E1303" i="41" s="1"/>
  <c r="D1050" i="41"/>
  <c r="E1050" i="41" s="1"/>
  <c r="D958" i="41"/>
  <c r="E958" i="41" s="1"/>
  <c r="D1279" i="41"/>
  <c r="E1279" i="41" s="1"/>
  <c r="D1022" i="41"/>
  <c r="E1022" i="41" s="1"/>
  <c r="D1231" i="41"/>
  <c r="E1231" i="41" s="1"/>
  <c r="D1269" i="41"/>
  <c r="E1269" i="41" s="1"/>
  <c r="D950" i="41"/>
  <c r="E950" i="41" s="1"/>
  <c r="D869" i="41"/>
  <c r="E869" i="41" s="1"/>
  <c r="D895" i="41"/>
  <c r="E895" i="41" s="1"/>
  <c r="D963" i="41"/>
  <c r="E963" i="41" s="1"/>
  <c r="D955" i="41"/>
  <c r="E955" i="41" s="1"/>
  <c r="D890" i="41"/>
  <c r="E890" i="41" s="1"/>
  <c r="D936" i="41"/>
  <c r="E936" i="41" s="1"/>
  <c r="D1243" i="41"/>
  <c r="E1243" i="41" s="1"/>
  <c r="D1227" i="41"/>
  <c r="E1227" i="41" s="1"/>
  <c r="D882" i="41"/>
  <c r="E882" i="41" s="1"/>
  <c r="D1024" i="41"/>
  <c r="E1024" i="41" s="1"/>
  <c r="D938" i="41"/>
  <c r="E938" i="41" s="1"/>
  <c r="D1001" i="41"/>
  <c r="E1001" i="41" s="1"/>
  <c r="D897" i="41"/>
  <c r="E897" i="41" s="1"/>
  <c r="D992" i="41"/>
  <c r="E992" i="41" s="1"/>
  <c r="D1160" i="41"/>
  <c r="E1160" i="41" s="1"/>
  <c r="D1048" i="41"/>
  <c r="E1048" i="41" s="1"/>
  <c r="D1270" i="41"/>
  <c r="E1270" i="41" s="1"/>
  <c r="D1057" i="41"/>
  <c r="E1057" i="41" s="1"/>
  <c r="D951" i="41"/>
  <c r="E951" i="41" s="1"/>
  <c r="D1284" i="41"/>
  <c r="E1284" i="41" s="1"/>
  <c r="D916" i="41"/>
  <c r="E916" i="41" s="1"/>
  <c r="D1235" i="41"/>
  <c r="E1235" i="41" s="1"/>
  <c r="D1065" i="41"/>
  <c r="E1065" i="41" s="1"/>
  <c r="D920" i="41"/>
  <c r="E920" i="41" s="1"/>
  <c r="D1028" i="41"/>
  <c r="E1028" i="41" s="1"/>
  <c r="D72" i="39"/>
  <c r="E72" i="39" s="1"/>
  <c r="D66" i="39"/>
  <c r="E66" i="39" s="1"/>
  <c r="D67" i="39"/>
  <c r="E67" i="39" s="1"/>
  <c r="I121" i="11"/>
  <c r="J121" i="11"/>
  <c r="H121" i="11"/>
  <c r="D312" i="29"/>
  <c r="E312" i="29" s="1"/>
  <c r="D802" i="41"/>
  <c r="E802" i="41" s="1"/>
  <c r="D22" i="59"/>
  <c r="K8" i="60" s="1"/>
  <c r="D21" i="59"/>
  <c r="M114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115" i="11"/>
  <c r="M116" i="11"/>
  <c r="M118" i="11"/>
  <c r="M117" i="11"/>
  <c r="E776" i="41"/>
  <c r="E272" i="29"/>
  <c r="F717" i="41"/>
  <c r="E788" i="41"/>
  <c r="E321" i="29"/>
  <c r="E1194" i="41"/>
  <c r="E856" i="41"/>
  <c r="E1267" i="41"/>
  <c r="E753" i="41"/>
  <c r="E1205" i="41"/>
  <c r="F296" i="29"/>
  <c r="E1234" i="41"/>
  <c r="F764" i="41"/>
  <c r="E946" i="41"/>
  <c r="F324" i="29"/>
  <c r="E62" i="39"/>
  <c r="F792" i="41"/>
  <c r="E761" i="41"/>
  <c r="E945" i="41"/>
  <c r="E733" i="41"/>
  <c r="E1155" i="41"/>
  <c r="E1254" i="41"/>
  <c r="E842" i="41"/>
  <c r="E834" i="41"/>
  <c r="F857" i="41"/>
  <c r="E1191" i="41"/>
  <c r="E1040" i="41"/>
  <c r="E268" i="29"/>
  <c r="F232" i="29"/>
  <c r="F301" i="29"/>
  <c r="E1201" i="41"/>
  <c r="E1055" i="41"/>
  <c r="E1315" i="41"/>
  <c r="E1066" i="41"/>
  <c r="F811" i="41"/>
  <c r="F757" i="41"/>
  <c r="F837" i="41"/>
  <c r="E1130" i="41"/>
  <c r="E1136" i="41"/>
  <c r="E813" i="41"/>
  <c r="E1106" i="41"/>
  <c r="F810" i="41"/>
  <c r="F769" i="41"/>
  <c r="E891" i="41"/>
  <c r="E918" i="41"/>
  <c r="F797" i="41"/>
  <c r="E1172" i="41"/>
  <c r="E1183" i="41"/>
  <c r="E984" i="41"/>
  <c r="E1147" i="41"/>
  <c r="F723" i="41"/>
  <c r="E1222" i="41"/>
  <c r="E949" i="41"/>
  <c r="F745" i="41"/>
  <c r="E850" i="41"/>
  <c r="E1012" i="41"/>
  <c r="F762" i="41"/>
  <c r="F754" i="41"/>
  <c r="F61" i="39"/>
  <c r="E1127" i="41"/>
  <c r="F738" i="41"/>
  <c r="F743" i="41"/>
  <c r="F240" i="29"/>
  <c r="F270" i="29"/>
  <c r="F826" i="41"/>
  <c r="E899" i="41"/>
  <c r="F775" i="41"/>
  <c r="E928" i="41"/>
  <c r="F773" i="41"/>
  <c r="F751" i="41"/>
  <c r="F770" i="41"/>
  <c r="F225" i="29"/>
  <c r="E281" i="29"/>
  <c r="E277" i="29"/>
  <c r="H36" i="39"/>
  <c r="F866" i="41"/>
  <c r="E1029" i="41"/>
  <c r="E784" i="41"/>
  <c r="F315" i="29"/>
  <c r="F322" i="29"/>
  <c r="F250" i="29"/>
  <c r="E273" i="29"/>
  <c r="E1292" i="41"/>
  <c r="E1132" i="41"/>
  <c r="E781" i="41"/>
  <c r="E818" i="41"/>
  <c r="F320" i="29"/>
  <c r="F229" i="29"/>
  <c r="F868" i="41"/>
  <c r="F841" i="41"/>
  <c r="F790" i="41"/>
  <c r="F851" i="41"/>
  <c r="E809" i="41"/>
  <c r="F800" i="41"/>
  <c r="E848" i="41"/>
  <c r="E1240" i="41"/>
  <c r="F736" i="41"/>
  <c r="F326" i="29"/>
  <c r="F249" i="29"/>
  <c r="E245" i="29"/>
  <c r="E905" i="41"/>
  <c r="E1168" i="41"/>
  <c r="E805" i="41"/>
  <c r="F772" i="41"/>
  <c r="F795" i="41"/>
  <c r="F719" i="41"/>
  <c r="E799" i="41"/>
  <c r="F727" i="41"/>
  <c r="F295" i="29"/>
  <c r="F308" i="29"/>
  <c r="E265" i="29"/>
  <c r="F235" i="29"/>
  <c r="E243" i="29"/>
  <c r="I14" i="11"/>
  <c r="E244" i="29"/>
  <c r="F244" i="29"/>
  <c r="E1071" i="41"/>
  <c r="E912" i="41"/>
  <c r="F731" i="41"/>
  <c r="F747" i="41"/>
  <c r="F831" i="41"/>
  <c r="E771" i="41"/>
  <c r="E801" i="41"/>
  <c r="F730" i="41"/>
  <c r="E740" i="41"/>
  <c r="E830" i="41"/>
  <c r="E68" i="39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F860" i="41"/>
  <c r="F863" i="41"/>
  <c r="F862" i="41"/>
  <c r="F824" i="41"/>
  <c r="E734" i="41"/>
  <c r="E852" i="41"/>
  <c r="F304" i="29"/>
  <c r="E1134" i="41"/>
  <c r="E878" i="41"/>
  <c r="F746" i="41"/>
  <c r="E746" i="41"/>
  <c r="E238" i="29"/>
  <c r="F238" i="29"/>
  <c r="F269" i="29"/>
  <c r="E269" i="29"/>
  <c r="F307" i="29"/>
  <c r="E307" i="29"/>
  <c r="E294" i="29"/>
  <c r="E302" i="29"/>
  <c r="F302" i="29"/>
  <c r="E305" i="29"/>
  <c r="F305" i="29"/>
  <c r="E275" i="29"/>
  <c r="F275" i="29"/>
  <c r="E947" i="41"/>
  <c r="E787" i="41"/>
  <c r="E930" i="41"/>
  <c r="F728" i="41"/>
  <c r="F758" i="41"/>
  <c r="E724" i="41"/>
  <c r="F844" i="41"/>
  <c r="E881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F715" i="41"/>
  <c r="E715" i="41"/>
  <c r="E720" i="41"/>
  <c r="F231" i="29"/>
  <c r="E282" i="29"/>
  <c r="J102" i="11"/>
  <c r="I102" i="11"/>
  <c r="F806" i="41"/>
  <c r="E1081" i="41"/>
  <c r="E1027" i="41"/>
  <c r="F861" i="41"/>
  <c r="E861" i="41"/>
  <c r="E230" i="29"/>
  <c r="E346" i="29"/>
  <c r="E274" i="29"/>
  <c r="F274" i="29"/>
  <c r="H123" i="11"/>
  <c r="J123" i="11"/>
  <c r="E340" i="29"/>
  <c r="I85" i="11"/>
  <c r="F821" i="41"/>
  <c r="F807" i="41"/>
  <c r="E807" i="41"/>
  <c r="F752" i="41"/>
  <c r="E752" i="41"/>
  <c r="E794" i="41"/>
  <c r="F794" i="41"/>
  <c r="E366" i="29"/>
  <c r="E313" i="29"/>
  <c r="F313" i="29"/>
  <c r="E266" i="29"/>
  <c r="F266" i="29"/>
  <c r="F306" i="29"/>
  <c r="E306" i="29"/>
  <c r="E246" i="29"/>
  <c r="F246" i="29"/>
  <c r="E293" i="29"/>
  <c r="E1293" i="41"/>
  <c r="F855" i="41"/>
  <c r="F732" i="41"/>
  <c r="E1084" i="41"/>
  <c r="E1124" i="41"/>
  <c r="F828" i="41"/>
  <c r="E828" i="41"/>
  <c r="F755" i="41"/>
  <c r="E755" i="41"/>
  <c r="E1305" i="41"/>
  <c r="E998" i="41"/>
  <c r="E1017" i="41"/>
  <c r="F832" i="41"/>
  <c r="E832" i="41"/>
  <c r="F361" i="29"/>
  <c r="E361" i="29"/>
  <c r="E334" i="29"/>
  <c r="F334" i="29"/>
  <c r="E278" i="29"/>
  <c r="F278" i="29"/>
  <c r="F317" i="29"/>
  <c r="E317" i="29"/>
  <c r="E827" i="41"/>
  <c r="F865" i="41"/>
  <c r="E865" i="41"/>
  <c r="E744" i="41"/>
  <c r="F744" i="41"/>
  <c r="E259" i="29"/>
  <c r="F259" i="29"/>
  <c r="F808" i="41"/>
  <c r="F759" i="41"/>
  <c r="E737" i="41"/>
  <c r="E1214" i="41"/>
  <c r="E976" i="41"/>
  <c r="E1014" i="41"/>
  <c r="E804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J14" i="11"/>
  <c r="E1149" i="41"/>
  <c r="F833" i="41"/>
  <c r="H85" i="11"/>
  <c r="F816" i="41"/>
  <c r="F780" i="41"/>
  <c r="F786" i="41"/>
  <c r="E1198" i="41"/>
  <c r="F768" i="41"/>
  <c r="E1118" i="41"/>
  <c r="E1295" i="41"/>
  <c r="E803" i="41"/>
  <c r="E1179" i="41"/>
  <c r="E859" i="41"/>
  <c r="E815" i="41"/>
  <c r="F756" i="41"/>
  <c r="F779" i="41"/>
  <c r="F331" i="29"/>
  <c r="E267" i="29"/>
  <c r="I15" i="11"/>
  <c r="E1241" i="41"/>
  <c r="F722" i="41"/>
  <c r="E1193" i="41"/>
  <c r="E972" i="41"/>
  <c r="E1119" i="41"/>
  <c r="E854" i="41"/>
  <c r="E1189" i="41"/>
  <c r="E750" i="41"/>
  <c r="F750" i="41"/>
  <c r="E1263" i="41"/>
  <c r="E765" i="41"/>
  <c r="F765" i="41"/>
  <c r="E1063" i="41"/>
  <c r="E1294" i="41"/>
  <c r="E847" i="41"/>
  <c r="E742" i="41"/>
  <c r="F782" i="41"/>
  <c r="F789" i="41"/>
  <c r="E749" i="41"/>
  <c r="E785" i="41"/>
  <c r="F785" i="41"/>
  <c r="E1047" i="41"/>
  <c r="E1211" i="41"/>
  <c r="E1043" i="41"/>
  <c r="E839" i="41"/>
  <c r="F839" i="41"/>
  <c r="E1020" i="41"/>
  <c r="E1297" i="41"/>
  <c r="E943" i="41"/>
  <c r="E1221" i="41"/>
  <c r="E867" i="41"/>
  <c r="F867" i="41"/>
  <c r="E726" i="41"/>
  <c r="F726" i="41"/>
  <c r="E985" i="41"/>
  <c r="E354" i="29"/>
  <c r="F354" i="29"/>
  <c r="E327" i="29"/>
  <c r="E336" i="29"/>
  <c r="F336" i="29"/>
  <c r="E357" i="29"/>
  <c r="F329" i="29"/>
  <c r="E359" i="29"/>
  <c r="F342" i="29"/>
  <c r="F351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253" i="29"/>
  <c r="E271" i="29"/>
  <c r="F271" i="29"/>
  <c r="E287" i="29"/>
  <c r="F287" i="29"/>
  <c r="E348" i="29"/>
  <c r="E59" i="39"/>
  <c r="F59" i="39"/>
  <c r="E290" i="29"/>
  <c r="F290" i="29"/>
  <c r="F323" i="29"/>
  <c r="E260" i="29"/>
  <c r="E236" i="29"/>
  <c r="E341" i="29"/>
  <c r="F341" i="29"/>
  <c r="F299" i="29"/>
  <c r="J101" i="11"/>
  <c r="H101" i="11"/>
  <c r="I101" i="11"/>
  <c r="F300" i="29"/>
  <c r="E284" i="29"/>
  <c r="J16" i="11"/>
  <c r="F233" i="29"/>
  <c r="E58" i="39"/>
  <c r="F319" i="29"/>
  <c r="F310" i="29"/>
  <c r="H102" i="11"/>
  <c r="H16" i="11"/>
  <c r="M112" i="11"/>
  <c r="E725" i="41"/>
  <c r="F725" i="41"/>
  <c r="E777" i="41"/>
  <c r="F777" i="41"/>
  <c r="F814" i="41"/>
  <c r="E1111" i="41"/>
  <c r="F820" i="41"/>
  <c r="E820" i="41"/>
  <c r="E1161" i="41"/>
  <c r="E812" i="41"/>
  <c r="F843" i="41"/>
  <c r="E763" i="41"/>
  <c r="F760" i="41"/>
  <c r="E362" i="29"/>
  <c r="F362" i="29"/>
  <c r="F347" i="29"/>
  <c r="E347" i="29"/>
  <c r="E714" i="41"/>
  <c r="E65" i="3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92" i="29"/>
  <c r="F288" i="29"/>
  <c r="E288" i="29"/>
  <c r="E256" i="29"/>
  <c r="F256" i="29"/>
  <c r="F247" i="29"/>
  <c r="E247" i="29"/>
  <c r="E75" i="39"/>
  <c r="E283" i="29"/>
  <c r="F283" i="29"/>
  <c r="E368" i="29"/>
  <c r="F262" i="29"/>
  <c r="F289" i="29"/>
  <c r="F309" i="29"/>
  <c r="E309" i="29"/>
  <c r="E325" i="29"/>
  <c r="F349" i="29"/>
  <c r="E349" i="2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80" i="11"/>
  <c r="H80" i="11"/>
  <c r="H84" i="11"/>
  <c r="J84" i="11"/>
  <c r="I84" i="11"/>
  <c r="J88" i="11"/>
  <c r="I88" i="11"/>
  <c r="H88" i="11"/>
  <c r="J92" i="11"/>
  <c r="H92" i="11"/>
  <c r="I96" i="11"/>
  <c r="J96" i="11"/>
  <c r="H96" i="11"/>
  <c r="I80" i="11"/>
  <c r="I83" i="11"/>
  <c r="H83" i="11"/>
  <c r="J83" i="11"/>
  <c r="I87" i="11"/>
  <c r="J87" i="11"/>
  <c r="H87" i="11"/>
  <c r="H91" i="11"/>
  <c r="I91" i="11"/>
  <c r="I95" i="11"/>
  <c r="J95" i="11"/>
  <c r="I99" i="11"/>
  <c r="H99" i="11"/>
  <c r="J99" i="11"/>
  <c r="I123" i="11"/>
  <c r="J82" i="11"/>
  <c r="H82" i="11"/>
  <c r="I82" i="11"/>
  <c r="J86" i="11"/>
  <c r="H86" i="11"/>
  <c r="I86" i="11"/>
  <c r="I90" i="11"/>
  <c r="H90" i="11"/>
  <c r="J94" i="11"/>
  <c r="H94" i="11"/>
  <c r="I94" i="11"/>
  <c r="H98" i="11"/>
  <c r="I98" i="11"/>
  <c r="I92" i="11"/>
  <c r="H81" i="11"/>
  <c r="J81" i="11"/>
  <c r="I89" i="11"/>
  <c r="H89" i="11"/>
  <c r="J89" i="11"/>
  <c r="J93" i="11"/>
  <c r="H93" i="11"/>
  <c r="I93" i="11"/>
  <c r="J97" i="11"/>
  <c r="H97" i="11"/>
  <c r="I100" i="11"/>
  <c r="I105" i="11"/>
  <c r="J104" i="11"/>
  <c r="J100" i="11"/>
  <c r="J18" i="11"/>
  <c r="J15" i="11"/>
  <c r="H105" i="11"/>
  <c r="I104" i="11"/>
  <c r="I18" i="11"/>
  <c r="F822" i="41" l="1"/>
  <c r="F817" i="41"/>
  <c r="F804" i="41"/>
  <c r="F332" i="29"/>
  <c r="F314" i="29"/>
  <c r="F327" i="29"/>
  <c r="F293" i="29"/>
  <c r="F783" i="41"/>
  <c r="F348" i="29"/>
  <c r="F838" i="41"/>
  <c r="F781" i="41"/>
  <c r="F853" i="41"/>
  <c r="F291" i="29"/>
  <c r="F718" i="41"/>
  <c r="F228" i="29"/>
  <c r="K121" i="11"/>
  <c r="F74" i="39"/>
  <c r="F368" i="29"/>
  <c r="F1311" i="41"/>
  <c r="F76" i="39"/>
  <c r="F69" i="39"/>
  <c r="F1138" i="41"/>
  <c r="F1063" i="41"/>
  <c r="F1133" i="41"/>
  <c r="F958" i="41"/>
  <c r="F961" i="41"/>
  <c r="F1279" i="41"/>
  <c r="F68" i="39"/>
  <c r="F71" i="39"/>
  <c r="F64" i="39"/>
  <c r="F75" i="39"/>
  <c r="F1297" i="41"/>
  <c r="F1047" i="41"/>
  <c r="K105" i="11"/>
  <c r="M105" i="11" s="1"/>
  <c r="F357" i="29"/>
  <c r="F847" i="41"/>
  <c r="F854" i="41"/>
  <c r="F784" i="41"/>
  <c r="F720" i="41"/>
  <c r="F294" i="29"/>
  <c r="F230" i="2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F60" i="39"/>
  <c r="D9" i="59"/>
  <c r="K7" i="54" s="1"/>
  <c r="C7" i="54"/>
  <c r="C8" i="54"/>
  <c r="K14" i="11"/>
  <c r="M14" i="11" s="1"/>
  <c r="K104" i="11"/>
  <c r="K95" i="11"/>
  <c r="M95" i="11" s="1"/>
  <c r="K85" i="11"/>
  <c r="M85" i="11" s="1"/>
  <c r="K16" i="11"/>
  <c r="M19" i="11"/>
  <c r="M120" i="11"/>
  <c r="K123" i="11"/>
  <c r="K101" i="11"/>
  <c r="M101" i="11" s="1"/>
  <c r="K102" i="11"/>
  <c r="M102" i="11" s="1"/>
  <c r="K18" i="11"/>
  <c r="M18" i="11" s="1"/>
  <c r="F350" i="29"/>
  <c r="K98" i="11"/>
  <c r="M98" i="11" s="1"/>
  <c r="K100" i="11"/>
  <c r="M100" i="11" s="1"/>
  <c r="K81" i="11"/>
  <c r="M81" i="11" s="1"/>
  <c r="K91" i="11"/>
  <c r="M91" i="11" s="1"/>
  <c r="K84" i="11"/>
  <c r="M84" i="11" s="1"/>
  <c r="K89" i="11"/>
  <c r="M89" i="11" s="1"/>
  <c r="K86" i="11"/>
  <c r="M86" i="11" s="1"/>
  <c r="H122" i="11"/>
  <c r="H125" i="11" s="1"/>
  <c r="F312" i="29"/>
  <c r="F339" i="29"/>
  <c r="F226" i="29"/>
  <c r="F345" i="29"/>
  <c r="F239" i="29"/>
  <c r="I122" i="11"/>
  <c r="I125" i="11" s="1"/>
  <c r="J122" i="11"/>
  <c r="J125" i="11" s="1"/>
  <c r="K90" i="11"/>
  <c r="M90" i="11" s="1"/>
  <c r="K99" i="11"/>
  <c r="M99" i="11" s="1"/>
  <c r="K92" i="11"/>
  <c r="M92" i="11" s="1"/>
  <c r="K80" i="11"/>
  <c r="K93" i="11"/>
  <c r="M93" i="11" s="1"/>
  <c r="K96" i="11"/>
  <c r="M96" i="11" s="1"/>
  <c r="K97" i="11"/>
  <c r="M97" i="11" s="1"/>
  <c r="K15" i="11"/>
  <c r="K94" i="11"/>
  <c r="M94" i="11" s="1"/>
  <c r="K82" i="11"/>
  <c r="M82" i="11" s="1"/>
  <c r="K87" i="11"/>
  <c r="M87" i="11" s="1"/>
  <c r="K83" i="11"/>
  <c r="M83" i="11" s="1"/>
  <c r="K88" i="11"/>
  <c r="M88" i="11" s="1"/>
  <c r="F716" i="41"/>
  <c r="F840" i="41"/>
  <c r="F835" i="41"/>
  <c r="F729" i="41"/>
  <c r="F802" i="41"/>
  <c r="F829" i="41"/>
  <c r="F17" i="39" l="1"/>
  <c r="F16" i="39"/>
  <c r="C16" i="39"/>
  <c r="C30" i="39"/>
  <c r="G30" i="39" s="1"/>
  <c r="C17" i="39"/>
  <c r="C21" i="39"/>
  <c r="C35" i="39"/>
  <c r="D35" i="39" s="1"/>
  <c r="F24" i="39"/>
  <c r="F33" i="39"/>
  <c r="F27" i="39"/>
  <c r="F29" i="39"/>
  <c r="C20" i="39"/>
  <c r="B20" i="39" s="1"/>
  <c r="E20" i="39" s="1"/>
  <c r="C22" i="39"/>
  <c r="C31" i="39"/>
  <c r="B31" i="39" s="1"/>
  <c r="E31" i="39" s="1"/>
  <c r="C27" i="39"/>
  <c r="D27" i="39" s="1"/>
  <c r="C28" i="39"/>
  <c r="G28" i="39" s="1"/>
  <c r="C19" i="39"/>
  <c r="C26" i="39"/>
  <c r="F21" i="39"/>
  <c r="C29" i="39"/>
  <c r="D29" i="39" s="1"/>
  <c r="C32" i="39"/>
  <c r="F23" i="39"/>
  <c r="F18" i="39"/>
  <c r="C18" i="39"/>
  <c r="B18" i="39" s="1"/>
  <c r="E18" i="39" s="1"/>
  <c r="F28" i="39"/>
  <c r="F26" i="39"/>
  <c r="F22" i="39"/>
  <c r="F35" i="39"/>
  <c r="C34" i="39"/>
  <c r="F19" i="39"/>
  <c r="C25" i="39"/>
  <c r="B25" i="39" s="1"/>
  <c r="E25" i="39" s="1"/>
  <c r="C33" i="39"/>
  <c r="B33" i="39" s="1"/>
  <c r="E33" i="39" s="1"/>
  <c r="F20" i="39"/>
  <c r="C23" i="39"/>
  <c r="F25" i="39"/>
  <c r="F32" i="39"/>
  <c r="C24" i="39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G133" i="29" s="1"/>
  <c r="F126" i="29"/>
  <c r="C87" i="29"/>
  <c r="B87" i="29" s="1"/>
  <c r="E87" i="29" s="1"/>
  <c r="F137" i="29"/>
  <c r="C33" i="29"/>
  <c r="B33" i="29" s="1"/>
  <c r="E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G115" i="29" s="1"/>
  <c r="F20" i="29"/>
  <c r="C17" i="29"/>
  <c r="G17" i="29" s="1"/>
  <c r="F139" i="29"/>
  <c r="C143" i="29"/>
  <c r="D143" i="29" s="1"/>
  <c r="C132" i="29"/>
  <c r="G132" i="29" s="1"/>
  <c r="C163" i="29"/>
  <c r="G163" i="29" s="1"/>
  <c r="C79" i="29"/>
  <c r="G79" i="29" s="1"/>
  <c r="C58" i="29"/>
  <c r="G58" i="29" s="1"/>
  <c r="F34" i="29"/>
  <c r="F144" i="29"/>
  <c r="C36" i="29"/>
  <c r="G36" i="29" s="1"/>
  <c r="C112" i="29"/>
  <c r="G112" i="29" s="1"/>
  <c r="C80" i="29"/>
  <c r="G80" i="29" s="1"/>
  <c r="F18" i="29"/>
  <c r="C68" i="29"/>
  <c r="B68" i="29" s="1"/>
  <c r="E68" i="29" s="1"/>
  <c r="C122" i="29"/>
  <c r="G122" i="29" s="1"/>
  <c r="C94" i="29"/>
  <c r="B94" i="29" s="1"/>
  <c r="E94" i="29" s="1"/>
  <c r="F128" i="29"/>
  <c r="F28" i="29"/>
  <c r="C90" i="29"/>
  <c r="D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B160" i="29" s="1"/>
  <c r="E160" i="29" s="1"/>
  <c r="C100" i="29"/>
  <c r="D100" i="29" s="1"/>
  <c r="F58" i="29"/>
  <c r="F109" i="29"/>
  <c r="C65" i="29"/>
  <c r="B65" i="29" s="1"/>
  <c r="E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B149" i="29" s="1"/>
  <c r="E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126" i="11"/>
  <c r="J127" i="11" s="1"/>
  <c r="H126" i="11"/>
  <c r="H127" i="11" s="1"/>
  <c r="I126" i="11"/>
  <c r="I127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D23" i="39"/>
  <c r="B23" i="39"/>
  <c r="E23" i="39" s="1"/>
  <c r="G23" i="39"/>
  <c r="G34" i="39"/>
  <c r="B34" i="39"/>
  <c r="E34" i="39" s="1"/>
  <c r="D34" i="39"/>
  <c r="G19" i="39"/>
  <c r="D19" i="39"/>
  <c r="B19" i="39"/>
  <c r="E19" i="39" s="1"/>
  <c r="B26" i="39"/>
  <c r="E26" i="39" s="1"/>
  <c r="G26" i="39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G32" i="39"/>
  <c r="B32" i="39"/>
  <c r="E32" i="39" s="1"/>
  <c r="D32" i="39"/>
  <c r="D67" i="29"/>
  <c r="D132" i="29"/>
  <c r="D94" i="29"/>
  <c r="D113" i="29"/>
  <c r="B97" i="29"/>
  <c r="E97" i="29" s="1"/>
  <c r="B100" i="29"/>
  <c r="E100" i="29" s="1"/>
  <c r="D106" i="29"/>
  <c r="G22" i="29"/>
  <c r="G66" i="29"/>
  <c r="D18" i="29"/>
  <c r="B18" i="29"/>
  <c r="E18" i="29" s="1"/>
  <c r="G18" i="29"/>
  <c r="D21" i="39"/>
  <c r="B21" i="39"/>
  <c r="E21" i="39" s="1"/>
  <c r="G21" i="39"/>
  <c r="G25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G111" i="29"/>
  <c r="G23" i="29"/>
  <c r="G105" i="29"/>
  <c r="D81" i="29"/>
  <c r="B22" i="39"/>
  <c r="E22" i="39" s="1"/>
  <c r="D22" i="39"/>
  <c r="G22" i="39"/>
  <c r="G17" i="39"/>
  <c r="B17" i="39"/>
  <c r="E17" i="39" s="1"/>
  <c r="D17" i="39"/>
  <c r="M15" i="11"/>
  <c r="K122" i="11"/>
  <c r="K125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B24" i="39"/>
  <c r="E24" i="39" s="1"/>
  <c r="G24" i="39"/>
  <c r="D24" i="39"/>
  <c r="G144" i="29" l="1"/>
  <c r="G104" i="29"/>
  <c r="B114" i="29"/>
  <c r="E114" i="29" s="1"/>
  <c r="B128" i="29"/>
  <c r="E128" i="29" s="1"/>
  <c r="G26" i="29"/>
  <c r="B72" i="29"/>
  <c r="E72" i="29" s="1"/>
  <c r="D19" i="29"/>
  <c r="D92" i="29"/>
  <c r="I92" i="29" s="1"/>
  <c r="D20" i="29"/>
  <c r="J20" i="29" s="1"/>
  <c r="D68" i="29"/>
  <c r="H68" i="29" s="1"/>
  <c r="D85" i="29"/>
  <c r="G143" i="29"/>
  <c r="D149" i="29"/>
  <c r="I149" i="29" s="1"/>
  <c r="D160" i="29"/>
  <c r="H160" i="29" s="1"/>
  <c r="D33" i="39"/>
  <c r="D112" i="29"/>
  <c r="I112" i="29" s="1"/>
  <c r="D28" i="39"/>
  <c r="I28" i="39" s="1"/>
  <c r="B77" i="29"/>
  <c r="E77" i="29" s="1"/>
  <c r="D58" i="29"/>
  <c r="D33" i="29"/>
  <c r="I33" i="29" s="1"/>
  <c r="B124" i="29"/>
  <c r="E124" i="29" s="1"/>
  <c r="G59" i="29"/>
  <c r="D57" i="29"/>
  <c r="B48" i="29"/>
  <c r="E48" i="29" s="1"/>
  <c r="G149" i="29"/>
  <c r="G77" i="29"/>
  <c r="G85" i="29"/>
  <c r="B58" i="29"/>
  <c r="E58" i="29" s="1"/>
  <c r="B109" i="29"/>
  <c r="E109" i="29" s="1"/>
  <c r="D124" i="29"/>
  <c r="I124" i="29" s="1"/>
  <c r="D115" i="29"/>
  <c r="D65" i="29"/>
  <c r="I65" i="29" s="1"/>
  <c r="G90" i="29"/>
  <c r="D133" i="29"/>
  <c r="J133" i="29" s="1"/>
  <c r="B122" i="29"/>
  <c r="E122" i="29" s="1"/>
  <c r="D122" i="29"/>
  <c r="I122" i="29" s="1"/>
  <c r="B143" i="29"/>
  <c r="E143" i="29" s="1"/>
  <c r="G33" i="39"/>
  <c r="B115" i="29"/>
  <c r="E115" i="29" s="1"/>
  <c r="B112" i="29"/>
  <c r="E112" i="29" s="1"/>
  <c r="G160" i="29"/>
  <c r="B90" i="29"/>
  <c r="E90" i="29" s="1"/>
  <c r="B133" i="29"/>
  <c r="E133" i="29" s="1"/>
  <c r="G33" i="29"/>
  <c r="D18" i="39"/>
  <c r="J18" i="39" s="1"/>
  <c r="B29" i="39"/>
  <c r="E29" i="39" s="1"/>
  <c r="D20" i="39"/>
  <c r="D86" i="29"/>
  <c r="J86" i="29" s="1"/>
  <c r="G65" i="29"/>
  <c r="G29" i="39"/>
  <c r="B28" i="39"/>
  <c r="E28" i="39" s="1"/>
  <c r="G20" i="39"/>
  <c r="B131" i="29"/>
  <c r="E131" i="29" s="1"/>
  <c r="D148" i="29"/>
  <c r="J148" i="29" s="1"/>
  <c r="G131" i="29"/>
  <c r="G117" i="29"/>
  <c r="D40" i="29"/>
  <c r="H40" i="29" s="1"/>
  <c r="G74" i="29"/>
  <c r="D35" i="29"/>
  <c r="I35" i="29" s="1"/>
  <c r="G99" i="29"/>
  <c r="B148" i="29"/>
  <c r="E148" i="29" s="1"/>
  <c r="B38" i="29"/>
  <c r="E38" i="29" s="1"/>
  <c r="B89" i="29"/>
  <c r="E89" i="29" s="1"/>
  <c r="D109" i="29"/>
  <c r="J109" i="29" s="1"/>
  <c r="B40" i="29"/>
  <c r="E40" i="29" s="1"/>
  <c r="G24" i="29"/>
  <c r="D99" i="29"/>
  <c r="G38" i="29"/>
  <c r="G16" i="39"/>
  <c r="B16" i="39"/>
  <c r="E16" i="39" s="1"/>
  <c r="D16" i="39"/>
  <c r="I30" i="39"/>
  <c r="G18" i="39"/>
  <c r="B55" i="29"/>
  <c r="E55" i="29" s="1"/>
  <c r="B121" i="29"/>
  <c r="E121" i="29" s="1"/>
  <c r="B30" i="39"/>
  <c r="E30" i="39" s="1"/>
  <c r="B64" i="29"/>
  <c r="E64" i="29" s="1"/>
  <c r="D154" i="29"/>
  <c r="I154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H59" i="29" s="1"/>
  <c r="G48" i="29"/>
  <c r="G86" i="29"/>
  <c r="G27" i="39"/>
  <c r="D25" i="39"/>
  <c r="J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H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H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H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H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J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126" i="11"/>
  <c r="K127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I22" i="39"/>
  <c r="H22" i="39"/>
  <c r="J22" i="39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I21" i="39"/>
  <c r="H21" i="39"/>
  <c r="J21" i="39"/>
  <c r="H138" i="29"/>
  <c r="J138" i="29"/>
  <c r="I138" i="29"/>
  <c r="I90" i="29"/>
  <c r="H90" i="29"/>
  <c r="J90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57" i="29"/>
  <c r="I57" i="29"/>
  <c r="J57" i="29"/>
  <c r="J74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J81" i="29"/>
  <c r="H81" i="29"/>
  <c r="I81" i="29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J17" i="39"/>
  <c r="H17" i="39"/>
  <c r="I17" i="39"/>
  <c r="I27" i="39"/>
  <c r="H27" i="39"/>
  <c r="J27" i="39"/>
  <c r="H126" i="29"/>
  <c r="I126" i="29"/>
  <c r="J126" i="29"/>
  <c r="H85" i="29"/>
  <c r="J85" i="29"/>
  <c r="I85" i="29"/>
  <c r="I33" i="39"/>
  <c r="H33" i="39"/>
  <c r="J33" i="3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71" i="29"/>
  <c r="I71" i="29"/>
  <c r="H71" i="29"/>
  <c r="J29" i="39"/>
  <c r="I29" i="39"/>
  <c r="H29" i="3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34" i="39"/>
  <c r="I34" i="39"/>
  <c r="H34" i="39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99" i="29"/>
  <c r="H99" i="29"/>
  <c r="I99" i="29"/>
  <c r="J56" i="29"/>
  <c r="I56" i="29"/>
  <c r="H56" i="29"/>
  <c r="J29" i="29"/>
  <c r="H29" i="29"/>
  <c r="I29" i="29"/>
  <c r="I40" i="29"/>
  <c r="B544" i="41"/>
  <c r="D544" i="41"/>
  <c r="G544" i="41"/>
  <c r="L544" i="41"/>
  <c r="L402" i="41"/>
  <c r="G402" i="41"/>
  <c r="B402" i="41"/>
  <c r="D402" i="41"/>
  <c r="I19" i="29"/>
  <c r="H19" i="29"/>
  <c r="J19" i="29"/>
  <c r="I131" i="29"/>
  <c r="H131" i="29"/>
  <c r="J131" i="29"/>
  <c r="J62" i="29"/>
  <c r="I62" i="29"/>
  <c r="H62" i="29"/>
  <c r="H64" i="29"/>
  <c r="I64" i="29"/>
  <c r="J64" i="29"/>
  <c r="J24" i="39"/>
  <c r="I24" i="39"/>
  <c r="H24" i="3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H22" i="29"/>
  <c r="J22" i="29"/>
  <c r="I22" i="29"/>
  <c r="I106" i="29"/>
  <c r="H106" i="29"/>
  <c r="J106" i="29"/>
  <c r="J37" i="29"/>
  <c r="J100" i="29"/>
  <c r="I100" i="29"/>
  <c r="H100" i="29"/>
  <c r="I25" i="29"/>
  <c r="J25" i="29"/>
  <c r="H25" i="29"/>
  <c r="H97" i="29"/>
  <c r="I97" i="29"/>
  <c r="J97" i="29"/>
  <c r="J158" i="29"/>
  <c r="H158" i="29"/>
  <c r="I158" i="29"/>
  <c r="I143" i="29"/>
  <c r="J143" i="29"/>
  <c r="H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8" i="29"/>
  <c r="J18" i="29"/>
  <c r="H18" i="29"/>
  <c r="H32" i="29"/>
  <c r="J115" i="29"/>
  <c r="I115" i="29"/>
  <c r="H115" i="29"/>
  <c r="H58" i="29"/>
  <c r="J58" i="29"/>
  <c r="I58" i="29"/>
  <c r="H113" i="29"/>
  <c r="I113" i="29"/>
  <c r="J113" i="29"/>
  <c r="I94" i="29"/>
  <c r="H94" i="29"/>
  <c r="J94" i="29"/>
  <c r="J132" i="29"/>
  <c r="I132" i="29"/>
  <c r="H132" i="29"/>
  <c r="H67" i="29"/>
  <c r="J67" i="29"/>
  <c r="I67" i="2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J20" i="39"/>
  <c r="H20" i="39"/>
  <c r="I20" i="3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H28" i="39" l="1"/>
  <c r="H18" i="39"/>
  <c r="J65" i="29"/>
  <c r="H92" i="29"/>
  <c r="I86" i="29"/>
  <c r="J28" i="39"/>
  <c r="J40" i="29"/>
  <c r="K40" i="29" s="1"/>
  <c r="I20" i="29"/>
  <c r="J149" i="29"/>
  <c r="I18" i="39"/>
  <c r="K18" i="39" s="1"/>
  <c r="H20" i="29"/>
  <c r="H149" i="29"/>
  <c r="K30" i="39"/>
  <c r="J122" i="29"/>
  <c r="H65" i="29"/>
  <c r="J33" i="29"/>
  <c r="H112" i="29"/>
  <c r="H33" i="29"/>
  <c r="I27" i="29"/>
  <c r="J112" i="29"/>
  <c r="H122" i="29"/>
  <c r="J92" i="29"/>
  <c r="H165" i="29"/>
  <c r="I68" i="29"/>
  <c r="I160" i="29"/>
  <c r="J68" i="29"/>
  <c r="J160" i="29"/>
  <c r="H86" i="29"/>
  <c r="J82" i="29"/>
  <c r="J124" i="29"/>
  <c r="H133" i="29"/>
  <c r="I60" i="29"/>
  <c r="I25" i="39"/>
  <c r="I75" i="29"/>
  <c r="J154" i="29"/>
  <c r="I157" i="29"/>
  <c r="H148" i="29"/>
  <c r="I162" i="29"/>
  <c r="J42" i="29"/>
  <c r="J88" i="29"/>
  <c r="I159" i="29"/>
  <c r="J120" i="29"/>
  <c r="H124" i="29"/>
  <c r="J47" i="29"/>
  <c r="I133" i="29"/>
  <c r="J157" i="29"/>
  <c r="I59" i="29"/>
  <c r="I148" i="29"/>
  <c r="I155" i="29"/>
  <c r="I28" i="29"/>
  <c r="H154" i="29"/>
  <c r="I42" i="29"/>
  <c r="I151" i="29"/>
  <c r="I88" i="29"/>
  <c r="H145" i="29"/>
  <c r="H30" i="29"/>
  <c r="H155" i="29"/>
  <c r="K155" i="29" s="1"/>
  <c r="H28" i="29"/>
  <c r="K28" i="29" s="1"/>
  <c r="J75" i="29"/>
  <c r="I120" i="29"/>
  <c r="J59" i="29"/>
  <c r="H162" i="29"/>
  <c r="K162" i="29" s="1"/>
  <c r="J60" i="29"/>
  <c r="H25" i="39"/>
  <c r="J151" i="29"/>
  <c r="I145" i="29"/>
  <c r="J159" i="29"/>
  <c r="J35" i="29"/>
  <c r="H35" i="29"/>
  <c r="I109" i="29"/>
  <c r="H109" i="29"/>
  <c r="J16" i="39"/>
  <c r="I16" i="39"/>
  <c r="H16" i="39"/>
  <c r="I87" i="29"/>
  <c r="H79" i="29"/>
  <c r="I74" i="29"/>
  <c r="K74" i="29" s="1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K37" i="29" s="1"/>
  <c r="H51" i="29"/>
  <c r="J129" i="29"/>
  <c r="H84" i="29"/>
  <c r="I36" i="29"/>
  <c r="I130" i="29"/>
  <c r="I118" i="29"/>
  <c r="K118" i="29" s="1"/>
  <c r="I70" i="29"/>
  <c r="J84" i="29"/>
  <c r="I32" i="29"/>
  <c r="K32" i="29" s="1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K47" i="29" s="1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K87" i="29" s="1"/>
  <c r="J41" i="29"/>
  <c r="J70" i="29"/>
  <c r="K70" i="29" s="1"/>
  <c r="J130" i="29"/>
  <c r="J153" i="29"/>
  <c r="I41" i="29"/>
  <c r="K41" i="29" s="1"/>
  <c r="I111" i="29"/>
  <c r="H111" i="29"/>
  <c r="H105" i="29"/>
  <c r="J156" i="29"/>
  <c r="K156" i="29" s="1"/>
  <c r="H91" i="29"/>
  <c r="H66" i="29"/>
  <c r="I91" i="29"/>
  <c r="J66" i="29"/>
  <c r="K22" i="39"/>
  <c r="K63" i="29"/>
  <c r="K34" i="39"/>
  <c r="K17" i="39"/>
  <c r="K19" i="29"/>
  <c r="K24" i="29"/>
  <c r="K116" i="29"/>
  <c r="K78" i="29"/>
  <c r="K107" i="29"/>
  <c r="K142" i="29"/>
  <c r="K29" i="29"/>
  <c r="K23" i="29"/>
  <c r="K150" i="29"/>
  <c r="K136" i="29"/>
  <c r="K147" i="29"/>
  <c r="K32" i="39"/>
  <c r="K38" i="29"/>
  <c r="K132" i="29"/>
  <c r="K115" i="29"/>
  <c r="K23" i="39"/>
  <c r="K97" i="29"/>
  <c r="K100" i="29"/>
  <c r="K24" i="39"/>
  <c r="K73" i="29"/>
  <c r="K21" i="29"/>
  <c r="K72" i="29"/>
  <c r="K81" i="29"/>
  <c r="K57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29" i="39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94" i="2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K20" i="39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K21" i="39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128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58" i="29"/>
  <c r="K1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K99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33" i="39"/>
  <c r="K85" i="29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90" i="29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27" i="29" l="1"/>
  <c r="K112" i="29"/>
  <c r="K149" i="29"/>
  <c r="K33" i="29"/>
  <c r="K92" i="29"/>
  <c r="K68" i="29"/>
  <c r="K79" i="29"/>
  <c r="I38" i="39"/>
  <c r="I39" i="39" s="1"/>
  <c r="I40" i="39" s="1"/>
  <c r="K122" i="29"/>
  <c r="J38" i="39"/>
  <c r="J39" i="39" s="1"/>
  <c r="J40" i="39" s="1"/>
  <c r="K86" i="29"/>
  <c r="K20" i="29"/>
  <c r="K148" i="29"/>
  <c r="K82" i="29"/>
  <c r="K159" i="29"/>
  <c r="H38" i="39"/>
  <c r="H39" i="39" s="1"/>
  <c r="H40" i="39" s="1"/>
  <c r="K157" i="29"/>
  <c r="K165" i="29"/>
  <c r="K59" i="29"/>
  <c r="K25" i="39"/>
  <c r="K154" i="29"/>
  <c r="K160" i="29"/>
  <c r="K75" i="29"/>
  <c r="K120" i="29"/>
  <c r="K109" i="29"/>
  <c r="K124" i="29"/>
  <c r="K145" i="29"/>
  <c r="K88" i="29"/>
  <c r="K60" i="29"/>
  <c r="K42" i="29"/>
  <c r="K30" i="29"/>
  <c r="K93" i="29"/>
  <c r="K35" i="29"/>
  <c r="K133" i="29"/>
  <c r="K151" i="29"/>
  <c r="K16" i="39"/>
  <c r="K38" i="39" s="1"/>
  <c r="K39" i="39" s="1"/>
  <c r="K40" i="39" s="1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D12" i="54" l="1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<sst xmlns="http://schemas.openxmlformats.org/spreadsheetml/2006/main" count="4824" uniqueCount="1648">
  <si>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</si>
  <si>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</si>
  <si>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</si>
  <si>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</si>
  <si>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</si>
  <si>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</si>
  <si>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</si>
  <si>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</si>
  <si>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</si>
  <si>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</si>
  <si>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</si>
  <si>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</si>
  <si>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</si>
  <si>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</si>
  <si>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</si>
  <si>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</si>
  <si>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</si>
  <si>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</si>
  <si>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</si>
  <si>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</si>
  <si>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</si>
  <si>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</si>
  <si>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</si>
  <si>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</si>
  <si>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</si>
  <si>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</si>
  <si>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</si>
  <si>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</si>
  <si>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</si>
  <si>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</si>
  <si>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</si>
  <si>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</si>
  <si>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</si>
  <si>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</si>
  <si>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</si>
  <si>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</si>
  <si>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</si>
  <si>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</si>
  <si>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</si>
  <si>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</si>
  <si>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</si>
  <si>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</si>
  <si>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</si>
  <si>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</si>
  <si>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</si>
  <si>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</si>
  <si>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</si>
  <si>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</si>
  <si>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</si>
  <si>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</si>
  <si>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</si>
  <si>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</si>
  <si>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</si>
  <si>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</si>
  <si>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</si>
  <si>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</si>
  <si>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</si>
  <si>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</si>
  <si>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</si>
  <si>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</si>
  <si>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</si>
  <si>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</si>
  <si>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</si>
  <si>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</si>
  <si>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</si>
  <si>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</si>
  <si>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</si>
  <si>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</si>
  <si>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</si>
  <si>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</si>
  <si>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</si>
  <si>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</si>
  <si>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</si>
  <si>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</si>
  <si>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</si>
  <si>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</si>
  <si>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</si>
  <si>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</si>
  <si>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</si>
  <si>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</si>
  <si>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</si>
  <si>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</si>
  <si>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</si>
  <si>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</si>
  <si>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</si>
  <si>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</si>
  <si>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</si>
  <si>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</si>
  <si>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</si>
  <si>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</si>
  <si>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</si>
  <si>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</si>
  <si>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</si>
  <si>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</si>
  <si>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</si>
  <si>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</si>
  <si>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</si>
  <si>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</si>
  <si>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</si>
  <si>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</si>
  <si>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</si>
  <si>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</si>
  <si>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</si>
  <si>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</si>
  <si>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</si>
  <si>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</si>
  <si>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</si>
  <si>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</si>
  <si>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</si>
  <si>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</si>
  <si>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</si>
  <si>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</si>
  <si>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</si>
  <si>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</si>
  <si>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</si>
  <si>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</si>
  <si>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</si>
  <si>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</si>
  <si>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</si>
  <si>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</si>
  <si>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</si>
  <si>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</si>
  <si>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</si>
  <si>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</si>
  <si>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</si>
  <si>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</si>
  <si>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</si>
  <si>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</si>
  <si>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</si>
  <si>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</si>
  <si>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</si>
  <si>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</si>
  <si>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</si>
  <si>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</si>
  <si>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</si>
  <si>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</si>
  <si>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</si>
  <si>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</si>
  <si>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</si>
  <si>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</si>
  <si>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</si>
  <si>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</si>
  <si>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</si>
  <si>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</si>
  <si>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</si>
  <si>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</si>
  <si>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</si>
  <si>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</si>
  <si>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</si>
  <si>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</si>
  <si>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</si>
  <si>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</si>
  <si>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</si>
  <si>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</si>
  <si>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</si>
  <si>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</si>
  <si>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</si>
  <si>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</si>
  <si>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</si>
  <si>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</si>
  <si>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</si>
  <si>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</si>
  <si>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</si>
  <si>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</si>
  <si>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</si>
  <si>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</si>
  <si>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</si>
  <si>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</si>
  <si>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</si>
  <si>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</si>
  <si>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</si>
  <si>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</si>
  <si>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</si>
  <si>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</si>
  <si>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</si>
  <si>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</si>
  <si>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</si>
  <si>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</si>
  <si>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</si>
  <si>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</si>
  <si>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</si>
  <si>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</si>
  <si>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</si>
  <si>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</si>
  <si>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</si>
  <si>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</si>
  <si>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</si>
  <si>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</si>
  <si>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</si>
  <si>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</si>
  <si>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</si>
  <si>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</si>
  <si>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</si>
  <si>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</si>
  <si>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</si>
  <si>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</si>
  <si>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</si>
  <si>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</si>
  <si>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</si>
  <si>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</si>
  <si>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</si>
  <si>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</si>
  <si>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</si>
  <si>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</si>
  <si>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</si>
  <si>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</si>
  <si>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</si>
  <si>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</si>
  <si>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</si>
  <si>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</si>
  <si>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</si>
  <si>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</si>
  <si>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</si>
  <si>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</si>
  <si>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</si>
  <si>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</si>
  <si>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</si>
  <si>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</si>
  <si>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</si>
  <si>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</si>
  <si>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</si>
  <si>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</si>
  <si>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</si>
  <si>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</si>
  <si>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</si>
  <si>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</si>
  <si>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</si>
  <si>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</si>
  <si>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</si>
  <si>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</si>
  <si>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</si>
  <si>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</si>
  <si>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</si>
  <si>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</si>
  <si>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</si>
  <si>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</si>
  <si>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</si>
  <si>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</si>
  <si>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</si>
  <si>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</si>
  <si>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</si>
  <si>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</si>
  <si>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</si>
  <si>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</si>
  <si>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</si>
  <si>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</si>
  <si>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</si>
  <si>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</si>
  <si>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</si>
  <si>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</si>
  <si>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</si>
  <si>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</si>
  <si>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</si>
  <si>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</si>
  <si>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</si>
  <si>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</si>
  <si>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</si>
  <si>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</si>
  <si>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</si>
  <si>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</si>
  <si>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</si>
  <si>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</si>
  <si>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</si>
  <si>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</si>
  <si>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</si>
  <si>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</si>
  <si>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</si>
  <si>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</si>
  <si>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</si>
  <si>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</si>
  <si>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</si>
  <si>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</si>
  <si>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</si>
  <si>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</si>
  <si>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</si>
  <si>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</si>
  <si>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</si>
  <si>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</si>
  <si>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</si>
  <si>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</si>
  <si>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</si>
  <si>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</si>
  <si>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</si>
  <si>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</si>
  <si>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</si>
  <si>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</si>
  <si>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</si>
  <si>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</si>
  <si>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</si>
  <si>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</si>
  <si>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</si>
  <si>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</si>
  <si>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</si>
  <si>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</si>
  <si>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</si>
  <si>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</si>
  <si>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</si>
  <si>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</si>
  <si>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</si>
  <si>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</si>
  <si>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</si>
  <si>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</si>
  <si>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</si>
  <si>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</si>
  <si>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</si>
  <si>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</si>
  <si>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</si>
  <si>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</si>
  <si>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</si>
  <si>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</si>
  <si>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</si>
  <si>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</si>
  <si>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</si>
  <si>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</si>
  <si>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</si>
  <si>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</si>
  <si>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</si>
  <si>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</si>
  <si>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</si>
  <si>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</si>
  <si>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</si>
  <si>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</si>
  <si>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</si>
  <si>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</si>
  <si>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</si>
  <si>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</si>
  <si>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</si>
  <si>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</si>
  <si>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</si>
  <si>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</si>
  <si>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</si>
  <si>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</si>
  <si>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</si>
  <si>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</si>
  <si>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</si>
  <si>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</si>
  <si>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</si>
  <si>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</si>
  <si>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</si>
  <si>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</si>
  <si>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</si>
  <si>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</si>
  <si>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</si>
  <si>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</si>
  <si>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</si>
  <si>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</si>
  <si>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</si>
  <si>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</si>
  <si>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</si>
  <si>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</si>
  <si>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</si>
  <si>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</si>
  <si>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</si>
  <si>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</si>
  <si>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</si>
  <si>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</si>
  <si>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</si>
  <si>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</si>
  <si>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</si>
  <si>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</si>
  <si>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</si>
  <si>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</si>
  <si>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</si>
  <si>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</si>
  <si>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</si>
  <si>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</si>
  <si>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</si>
  <si>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</si>
  <si>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</si>
  <si>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</si>
  <si>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</si>
  <si>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</si>
  <si>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</si>
  <si>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</si>
  <si>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</si>
  <si>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</si>
  <si>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</si>
  <si>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</si>
  <si>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</si>
  <si>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</si>
  <si>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</si>
  <si>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</si>
  <si>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</si>
  <si>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</si>
  <si>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</si>
  <si>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</si>
  <si>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</si>
  <si>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</si>
  <si>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</si>
  <si>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</si>
  <si>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</si>
  <si>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</si>
  <si>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</si>
  <si>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</si>
  <si>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</si>
  <si>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</si>
  <si>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</si>
  <si>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</si>
  <si>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</si>
  <si>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</si>
  <si>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</si>
  <si>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</si>
  <si>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</si>
  <si>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</si>
  <si>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</si>
  <si>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</si>
  <si>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</si>
  <si>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</si>
  <si>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</si>
  <si>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</si>
  <si>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</si>
  <si>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</si>
  <si>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</si>
  <si>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</si>
  <si>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</si>
  <si>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</si>
  <si>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</si>
  <si>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</si>
  <si>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</si>
  <si>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</si>
  <si>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</si>
  <si>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</si>
  <si>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</si>
  <si>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</si>
  <si>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</si>
  <si>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</si>
  <si>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</si>
  <si>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</si>
  <si>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</si>
  <si>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</si>
  <si>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</si>
  <si>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</si>
  <si>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</si>
  <si>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</si>
  <si>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</si>
  <si>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</si>
  <si>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</si>
  <si>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</si>
  <si>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</si>
  <si>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</si>
  <si>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</si>
  <si>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</si>
  <si>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</si>
  <si>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</si>
  <si>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</si>
  <si>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</si>
  <si>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</si>
  <si>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</si>
  <si>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</si>
  <si>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</si>
  <si>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</si>
  <si>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</si>
  <si>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</si>
  <si>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</si>
  <si>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</si>
  <si>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</si>
  <si>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</si>
  <si>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</si>
  <si>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</si>
  <si>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</si>
  <si>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</si>
  <si>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</si>
  <si>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</si>
  <si>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</si>
  <si>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</si>
  <si>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</si>
  <si>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</si>
  <si>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</si>
  <si>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</si>
  <si>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</si>
  <si>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</si>
  <si>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</si>
  <si>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</si>
  <si>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</si>
  <si>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</si>
  <si>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</si>
  <si>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</si>
  <si>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</si>
  <si>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</si>
  <si>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</si>
  <si>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</si>
  <si>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</si>
  <si>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</si>
  <si>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</si>
  <si>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</si>
  <si>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</si>
  <si>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</si>
  <si>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</si>
  <si>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</si>
  <si>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</si>
  <si>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</si>
  <si>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</si>
  <si>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</si>
  <si>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</si>
  <si>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</si>
  <si>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</si>
  <si>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</si>
  <si>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</si>
  <si>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</si>
  <si>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</si>
  <si>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</si>
  <si>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</si>
  <si>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</si>
  <si>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</si>
  <si>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</si>
  <si>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</si>
  <si>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</si>
  <si>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</si>
  <si>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</si>
  <si>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</si>
  <si>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</si>
  <si>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</si>
  <si>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</si>
  <si>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</si>
  <si>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</si>
  <si>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</si>
  <si>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</si>
  <si>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</si>
  <si>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</si>
  <si>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</si>
  <si>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</si>
  <si>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</si>
  <si>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</si>
  <si>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</si>
  <si>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</si>
  <si>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</si>
  <si>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</si>
  <si>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</si>
  <si>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</si>
  <si>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</si>
  <si>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</si>
  <si>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</si>
  <si>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</si>
  <si>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</si>
  <si>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</si>
  <si>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</si>
  <si>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</si>
  <si>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</si>
  <si>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</si>
  <si>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</si>
  <si>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</si>
  <si>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</si>
  <si>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</si>
  <si>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</si>
  <si>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</si>
  <si>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</si>
  <si>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</si>
  <si>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</si>
  <si>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</si>
  <si>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</si>
  <si>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</si>
  <si>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</si>
  <si>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</si>
  <si>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</si>
  <si>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</si>
  <si>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</si>
  <si>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</si>
  <si>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</si>
  <si>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</si>
  <si>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</si>
  <si>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</si>
  <si>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</si>
  <si>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</si>
  <si>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</si>
  <si>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</si>
  <si>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</si>
  <si>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</si>
  <si>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</si>
  <si>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</si>
  <si>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</si>
  <si>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</si>
  <si>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</si>
  <si>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</si>
  <si>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</si>
  <si>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</si>
  <si>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</si>
  <si>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</si>
  <si>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</si>
  <si>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</si>
  <si>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</si>
  <si>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</si>
  <si>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</si>
  <si>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</si>
  <si>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</si>
  <si>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</si>
  <si>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</si>
  <si>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</si>
  <si>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</si>
  <si>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</si>
  <si>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</si>
  <si>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</si>
  <si>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</si>
  <si>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</si>
  <si>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</si>
  <si>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</si>
  <si>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</si>
  <si>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</si>
  <si>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</si>
  <si>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</si>
  <si>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</si>
  <si>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</si>
  <si>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</si>
  <si>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</si>
  <si>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</si>
  <si>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</si>
  <si>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</si>
  <si>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</si>
  <si>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</si>
  <si>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</si>
  <si>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</si>
  <si>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</si>
  <si>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</si>
  <si>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</si>
  <si>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</si>
  <si>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</si>
  <si>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</si>
  <si>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</si>
  <si>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</si>
  <si>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</si>
  <si>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</si>
  <si>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</si>
  <si>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</si>
  <si>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</si>
  <si>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</si>
  <si>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</si>
  <si>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</si>
  <si>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</si>
  <si>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</si>
  <si>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</si>
  <si>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</si>
  <si>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</si>
  <si>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</si>
  <si>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</si>
  <si>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</si>
  <si>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</si>
  <si>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</si>
  <si>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</si>
  <si>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</si>
  <si>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</si>
  <si>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</si>
  <si>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</si>
  <si>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</si>
  <si>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</si>
  <si>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</si>
  <si>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</si>
  <si>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</si>
  <si>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</si>
  <si>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</si>
  <si>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</si>
  <si>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</si>
  <si>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</si>
  <si>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</si>
  <si>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</si>
  <si>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</si>
  <si>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</si>
  <si>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</si>
  <si>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</si>
  <si>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</si>
  <si>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</si>
  <si>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</si>
  <si>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</si>
  <si>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</si>
  <si>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</si>
  <si>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</si>
  <si>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</si>
  <si>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</si>
  <si>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</si>
  <si>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</si>
  <si>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</si>
  <si>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</si>
  <si>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</si>
  <si>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</si>
  <si>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</si>
  <si>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</si>
  <si>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</si>
  <si>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</si>
  <si>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</si>
  <si>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</si>
  <si>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</si>
  <si>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</si>
  <si>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</si>
  <si>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</si>
  <si>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</si>
  <si>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</si>
  <si>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</si>
  <si>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</si>
  <si>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</si>
  <si>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</si>
  <si>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</si>
  <si>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</si>
  <si>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</si>
  <si>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</si>
  <si>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</si>
  <si>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</si>
  <si>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</si>
  <si>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</si>
  <si>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</si>
  <si>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</si>
  <si>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</si>
  <si>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</si>
  <si>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</si>
  <si>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</si>
  <si>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</si>
  <si>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</si>
  <si>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</si>
  <si>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</si>
  <si>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</si>
  <si>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</si>
  <si>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</si>
  <si>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</si>
  <si>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</si>
  <si>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</si>
  <si>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</si>
  <si>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</si>
  <si>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</si>
  <si>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</si>
  <si>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</si>
  <si>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</si>
  <si>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</si>
  <si>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</si>
  <si>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</si>
  <si>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</si>
  <si>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</si>
  <si>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</si>
  <si>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</si>
  <si>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</si>
  <si>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</si>
  <si>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</si>
  <si>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</si>
  <si>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</si>
  <si>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</si>
  <si>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</si>
  <si>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</si>
  <si>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</si>
  <si>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</si>
  <si>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</si>
  <si>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</si>
  <si>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</si>
  <si>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</si>
  <si>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</si>
  <si>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</si>
  <si>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</si>
  <si>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</si>
  <si>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</si>
  <si>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</si>
  <si>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</si>
  <si>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</si>
  <si>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</si>
  <si>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</si>
  <si>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</si>
  <si>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</si>
  <si>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</si>
  <si>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</si>
  <si>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</si>
  <si>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</si>
  <si>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</si>
  <si>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</si>
  <si>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</si>
  <si>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</si>
  <si>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</si>
  <si>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</si>
  <si>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</si>
  <si>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</si>
  <si>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</si>
  <si>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</si>
  <si>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</si>
  <si>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</si>
  <si>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</si>
  <si>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</si>
  <si>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</si>
  <si>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</si>
  <si>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</si>
  <si>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</si>
  <si>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</si>
  <si>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</si>
  <si>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</si>
  <si>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</si>
  <si>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</si>
  <si>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</si>
  <si>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</si>
  <si>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</si>
  <si>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</si>
  <si>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</si>
  <si>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</si>
  <si>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</si>
  <si>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</si>
  <si>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</si>
  <si>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</si>
  <si>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</si>
  <si>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</si>
  <si>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</si>
  <si>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</si>
  <si>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</si>
  <si>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</si>
  <si>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</si>
  <si>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</si>
  <si>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</si>
  <si>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</si>
  <si>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</si>
  <si>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</si>
  <si>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</si>
  <si>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</si>
  <si>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</si>
  <si>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</si>
  <si>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</si>
  <si>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</si>
  <si>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</si>
  <si>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</si>
  <si>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</si>
  <si>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</si>
  <si>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</si>
  <si>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</si>
  <si>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</si>
  <si>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</si>
  <si>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</si>
  <si>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</si>
  <si>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</si>
  <si>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</si>
  <si>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</si>
  <si>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</si>
  <si>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</si>
  <si>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</si>
  <si>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</si>
  <si>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</si>
  <si>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</si>
  <si>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</si>
  <si>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</si>
  <si>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</si>
  <si>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</si>
  <si>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</si>
  <si>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</si>
  <si>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</si>
  <si>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</si>
  <si>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</si>
  <si>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</si>
  <si>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</si>
  <si>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</si>
  <si>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</si>
  <si>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</si>
  <si>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</si>
  <si>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</si>
  <si>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</si>
  <si>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</si>
  <si>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</si>
  <si>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</si>
  <si>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</si>
  <si>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</si>
  <si>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</si>
  <si>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</si>
  <si>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</si>
  <si>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</si>
  <si>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</si>
  <si>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</si>
  <si>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</si>
  <si>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</si>
  <si>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</si>
  <si>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</si>
  <si>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</si>
  <si>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</si>
  <si>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</si>
  <si>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</si>
  <si>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</si>
  <si>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</si>
  <si>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</si>
  <si>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</si>
  <si>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</si>
  <si>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</si>
  <si>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</si>
  <si>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</si>
  <si>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</si>
  <si>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</si>
  <si>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</si>
  <si>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</si>
  <si>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</si>
  <si>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</si>
  <si>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</si>
  <si>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</si>
  <si>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</si>
  <si>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</si>
  <si>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</si>
  <si>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</si>
  <si>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</si>
  <si>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</si>
  <si>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</si>
  <si>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</si>
  <si>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</si>
  <si>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</si>
  <si>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</si>
  <si>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</si>
  <si>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</si>
  <si>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</si>
  <si>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</si>
  <si>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</si>
  <si>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</si>
  <si>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</si>
  <si>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</si>
  <si>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</si>
  <si>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</si>
  <si>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</si>
  <si>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</si>
  <si>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</si>
  <si>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</si>
  <si>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</si>
  <si>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</si>
  <si>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</si>
  <si>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</si>
  <si>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</si>
  <si>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</si>
  <si>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</si>
  <si>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</si>
  <si>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</si>
  <si>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</si>
  <si>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</si>
  <si>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</si>
  <si>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</si>
  <si>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</si>
  <si>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</si>
  <si>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</si>
  <si>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</si>
  <si>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</si>
  <si>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</si>
  <si>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</si>
  <si>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</si>
  <si>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</si>
  <si>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</si>
  <si>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</si>
  <si>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</si>
  <si>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</si>
  <si>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</si>
  <si>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</si>
  <si>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</si>
  <si>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</si>
  <si>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</si>
  <si>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</si>
  <si>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</si>
  <si>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</si>
  <si>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</si>
  <si>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</si>
  <si>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</si>
  <si>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</si>
  <si>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</si>
  <si>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</si>
  <si>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</si>
  <si>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</si>
  <si>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</si>
  <si>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</si>
  <si>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</si>
  <si>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</si>
  <si>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</si>
  <si>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</si>
  <si>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</si>
  <si>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</si>
  <si>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</si>
  <si>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</si>
  <si>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</si>
  <si>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</si>
  <si>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</si>
  <si>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</si>
  <si>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</si>
  <si>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</si>
  <si>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</si>
  <si>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</si>
  <si>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</si>
  <si>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</si>
  <si>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</si>
  <si>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</si>
  <si>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</si>
  <si>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</si>
  <si>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</si>
  <si>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</si>
  <si>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</si>
  <si>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</si>
  <si>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</si>
  <si>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</si>
  <si>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</si>
  <si>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</si>
  <si>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</si>
  <si>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</si>
  <si>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</si>
  <si>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</si>
  <si>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</si>
  <si>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</si>
  <si>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</si>
  <si>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</si>
  <si>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</si>
  <si>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</si>
  <si>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</si>
  <si>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</si>
  <si>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</si>
  <si>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</si>
  <si>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</si>
  <si>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</si>
  <si>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</si>
  <si>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</si>
  <si>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</si>
  <si>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</si>
  <si>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</si>
  <si>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</si>
  <si>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</si>
  <si>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</si>
  <si>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</si>
  <si>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</si>
  <si>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</si>
  <si>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</si>
  <si>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</si>
  <si>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</si>
  <si>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</si>
  <si>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</si>
  <si>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</si>
  <si>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</si>
  <si>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</si>
  <si>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</si>
  <si>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</si>
  <si>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</si>
  <si>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</si>
  <si>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</si>
  <si>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</si>
  <si>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</si>
  <si>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</si>
  <si>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</si>
  <si>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</si>
  <si>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</si>
  <si>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</si>
  <si>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</si>
  <si>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</si>
  <si>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</si>
  <si>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</si>
  <si>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</si>
  <si>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</si>
  <si>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</si>
  <si>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</si>
  <si>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</si>
  <si>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</si>
  <si>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</si>
  <si>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</si>
  <si>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</si>
  <si>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</si>
  <si>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</si>
  <si>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</si>
  <si>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</si>
  <si>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</si>
  <si>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</si>
  <si>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</si>
  <si>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</si>
  <si>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</si>
  <si>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</si>
  <si>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</si>
  <si>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</si>
  <si>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</si>
  <si>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</si>
  <si>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</si>
  <si>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</si>
  <si>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</si>
  <si>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</si>
  <si>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</si>
  <si>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</si>
  <si>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</si>
  <si>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</si>
  <si>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</si>
  <si>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</si>
  <si>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</si>
  <si>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</si>
  <si>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</si>
  <si>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</si>
  <si>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</si>
  <si>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</si>
  <si>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</si>
  <si>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</si>
  <si>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</si>
  <si>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</si>
  <si>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</si>
  <si>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</si>
  <si>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</si>
  <si>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</si>
  <si>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</si>
  <si>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</si>
  <si>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</si>
  <si>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</si>
  <si>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</si>
  <si>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</si>
  <si>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</si>
  <si>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</si>
  <si>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</si>
  <si>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</si>
  <si>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</si>
  <si>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</si>
  <si>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</si>
  <si>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</si>
  <si>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</si>
  <si>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</si>
  <si>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</si>
  <si>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</si>
  <si>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</si>
  <si>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</si>
  <si>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</si>
  <si>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</si>
  <si>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</si>
  <si>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</si>
  <si>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</si>
  <si>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</si>
  <si>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</si>
  <si>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</si>
  <si>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</si>
  <si>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</si>
  <si>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</si>
  <si>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</si>
  <si>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</si>
  <si>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</si>
  <si>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</si>
  <si>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</si>
  <si>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</si>
  <si>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</si>
  <si>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</si>
  <si>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</si>
  <si>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</si>
  <si>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</si>
  <si>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</si>
  <si>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</si>
  <si>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</si>
  <si>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</si>
  <si>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</si>
  <si>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</si>
  <si>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</si>
  <si>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</si>
  <si>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</si>
  <si>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</si>
  <si>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</si>
  <si>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</si>
  <si>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</si>
  <si>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</si>
  <si>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</si>
  <si>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</si>
  <si>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</si>
  <si>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</si>
  <si>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</si>
  <si>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</si>
  <si>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</si>
  <si>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</si>
  <si>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</si>
  <si>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</si>
  <si>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</si>
  <si>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</si>
  <si>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</si>
  <si>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</si>
  <si>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</si>
  <si>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</si>
  <si>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</si>
  <si>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</si>
  <si>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</si>
  <si>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</si>
  <si>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</si>
  <si>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</si>
  <si>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</si>
  <si>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</si>
  <si>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</si>
  <si>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</si>
  <si>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</si>
  <si>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</si>
  <si>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</si>
  <si>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</si>
  <si>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</si>
  <si>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</si>
  <si>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</si>
  <si>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</si>
  <si>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</si>
  <si>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</si>
  <si>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</si>
  <si>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</si>
  <si>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</si>
  <si>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</si>
  <si>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</si>
  <si>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</si>
  <si>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</si>
  <si>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</si>
  <si>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</si>
  <si>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</si>
  <si>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</si>
  <si>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</si>
  <si>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</si>
  <si>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</si>
  <si>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</si>
  <si>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</si>
  <si>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</si>
  <si>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</si>
  <si>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</si>
  <si>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</si>
  <si>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</si>
  <si>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</si>
  <si>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</si>
  <si>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</si>
  <si>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</si>
  <si>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</si>
  <si>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</si>
  <si>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</si>
  <si>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</si>
  <si>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</si>
  <si>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</si>
  <si>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</si>
  <si>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</si>
  <si>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</si>
  <si>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</si>
  <si>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</si>
  <si>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</si>
  <si>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</si>
  <si>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</si>
  <si>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</si>
  <si>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</si>
  <si>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</si>
  <si>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</si>
  <si>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</si>
  <si>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</si>
  <si>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</si>
  <si>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</si>
  <si>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</si>
  <si>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</si>
  <si>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</si>
  <si>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</si>
  <si>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</si>
  <si>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</si>
  <si>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</si>
  <si>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</si>
  <si>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</si>
  <si>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</si>
  <si>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</si>
  <si>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</si>
  <si>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</si>
  <si>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</si>
  <si>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</si>
  <si>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</si>
  <si>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</si>
  <si>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</si>
  <si>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</si>
  <si>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</si>
  <si>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</si>
  <si>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</si>
  <si>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</si>
  <si>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</si>
  <si>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</si>
  <si>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</si>
  <si>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</si>
  <si>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</si>
  <si>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</si>
  <si>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</si>
  <si>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</si>
  <si>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</si>
  <si>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</si>
  <si>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</si>
  <si>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</si>
  <si>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</si>
  <si>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</si>
  <si>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</si>
  <si>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</si>
  <si>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</si>
  <si>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</si>
  <si>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</si>
  <si>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</si>
  <si>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</si>
  <si>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</si>
  <si>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</si>
  <si>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</si>
  <si>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</si>
  <si>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</si>
  <si>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</si>
  <si>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</si>
  <si>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</si>
  <si>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</si>
  <si>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</si>
  <si>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</si>
  <si>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</si>
  <si>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</si>
  <si>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</si>
  <si>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</si>
  <si>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</si>
  <si>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</si>
  <si>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</si>
  <si>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</si>
  <si>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</si>
  <si>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</si>
  <si>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</si>
  <si>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</si>
  <si>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</si>
  <si>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</si>
  <si>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</si>
  <si>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</si>
  <si>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</si>
  <si>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</si>
  <si>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</si>
  <si>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</si>
  <si>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</si>
  <si>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</si>
  <si>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</si>
  <si>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</si>
  <si>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</si>
  <si>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</si>
  <si>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</si>
  <si>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</si>
  <si>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</si>
  <si>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</si>
  <si>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</si>
  <si>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</si>
  <si>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</si>
  <si>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</si>
  <si>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</si>
  <si>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</si>
  <si>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</si>
  <si>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</si>
  <si>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</si>
  <si>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</si>
  <si>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</si>
  <si>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</si>
  <si>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</si>
  <si>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</si>
  <si>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</si>
  <si>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</si>
  <si>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</si>
  <si>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</si>
  <si>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</si>
  <si>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</si>
  <si>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</si>
  <si>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</si>
  <si>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</si>
  <si>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</si>
  <si>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</si>
  <si>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</si>
  <si>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</si>
  <si>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</si>
  <si>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</si>
  <si>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</si>
  <si>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</si>
  <si>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</si>
  <si>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</si>
  <si>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</si>
  <si>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</si>
  <si>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</si>
  <si>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</si>
  <si>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</si>
  <si>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</si>
  <si>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</si>
  <si>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</si>
  <si>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</si>
  <si>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</si>
  <si>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</si>
  <si>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</si>
  <si>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</si>
  <si>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</si>
  <si>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</si>
  <si>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</si>
  <si>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</si>
  <si>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</si>
  <si>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</si>
  <si>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</si>
  <si>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</si>
  <si>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</si>
  <si>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</si>
  <si>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</si>
  <si>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</si>
  <si>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</si>
  <si>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</si>
  <si>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</si>
  <si>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</si>
  <si>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</si>
  <si>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</si>
  <si>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</si>
  <si>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</si>
  <si>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</si>
  <si>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</si>
  <si>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</si>
  <si>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</si>
  <si>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</si>
  <si>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</si>
  <si>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</si>
  <si>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</si>
  <si>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</si>
  <si>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</si>
  <si>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</si>
  <si>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</si>
  <si>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</si>
  <si>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</si>
  <si>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</si>
  <si>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</si>
  <si>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</si>
  <si>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</si>
  <si>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</si>
  <si>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</si>
  <si>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</si>
  <si>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</si>
  <si>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</si>
  <si>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</si>
  <si>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</si>
  <si>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</si>
  <si>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</si>
  <si>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</si>
  <si>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</si>
  <si>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</si>
  <si>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</si>
  <si>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</si>
  <si>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</si>
  <si>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</si>
  <si>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</si>
  <si>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</si>
  <si>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</si>
  <si>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</si>
  <si>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</si>
  <si>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</si>
  <si>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</si>
  <si>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</si>
  <si>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</si>
  <si>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</si>
  <si>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</si>
  <si>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</si>
  <si>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</si>
  <si>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</si>
  <si>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</si>
  <si>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</si>
  <si>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</si>
  <si>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</si>
  <si>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</si>
  <si>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</si>
  <si>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</si>
  <si>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</si>
  <si>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</si>
  <si>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</si>
  <si>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</si>
  <si>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</si>
  <si>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</si>
  <si>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</si>
  <si>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</si>
  <si>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</si>
  <si>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</si>
  <si>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</si>
  <si>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</si>
  <si>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</si>
  <si>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</si>
  <si>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</si>
  <si>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</si>
  <si>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</si>
  <si>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</si>
  <si>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</si>
  <si>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</si>
  <si>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</si>
  <si>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</si>
  <si>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</si>
  <si>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</si>
  <si>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</si>
  <si>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</si>
  <si>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</si>
  <si>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</si>
  <si>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</si>
  <si>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</si>
  <si>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</si>
  <si>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</si>
  <si>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</si>
  <si>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</si>
  <si>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</si>
  <si>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</si>
  <si>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</si>
  <si>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</si>
  <si>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</si>
  <si>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</si>
  <si>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</si>
  <si>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</si>
  <si>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</si>
  <si>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</si>
  <si>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</si>
  <si>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</si>
  <si>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</si>
  <si>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</si>
  <si>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</si>
  <si>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</si>
  <si>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</si>
  <si>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</si>
  <si>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</si>
  <si>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</si>
  <si>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</si>
  <si>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</si>
  <si>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</si>
  <si>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</si>
  <si>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</si>
  <si>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</si>
  <si>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</si>
  <si>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</si>
  <si>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</si>
  <si>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</si>
  <si>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</si>
  <si>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</si>
  <si>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</si>
  <si>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</si>
  <si>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</si>
  <si>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</si>
  <si>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</si>
  <si>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</si>
  <si>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</si>
  <si>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</si>
  <si>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</si>
  <si>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</si>
  <si>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</si>
  <si>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</si>
  <si>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</si>
  <si>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</si>
  <si>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</si>
  <si>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</si>
  <si>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</si>
  <si>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</si>
  <si>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</si>
  <si>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</si>
  <si>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</si>
  <si>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</si>
  <si>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</si>
  <si>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</si>
  <si>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</si>
  <si>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</si>
  <si>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</si>
  <si>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</si>
  <si>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</si>
  <si>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</si>
  <si>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</si>
  <si>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</si>
  <si>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</si>
  <si>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</si>
  <si>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</si>
  <si>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</si>
  <si>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</si>
  <si>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</si>
  <si>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</si>
  <si>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</si>
  <si>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</si>
  <si>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</si>
  <si>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</si>
  <si>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</si>
  <si>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</si>
  <si>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</si>
  <si>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</si>
  <si>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</si>
  <si>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</si>
  <si>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</si>
  <si>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</si>
  <si>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</si>
  <si>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</si>
  <si>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</si>
  <si>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</si>
  <si>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</si>
  <si>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</si>
  <si>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</si>
  <si>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</si>
  <si>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</si>
  <si>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</si>
  <si>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</si>
  <si>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</si>
  <si>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</si>
  <si>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</si>
  <si>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</si>
  <si>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</si>
  <si>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</si>
  <si>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</si>
  <si>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</si>
  <si>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</si>
  <si>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</si>
  <si>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</si>
  <si>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</si>
  <si>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</si>
  <si>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</si>
  <si>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</si>
  <si>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</si>
  <si>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</si>
  <si>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</si>
  <si>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</si>
  <si>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</si>
  <si>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</si>
  <si>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</si>
  <si>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</si>
  <si>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</si>
  <si>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</si>
  <si>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</si>
  <si>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</si>
  <si>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</si>
  <si>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</si>
  <si>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</si>
  <si>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</si>
  <si>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</si>
  <si>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</si>
  <si>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</si>
  <si>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</si>
  <si>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</si>
  <si>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</si>
  <si>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</si>
  <si>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</si>
  <si>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</si>
  <si>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</si>
  <si>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</si>
  <si>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</si>
  <si>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</si>
  <si>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</si>
  <si>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</si>
  <si>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</si>
  <si>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</si>
  <si>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</si>
  <si>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</si>
  <si>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</si>
  <si>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</si>
  <si>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</si>
  <si>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</si>
  <si>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</si>
  <si>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</si>
  <si>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</si>
  <si>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</si>
  <si>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</si>
  <si>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</si>
  <si>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</si>
  <si>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</si>
  <si>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</si>
  <si>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</si>
  <si>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</si>
  <si>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</si>
  <si>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</si>
  <si>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</si>
  <si>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</si>
  <si>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</si>
  <si>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</si>
  <si>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</si>
  <si>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</si>
  <si>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</si>
  <si>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</si>
  <si>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</si>
  <si>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t xml:space="preserve">  </t>
  </si>
  <si>
    <t>B2</t>
  </si>
  <si>
    <t>ATB</t>
  </si>
  <si>
    <t>APP 3P PASKA 53KVA</t>
  </si>
  <si>
    <t>G312-A 50KVA</t>
  </si>
  <si>
    <t>C9-200</t>
  </si>
  <si>
    <t>G312-A 100KVA</t>
  </si>
  <si>
    <t>CJ6-T</t>
  </si>
  <si>
    <t>CJ5-T</t>
  </si>
  <si>
    <t>CM2-12</t>
  </si>
  <si>
    <t>CM2-12A</t>
  </si>
  <si>
    <t>F1-2</t>
  </si>
  <si>
    <t>CE1-2</t>
  </si>
  <si>
    <t>PB 53KVA EKO NUGROHO</t>
  </si>
  <si>
    <t>Daya 53.000 VA</t>
  </si>
  <si>
    <t>Trafo 3 Fasa 100 KVA 1 Tiang (G312-A)</t>
  </si>
  <si>
    <t xml:space="preserve">Jumper Wire : </t>
  </si>
  <si>
    <t>NFA2X-T 3 x 70 + N 50 mm²</t>
  </si>
  <si>
    <t>LVTC 3X70+70</t>
  </si>
  <si>
    <t>MTR</t>
  </si>
  <si>
    <t>EKO NUGROHO</t>
  </si>
  <si>
    <t>DS BUGEL</t>
  </si>
  <si>
    <r>
      <rPr>
        <sz val="9"/>
        <rFont val="Calibri"/>
        <family val="2"/>
        <scheme val="minor"/>
      </rPr>
      <t>Keterangan Tambahan : '-7.019544, 110.764197</t>
    </r>
    <r>
      <rPr>
        <b/>
        <sz val="9"/>
        <rFont val="Calibri"/>
        <family val="2"/>
        <scheme val="minor"/>
      </rPr>
      <t xml:space="preserve">
</t>
    </r>
  </si>
  <si>
    <t>PWI06</t>
  </si>
  <si>
    <t>K2-621/274/20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</si>
</sst>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8" fillId="0" borderId="0"/>
  </cellStyleXfs>
  <cellXfs count="720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6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5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8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3" fillId="33" borderId="0" xfId="1451" applyFont="1" applyFill="1" applyAlignment="1">
      <alignment vertical="center"/>
    </xf>
    <xf numFmtId="0" fontId="123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4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4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3" fillId="0" borderId="0" xfId="1614" applyFont="1" applyAlignment="1">
      <alignment horizontal="center"/>
    </xf>
    <xf numFmtId="0" fontId="144" fillId="0" borderId="0" xfId="1614" applyFont="1" applyAlignment="1">
      <alignment horizontal="center" vertical="center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3" fontId="143" fillId="0" borderId="0" xfId="1614" applyNumberFormat="1" applyFont="1" applyAlignment="1">
      <alignment horizontal="center"/>
    </xf>
    <xf numFmtId="0" fontId="148" fillId="0" borderId="0" xfId="1614" applyFont="1"/>
    <xf numFmtId="167" fontId="148" fillId="0" borderId="0" xfId="1652" applyNumberFormat="1" applyFont="1"/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left" vertical="center"/>
    </xf>
    <xf numFmtId="0" fontId="148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0" fontId="148" fillId="0" borderId="0" xfId="1614" applyFont="1" applyAlignment="1">
      <alignment horizontal="center" vertical="center" wrapText="1"/>
    </xf>
    <xf numFmtId="0" fontId="145" fillId="0" borderId="0" xfId="1614" applyFont="1" applyAlignment="1">
      <alignment horizontal="center" vertical="center" wrapText="1"/>
    </xf>
    <xf numFmtId="3" fontId="144" fillId="0" borderId="0" xfId="1614" applyNumberFormat="1" applyFont="1" applyAlignment="1">
      <alignment vertical="center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/>
    </xf>
    <xf numFmtId="3" fontId="143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146" fillId="0" borderId="21" xfId="1653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653" applyFont="1" applyBorder="1" applyAlignment="1">
      <alignment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1" fillId="0" borderId="21" xfId="1652" applyFont="1" applyBorder="1" applyAlignment="1">
      <alignment horizontal="center" vertical="center"/>
    </xf>
    <xf numFmtId="0" fontId="151" fillId="0" borderId="49" xfId="1652" applyFont="1" applyBorder="1" applyAlignment="1">
      <alignment horizontal="center" vertical="center"/>
    </xf>
    <xf numFmtId="0" fontId="151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51" fillId="0" borderId="3" xfId="1614" applyFont="1" applyBorder="1" applyAlignment="1">
      <alignment horizontal="center" vertical="center"/>
    </xf>
    <xf numFmtId="0" fontId="151" fillId="0" borderId="3" xfId="1652" applyFont="1" applyBorder="1" applyAlignment="1">
      <alignment horizontal="center" vertical="center"/>
    </xf>
    <xf numFmtId="207" fontId="151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51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0" fontId="146" fillId="0" borderId="26" xfId="1614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6" fillId="0" borderId="27" xfId="1614" applyNumberFormat="1" applyFont="1" applyBorder="1" applyAlignment="1">
      <alignment horizontal="center"/>
    </xf>
    <xf numFmtId="0" fontId="146" fillId="0" borderId="28" xfId="1614" applyFont="1" applyBorder="1" applyAlignment="1">
      <alignment horizontal="center" vertical="center"/>
    </xf>
    <xf numFmtId="37" fontId="148" fillId="0" borderId="29" xfId="1614" applyNumberFormat="1" applyFont="1" applyBorder="1" applyAlignment="1">
      <alignment horizontal="center"/>
    </xf>
    <xf numFmtId="37" fontId="146" fillId="0" borderId="29" xfId="1614" applyNumberFormat="1" applyFont="1" applyBorder="1" applyAlignment="1">
      <alignment horizontal="center"/>
    </xf>
    <xf numFmtId="37" fontId="152" fillId="0" borderId="30" xfId="1614" applyNumberFormat="1" applyFont="1" applyBorder="1" applyAlignment="1">
      <alignment horizontal="center"/>
    </xf>
    <xf numFmtId="37" fontId="152" fillId="0" borderId="32" xfId="1614" applyNumberFormat="1" applyFont="1" applyBorder="1" applyAlignment="1">
      <alignment horizontal="center"/>
    </xf>
    <xf numFmtId="0" fontId="152" fillId="0" borderId="34" xfId="1614" applyFont="1" applyBorder="1" applyAlignment="1">
      <alignment vertical="center"/>
    </xf>
    <xf numFmtId="0" fontId="146" fillId="0" borderId="19" xfId="1614" applyFont="1" applyBorder="1"/>
    <xf numFmtId="0" fontId="146" fillId="0" borderId="19" xfId="1614" applyFont="1" applyBorder="1" applyAlignment="1">
      <alignment horizontal="center"/>
    </xf>
    <xf numFmtId="0" fontId="146" fillId="0" borderId="19" xfId="1614" applyFont="1" applyBorder="1" applyAlignment="1">
      <alignment horizontal="right"/>
    </xf>
    <xf numFmtId="0" fontId="146" fillId="0" borderId="31" xfId="1614" applyFont="1" applyBorder="1" applyAlignment="1">
      <alignment horizontal="right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165" fontId="151" fillId="0" borderId="0" xfId="1652" applyNumberFormat="1" applyFont="1" applyAlignment="1">
      <alignment vertical="center"/>
    </xf>
    <xf numFmtId="0" fontId="146" fillId="0" borderId="0" xfId="1652" applyFont="1" applyAlignment="1">
      <alignment horizontal="right"/>
    </xf>
    <xf numFmtId="0" fontId="153" fillId="0" borderId="0" xfId="1644" applyFont="1" applyAlignment="1">
      <alignment horizontal="center" vertical="center"/>
    </xf>
    <xf numFmtId="0" fontId="151" fillId="0" borderId="0" xfId="1652" applyFont="1" applyAlignment="1">
      <alignment vertical="center"/>
    </xf>
    <xf numFmtId="0" fontId="154" fillId="39" borderId="71" xfId="2670" applyFont="1" applyFill="1" applyBorder="1" applyAlignment="1">
      <alignment horizontal="left" vertical="center"/>
    </xf>
    <xf numFmtId="0" fontId="154" fillId="39" borderId="72" xfId="2670" applyFont="1" applyFill="1" applyBorder="1" applyAlignment="1">
      <alignment horizontal="center" vertical="center"/>
    </xf>
    <xf numFmtId="0" fontId="154" fillId="39" borderId="74" xfId="2670" applyFont="1" applyFill="1" applyBorder="1" applyAlignment="1">
      <alignment horizontal="left" vertical="center"/>
    </xf>
    <xf numFmtId="0" fontId="154" fillId="39" borderId="70" xfId="2670" applyFont="1" applyFill="1" applyBorder="1" applyAlignment="1">
      <alignment horizontal="center" vertical="center"/>
    </xf>
    <xf numFmtId="0" fontId="154" fillId="39" borderId="76" xfId="2670" applyFont="1" applyFill="1" applyBorder="1" applyAlignment="1">
      <alignment horizontal="left" vertical="center"/>
    </xf>
    <xf numFmtId="0" fontId="154" fillId="39" borderId="77" xfId="2670" applyFont="1" applyFill="1" applyBorder="1" applyAlignment="1">
      <alignment horizontal="center" vertical="center"/>
    </xf>
    <xf numFmtId="167" fontId="136" fillId="40" borderId="73" xfId="2672" applyFont="1" applyFill="1" applyBorder="1" applyAlignment="1" applyProtection="1">
      <alignment horizontal="right" vertical="center" wrapText="1"/>
      <protection locked="0"/>
    </xf>
    <xf numFmtId="167" fontId="136" fillId="40" borderId="75" xfId="2672" applyFont="1" applyFill="1" applyBorder="1" applyAlignment="1" applyProtection="1">
      <alignment horizontal="right" vertical="center"/>
      <protection locked="0"/>
    </xf>
    <xf numFmtId="169" fontId="136" fillId="40" borderId="75" xfId="2672" applyNumberFormat="1" applyFont="1" applyFill="1" applyBorder="1" applyAlignment="1" applyProtection="1">
      <alignment horizontal="right" vertical="center"/>
      <protection locked="0"/>
    </xf>
    <xf numFmtId="169" fontId="136" fillId="40" borderId="78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1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2" fillId="35" borderId="82" xfId="2673" applyFont="1" applyFill="1" applyBorder="1" applyAlignment="1">
      <alignment vertical="center" wrapText="1"/>
    </xf>
    <xf numFmtId="0" fontId="142" fillId="43" borderId="82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6" xfId="2673" applyFont="1" applyFill="1" applyBorder="1" applyAlignment="1">
      <alignment vertical="center" wrapText="1"/>
    </xf>
    <xf numFmtId="0" fontId="103" fillId="0" borderId="63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7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4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44" fillId="0" borderId="21" xfId="1615" applyFont="1" applyBorder="1" applyAlignment="1">
      <alignment horizontal="left" vertical="center" wrapText="1"/>
    </xf>
    <xf numFmtId="0" fontId="150" fillId="0" borderId="20" xfId="1653" applyFont="1" applyBorder="1" applyAlignment="1">
      <alignment horizontal="center" vertical="center"/>
    </xf>
    <xf numFmtId="0" fontId="151" fillId="0" borderId="21" xfId="1615" applyFont="1" applyBorder="1" applyAlignment="1">
      <alignment horizontal="center" vertical="center"/>
    </xf>
    <xf numFmtId="0" fontId="144" fillId="0" borderId="20" xfId="1615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9" fontId="116" fillId="33" borderId="0" xfId="2542" applyFont="1" applyFill="1" applyAlignment="1">
      <alignment horizontal="center"/>
    </xf>
    <xf numFmtId="9" fontId="112" fillId="33" borderId="0" xfId="2542" applyFont="1" applyFill="1" applyBorder="1" applyAlignment="1">
      <alignment horizontal="center" vertical="center"/>
    </xf>
    <xf numFmtId="0" fontId="112" fillId="33" borderId="0" xfId="0" applyFont="1" applyFill="1" applyAlignment="1">
      <alignment horizontal="center"/>
    </xf>
    <xf numFmtId="0" fontId="112" fillId="33" borderId="36" xfId="0" applyFont="1" applyFill="1" applyBorder="1" applyAlignment="1">
      <alignment horizontal="center"/>
    </xf>
    <xf numFmtId="0" fontId="112" fillId="33" borderId="28" xfId="0" applyFont="1" applyFill="1" applyBorder="1" applyAlignment="1">
      <alignment horizontal="center"/>
    </xf>
    <xf numFmtId="0" fontId="112" fillId="33" borderId="0" xfId="0" quotePrefix="1" applyFont="1" applyFill="1" applyAlignment="1">
      <alignment horizontal="center"/>
    </xf>
    <xf numFmtId="0" fontId="113" fillId="33" borderId="18" xfId="0" applyFont="1" applyFill="1" applyBorder="1" applyAlignment="1">
      <alignment horizontal="left"/>
    </xf>
    <xf numFmtId="0" fontId="112" fillId="33" borderId="37" xfId="0" applyFont="1" applyFill="1" applyBorder="1" applyAlignment="1">
      <alignment horizontal="center"/>
    </xf>
    <xf numFmtId="0" fontId="112" fillId="33" borderId="3" xfId="0" applyFont="1" applyFill="1" applyBorder="1" applyAlignment="1">
      <alignment horizontal="center"/>
    </xf>
    <xf numFmtId="0" fontId="112" fillId="33" borderId="39" xfId="0" applyFont="1" applyFill="1" applyBorder="1" applyAlignment="1">
      <alignment horizontal="center"/>
    </xf>
    <xf numFmtId="0" fontId="132" fillId="33" borderId="0" xfId="0" applyFont="1" applyFill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4" fillId="33" borderId="0" xfId="0" applyFont="1" applyFill="1" applyAlignment="1">
      <alignment horizontal="center"/>
    </xf>
    <xf numFmtId="0" fontId="112" fillId="33" borderId="38" xfId="0" applyFont="1" applyFill="1" applyBorder="1" applyAlignment="1">
      <alignment horizontal="center"/>
    </xf>
    <xf numFmtId="0" fontId="113" fillId="33" borderId="0" xfId="0" applyFont="1" applyFill="1" applyAlignment="1">
      <alignment horizontal="left"/>
    </xf>
    <xf numFmtId="0" fontId="113" fillId="33" borderId="0" xfId="0" applyFont="1" applyFill="1" applyAlignment="1">
      <alignment horizontal="center"/>
    </xf>
    <xf numFmtId="0" fontId="89" fillId="33" borderId="40" xfId="0" applyFont="1" applyFill="1" applyBorder="1" applyAlignment="1">
      <alignment horizontal="center" vertical="center"/>
    </xf>
    <xf numFmtId="0" fontId="89" fillId="33" borderId="47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horizontal="center" vertical="center"/>
    </xf>
    <xf numFmtId="0" fontId="112" fillId="33" borderId="39" xfId="0" applyFont="1" applyFill="1" applyBorder="1" applyAlignment="1">
      <alignment horizontal="center" vertical="center"/>
    </xf>
    <xf numFmtId="0" fontId="89" fillId="33" borderId="59" xfId="0" applyFont="1" applyFill="1" applyBorder="1" applyAlignment="1">
      <alignment horizontal="left" vertical="center"/>
    </xf>
    <xf numFmtId="0" fontId="89" fillId="33" borderId="60" xfId="0" applyFont="1" applyFill="1" applyBorder="1" applyAlignment="1">
      <alignment horizontal="left" vertical="center"/>
    </xf>
    <xf numFmtId="0" fontId="115" fillId="33" borderId="0" xfId="0" applyFont="1" applyFill="1" applyAlignment="1">
      <alignment horizontal="center"/>
    </xf>
    <xf numFmtId="0" fontId="89" fillId="33" borderId="69" xfId="0" applyFont="1" applyFill="1" applyBorder="1" applyAlignment="1">
      <alignment horizontal="left" vertical="center"/>
    </xf>
    <xf numFmtId="0" fontId="112" fillId="33" borderId="39" xfId="0" applyFont="1" applyFill="1" applyBorder="1" applyAlignment="1">
      <alignment horizontal="center" vertical="top" wrapText="1"/>
    </xf>
    <xf numFmtId="0" fontId="112" fillId="33" borderId="3" xfId="0" applyFont="1" applyFill="1" applyBorder="1" applyAlignment="1">
      <alignment vertical="top" wrapText="1"/>
    </xf>
    <xf numFmtId="0" fontId="112" fillId="33" borderId="39" xfId="0" applyFont="1" applyFill="1" applyBorder="1" applyAlignment="1">
      <alignment vertical="top" wrapText="1"/>
    </xf>
    <xf numFmtId="0" fontId="112" fillId="33" borderId="42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20" fontId="112" fillId="33" borderId="39" xfId="0" applyNumberFormat="1" applyFont="1" applyFill="1" applyBorder="1" applyAlignment="1">
      <alignment horizontal="center"/>
    </xf>
    <xf numFmtId="0" fontId="112" fillId="33" borderId="0" xfId="0" applyFont="1" applyFill="1" applyAlignment="1">
      <alignment horizontal="left"/>
    </xf>
    <xf numFmtId="0" fontId="112" fillId="33" borderId="42" xfId="0" applyFont="1" applyFill="1" applyBorder="1" applyAlignment="1">
      <alignment horizontal="center" vertical="center" wrapText="1"/>
    </xf>
    <xf numFmtId="0" fontId="112" fillId="33" borderId="0" xfId="0" applyFont="1" applyFill="1" applyAlignment="1">
      <alignment horizontal="center" vertical="center"/>
    </xf>
    <xf numFmtId="0" fontId="116" fillId="33" borderId="0" xfId="0" applyFont="1" applyFill="1" applyAlignment="1">
      <alignment horizontal="center" vertical="center"/>
    </xf>
    <xf numFmtId="0" fontId="116" fillId="33" borderId="34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2" fillId="33" borderId="19" xfId="0" applyFont="1" applyFill="1" applyBorder="1" applyAlignment="1">
      <alignment horizontal="center"/>
    </xf>
    <xf numFmtId="0" fontId="112" fillId="33" borderId="46" xfId="0" applyFont="1" applyFill="1" applyBorder="1" applyAlignment="1">
      <alignment horizontal="center"/>
    </xf>
    <xf numFmtId="0" fontId="117" fillId="0" borderId="0" xfId="1451" applyFont="1"/>
    <xf numFmtId="0" fontId="117" fillId="0" borderId="26" xfId="1451" applyFont="1" applyBorder="1"/>
    <xf numFmtId="0" fontId="117" fillId="0" borderId="36" xfId="1451" applyFont="1" applyBorder="1"/>
    <xf numFmtId="0" fontId="117" fillId="0" borderId="48" xfId="1451" applyFont="1" applyBorder="1"/>
    <xf numFmtId="0" fontId="117" fillId="0" borderId="37" xfId="1451" applyFont="1" applyBorder="1"/>
    <xf numFmtId="0" fontId="117" fillId="0" borderId="28" xfId="1451" applyFont="1" applyBorder="1"/>
    <xf numFmtId="0" fontId="118" fillId="0" borderId="0" xfId="1451" applyFont="1" applyAlignment="1">
      <alignment vertical="center"/>
    </xf>
    <xf numFmtId="0" fontId="169" fillId="0" borderId="0" xfId="1451" applyFont="1"/>
    <xf numFmtId="0" fontId="119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37" xfId="1451" applyFont="1" applyBorder="1" applyAlignment="1">
      <alignment vertical="center"/>
    </xf>
    <xf numFmtId="0" fontId="122" fillId="0" borderId="0" xfId="1451" applyFont="1" applyAlignment="1">
      <alignment horizontal="center"/>
    </xf>
    <xf numFmtId="0" fontId="113" fillId="0" borderId="0" xfId="1451" applyFont="1" applyAlignment="1">
      <alignment horizontal="center" vertical="center"/>
    </xf>
    <xf numFmtId="0" fontId="113" fillId="0" borderId="37" xfId="1451" applyFont="1" applyBorder="1" applyAlignment="1">
      <alignment horizontal="center"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117" fillId="0" borderId="31" xfId="1451" applyFont="1" applyBorder="1"/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7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3" fontId="7" fillId="0" borderId="21" xfId="1599" applyNumberFormat="1" applyFont="1" applyBorder="1" applyAlignment="1">
      <alignment horizontal="center" vertical="center"/>
    </xf>
    <xf numFmtId="0" fontId="124" fillId="0" borderId="21" xfId="1652" applyFont="1" applyBorder="1" applyAlignment="1">
      <alignment horizontal="center" vertical="center"/>
    </xf>
    <xf numFmtId="0" fontId="150" fillId="0" borderId="21" xfId="1652" applyFont="1" applyBorder="1" applyAlignment="1">
      <alignment horizontal="center" vertical="center"/>
    </xf>
    <xf numFmtId="0" fontId="146" fillId="48" borderId="21" xfId="1653" applyFont="1" applyFill="1" applyBorder="1" applyAlignment="1">
      <alignment vertical="center" wrapText="1"/>
    </xf>
    <xf numFmtId="0" fontId="41" fillId="48" borderId="21" xfId="1451" applyFont="1" applyFill="1" applyBorder="1" applyAlignment="1">
      <alignment horizontal="left" vertical="center" wrapText="1"/>
    </xf>
    <xf numFmtId="0" fontId="117" fillId="33" borderId="0" xfId="1451" applyFont="1" applyFill="1" applyAlignment="1">
      <alignment horizontal="center" vertical="center"/>
    </xf>
    <xf numFmtId="0" fontId="117" fillId="33" borderId="0" xfId="1451" applyFont="1" applyFill="1" applyAlignment="1">
      <alignment horizontal="center"/>
    </xf>
    <xf numFmtId="0" fontId="112" fillId="33" borderId="41" xfId="0" applyFont="1" applyFill="1" applyBorder="1" applyAlignment="1">
      <alignment horizontal="center" vertical="top" wrapText="1"/>
    </xf>
    <xf numFmtId="0" fontId="112" fillId="33" borderId="7" xfId="0" applyFont="1" applyFill="1" applyBorder="1" applyAlignment="1">
      <alignment horizontal="center" vertical="top" wrapText="1"/>
    </xf>
    <xf numFmtId="0" fontId="116" fillId="33" borderId="94" xfId="0" applyFont="1" applyFill="1" applyBorder="1" applyAlignment="1">
      <alignment horizontal="center" vertical="top" wrapText="1"/>
    </xf>
    <xf numFmtId="0" fontId="116" fillId="33" borderId="95" xfId="0" applyFont="1" applyFill="1" applyBorder="1" applyAlignment="1">
      <alignment horizontal="center" vertical="top" wrapText="1"/>
    </xf>
    <xf numFmtId="0" fontId="89" fillId="33" borderId="98" xfId="0" applyFont="1" applyFill="1" applyBorder="1" applyAlignment="1">
      <alignment horizontal="center" vertical="center"/>
    </xf>
    <xf numFmtId="0" fontId="170" fillId="33" borderId="99" xfId="0" applyFont="1" applyFill="1" applyBorder="1" applyAlignment="1">
      <alignment horizontal="center" vertical="center"/>
    </xf>
    <xf numFmtId="0" fontId="170" fillId="33" borderId="100" xfId="0" applyFont="1" applyFill="1" applyBorder="1" applyAlignment="1">
      <alignment horizontal="left" vertical="center"/>
    </xf>
    <xf numFmtId="0" fontId="170" fillId="33" borderId="101" xfId="0" applyFont="1" applyFill="1" applyBorder="1" applyAlignment="1">
      <alignment horizontal="left" vertical="center"/>
    </xf>
    <xf numFmtId="0" fontId="170" fillId="33" borderId="69" xfId="0" applyFont="1" applyFill="1" applyBorder="1" applyAlignment="1">
      <alignment horizontal="left" vertical="center"/>
    </xf>
    <xf numFmtId="0" fontId="170" fillId="33" borderId="59" xfId="0" applyFont="1" applyFill="1" applyBorder="1" applyAlignment="1">
      <alignment horizontal="left" vertical="center"/>
    </xf>
    <xf numFmtId="0" fontId="112" fillId="33" borderId="26" xfId="0" applyFont="1" applyFill="1" applyBorder="1" applyAlignment="1">
      <alignment horizontal="center"/>
    </xf>
    <xf numFmtId="0" fontId="124" fillId="0" borderId="20" xfId="1652" applyFont="1" applyBorder="1" applyAlignment="1">
      <alignment horizontal="center" vertical="center"/>
    </xf>
    <xf numFmtId="0" fontId="124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5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9" fillId="0" borderId="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157" fillId="42" borderId="79" xfId="2673" applyFont="1" applyFill="1" applyBorder="1" applyAlignment="1">
      <alignment horizontal="center" vertical="center" wrapText="1"/>
    </xf>
    <xf numFmtId="0" fontId="157" fillId="42" borderId="80" xfId="2673" applyFont="1" applyFill="1" applyBorder="1" applyAlignment="1">
      <alignment horizontal="center" vertical="center" wrapText="1"/>
    </xf>
    <xf numFmtId="0" fontId="157" fillId="42" borderId="81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43" borderId="61" xfId="2673" applyNumberFormat="1" applyFont="1" applyFill="1" applyBorder="1" applyAlignment="1">
      <alignment horizontal="center" vertical="center" wrapText="1"/>
    </xf>
    <xf numFmtId="2" fontId="130" fillId="43" borderId="83" xfId="2673" applyNumberFormat="1" applyFont="1" applyFill="1" applyBorder="1" applyAlignment="1">
      <alignment horizontal="center" vertical="center" wrapText="1"/>
    </xf>
    <xf numFmtId="0" fontId="160" fillId="0" borderId="50" xfId="2673" applyFont="1" applyBorder="1" applyAlignment="1">
      <alignment horizontal="center" vertical="center" wrapText="1"/>
    </xf>
    <xf numFmtId="0" fontId="160" fillId="0" borderId="58" xfId="2673" applyFont="1" applyBorder="1" applyAlignment="1">
      <alignment horizontal="center" vertical="center" wrapText="1"/>
    </xf>
    <xf numFmtId="0" fontId="160" fillId="44" borderId="3" xfId="2673" applyFont="1" applyFill="1" applyBorder="1" applyAlignment="1">
      <alignment horizontal="center" vertical="center" wrapText="1"/>
    </xf>
    <xf numFmtId="0" fontId="160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9" fontId="130" fillId="35" borderId="63" xfId="2675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5" fillId="0" borderId="84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85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1" xfId="2673" applyNumberFormat="1" applyFont="1" applyFill="1" applyBorder="1" applyAlignment="1">
      <alignment horizontal="center" vertical="center" wrapText="1"/>
    </xf>
    <xf numFmtId="2" fontId="130" fillId="35" borderId="83" xfId="2673" applyNumberFormat="1" applyFont="1" applyFill="1" applyBorder="1" applyAlignment="1">
      <alignment horizontal="center" vertical="center" wrapText="1"/>
    </xf>
    <xf numFmtId="0" fontId="157" fillId="41" borderId="79" xfId="2673" applyFont="1" applyFill="1" applyBorder="1" applyAlignment="1">
      <alignment horizontal="center" vertical="center" wrapText="1"/>
    </xf>
    <xf numFmtId="0" fontId="157" fillId="41" borderId="80" xfId="2673" applyFont="1" applyFill="1" applyBorder="1" applyAlignment="1">
      <alignment horizontal="center" vertical="center" wrapText="1"/>
    </xf>
    <xf numFmtId="0" fontId="157" fillId="41" borderId="81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9" fontId="130" fillId="0" borderId="63" xfId="2675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0" fontId="6" fillId="34" borderId="67" xfId="2670" applyFill="1" applyBorder="1" applyAlignment="1">
      <alignment horizontal="center" vertical="center"/>
    </xf>
    <xf numFmtId="0" fontId="134" fillId="0" borderId="68" xfId="2670" applyFont="1" applyBorder="1" applyAlignment="1">
      <alignment horizontal="left" vertical="center"/>
    </xf>
    <xf numFmtId="0" fontId="109" fillId="38" borderId="3" xfId="1538" applyFill="1" applyBorder="1" applyAlignment="1">
      <alignment horizontal="center" vertical="center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 wrapText="1"/>
    </xf>
    <xf numFmtId="0" fontId="49" fillId="0" borderId="44" xfId="1538" applyFont="1" applyBorder="1" applyAlignment="1">
      <alignment horizontal="left"/>
    </xf>
    <xf numFmtId="0" fontId="145" fillId="0" borderId="0" xfId="1644" applyFont="1" applyAlignment="1">
      <alignment horizontal="center" vertical="center"/>
    </xf>
    <xf numFmtId="37" fontId="152" fillId="0" borderId="19" xfId="1614" applyNumberFormat="1" applyFont="1" applyBorder="1" applyAlignment="1">
      <alignment horizontal="center"/>
    </xf>
    <xf numFmtId="0" fontId="148" fillId="0" borderId="0" xfId="1614" quotePrefix="1" applyFont="1" applyAlignment="1">
      <alignment horizontal="left" vertical="top" wrapText="1"/>
    </xf>
    <xf numFmtId="0" fontId="148" fillId="0" borderId="0" xfId="1614" applyFont="1" applyAlignment="1">
      <alignment horizontal="left" vertical="top" wrapText="1"/>
    </xf>
    <xf numFmtId="37" fontId="146" fillId="0" borderId="0" xfId="1614" applyNumberFormat="1" applyFont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8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1" fillId="0" borderId="0" xfId="1652" applyFont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0" fontId="150" fillId="35" borderId="53" xfId="1614" applyFont="1" applyFill="1" applyBorder="1" applyAlignment="1">
      <alignment horizontal="center" vertical="center"/>
    </xf>
    <xf numFmtId="0" fontId="150" fillId="35" borderId="54" xfId="1614" applyFont="1" applyFill="1" applyBorder="1" applyAlignment="1">
      <alignment horizontal="center" vertical="center"/>
    </xf>
    <xf numFmtId="0" fontId="150" fillId="35" borderId="35" xfId="1652" applyFont="1" applyFill="1" applyBorder="1" applyAlignment="1">
      <alignment horizontal="center" vertical="center" wrapText="1"/>
    </xf>
    <xf numFmtId="0" fontId="150" fillId="35" borderId="33" xfId="1652" applyFont="1" applyFill="1" applyBorder="1" applyAlignment="1">
      <alignment horizontal="center" vertical="center" wrapText="1"/>
    </xf>
    <xf numFmtId="0" fontId="150" fillId="35" borderId="3" xfId="1614" applyFont="1" applyFill="1" applyBorder="1" applyAlignment="1">
      <alignment horizontal="center" vertical="center"/>
    </xf>
    <xf numFmtId="0" fontId="150" fillId="35" borderId="39" xfId="1614" applyFont="1" applyFill="1" applyBorder="1" applyAlignment="1">
      <alignment horizontal="center" vertical="center"/>
    </xf>
    <xf numFmtId="0" fontId="148" fillId="30" borderId="3" xfId="1614" applyFont="1" applyFill="1" applyBorder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37" fontId="146" fillId="0" borderId="36" xfId="1614" applyNumberFormat="1" applyFont="1" applyBorder="1" applyAlignment="1">
      <alignment horizontal="center"/>
    </xf>
    <xf numFmtId="0" fontId="150" fillId="35" borderId="51" xfId="1614" applyFont="1" applyFill="1" applyBorder="1" applyAlignment="1">
      <alignment horizontal="center" vertical="center"/>
    </xf>
    <xf numFmtId="0" fontId="150" fillId="35" borderId="49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/>
    </xf>
    <xf numFmtId="0" fontId="150" fillId="35" borderId="21" xfId="1614" applyFont="1" applyFill="1" applyBorder="1" applyAlignment="1">
      <alignment horizontal="center" vertical="center"/>
    </xf>
    <xf numFmtId="0" fontId="150" fillId="35" borderId="33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 wrapText="1"/>
    </xf>
    <xf numFmtId="0" fontId="150" fillId="35" borderId="21" xfId="1614" applyFont="1" applyFill="1" applyBorder="1" applyAlignment="1">
      <alignment horizontal="center" vertical="center" wrapText="1"/>
    </xf>
    <xf numFmtId="0" fontId="150" fillId="35" borderId="33" xfId="1614" applyFont="1" applyFill="1" applyBorder="1" applyAlignment="1">
      <alignment horizontal="center" vertical="center" wrapText="1"/>
    </xf>
    <xf numFmtId="0" fontId="127" fillId="35" borderId="55" xfId="0" applyFont="1" applyFill="1" applyBorder="1" applyAlignment="1">
      <alignment horizontal="center" vertical="center"/>
    </xf>
    <xf numFmtId="0" fontId="127" fillId="35" borderId="36" xfId="0" applyFont="1" applyFill="1" applyBorder="1" applyAlignment="1">
      <alignment horizontal="center" vertical="center"/>
    </xf>
    <xf numFmtId="0" fontId="127" fillId="35" borderId="48" xfId="0" applyFont="1" applyFill="1" applyBorder="1" applyAlignment="1">
      <alignment horizontal="center" vertical="center"/>
    </xf>
    <xf numFmtId="0" fontId="127" fillId="35" borderId="43" xfId="0" applyFont="1" applyFill="1" applyBorder="1" applyAlignment="1">
      <alignment horizontal="center" vertical="center"/>
    </xf>
    <xf numFmtId="0" fontId="127" fillId="35" borderId="44" xfId="0" applyFont="1" applyFill="1" applyBorder="1" applyAlignment="1">
      <alignment horizontal="center" vertical="center"/>
    </xf>
    <xf numFmtId="0" fontId="127" fillId="35" borderId="45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horizontal="center"/>
    </xf>
    <xf numFmtId="0" fontId="112" fillId="33" borderId="39" xfId="0" applyFont="1" applyFill="1" applyBorder="1" applyAlignment="1">
      <alignment horizontal="center"/>
    </xf>
    <xf numFmtId="49" fontId="89" fillId="33" borderId="102" xfId="0" applyNumberFormat="1" applyFont="1" applyFill="1" applyBorder="1" applyAlignment="1">
      <alignment horizontal="left" vertical="center"/>
    </xf>
    <xf numFmtId="49" fontId="89" fillId="33" borderId="40" xfId="0" applyNumberFormat="1" applyFont="1" applyFill="1" applyBorder="1" applyAlignment="1">
      <alignment horizontal="left" vertical="center"/>
    </xf>
    <xf numFmtId="49" fontId="171" fillId="33" borderId="102" xfId="0" applyNumberFormat="1" applyFont="1" applyFill="1" applyBorder="1" applyAlignment="1">
      <alignment horizontal="left" vertical="center"/>
    </xf>
    <xf numFmtId="49" fontId="171" fillId="33" borderId="40" xfId="0" applyNumberFormat="1" applyFont="1" applyFill="1" applyBorder="1" applyAlignment="1">
      <alignment horizontal="left" vertical="center"/>
    </xf>
    <xf numFmtId="49" fontId="112" fillId="33" borderId="50" xfId="0" applyNumberFormat="1" applyFont="1" applyFill="1" applyBorder="1" applyAlignment="1">
      <alignment horizontal="left" vertical="center"/>
    </xf>
    <xf numFmtId="49" fontId="112" fillId="33" borderId="41" xfId="0" applyNumberFormat="1" applyFont="1" applyFill="1" applyBorder="1" applyAlignment="1">
      <alignment horizontal="left" vertical="center"/>
    </xf>
    <xf numFmtId="0" fontId="171" fillId="33" borderId="59" xfId="0" applyFont="1" applyFill="1" applyBorder="1" applyAlignment="1">
      <alignment horizontal="left" vertical="center"/>
    </xf>
    <xf numFmtId="0" fontId="171" fillId="33" borderId="60" xfId="0" applyFont="1" applyFill="1" applyBorder="1" applyAlignment="1">
      <alignment horizontal="left" vertical="center"/>
    </xf>
    <xf numFmtId="0" fontId="112" fillId="33" borderId="56" xfId="0" applyFont="1" applyFill="1" applyBorder="1" applyAlignment="1">
      <alignment horizontal="center"/>
    </xf>
    <xf numFmtId="0" fontId="112" fillId="33" borderId="57" xfId="0" applyFont="1" applyFill="1" applyBorder="1" applyAlignment="1">
      <alignment horizontal="center"/>
    </xf>
    <xf numFmtId="0" fontId="113" fillId="33" borderId="18" xfId="0" applyFont="1" applyFill="1" applyBorder="1" applyAlignment="1">
      <alignment horizontal="left"/>
    </xf>
    <xf numFmtId="0" fontId="113" fillId="33" borderId="0" xfId="0" applyFont="1" applyFill="1" applyAlignment="1">
      <alignment horizontal="left"/>
    </xf>
    <xf numFmtId="0" fontId="113" fillId="33" borderId="37" xfId="0" applyFont="1" applyFill="1" applyBorder="1" applyAlignment="1">
      <alignment horizontal="left"/>
    </xf>
    <xf numFmtId="0" fontId="128" fillId="33" borderId="50" xfId="0" applyFont="1" applyFill="1" applyBorder="1" applyAlignment="1">
      <alignment horizontal="center" vertical="center"/>
    </xf>
    <xf numFmtId="0" fontId="128" fillId="33" borderId="7" xfId="0" applyFont="1" applyFill="1" applyBorder="1" applyAlignment="1">
      <alignment horizontal="center" vertical="center"/>
    </xf>
    <xf numFmtId="0" fontId="128" fillId="33" borderId="41" xfId="0" applyFont="1" applyFill="1" applyBorder="1" applyAlignment="1">
      <alignment horizontal="center" vertical="center"/>
    </xf>
    <xf numFmtId="0" fontId="113" fillId="33" borderId="5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center"/>
    </xf>
    <xf numFmtId="0" fontId="113" fillId="33" borderId="58" xfId="0" applyFont="1" applyFill="1" applyBorder="1" applyAlignment="1">
      <alignment horizontal="center" vertical="center"/>
    </xf>
    <xf numFmtId="0" fontId="89" fillId="33" borderId="59" xfId="0" applyFont="1" applyFill="1" applyBorder="1" applyAlignment="1">
      <alignment horizontal="left" vertical="center"/>
    </xf>
    <xf numFmtId="0" fontId="89" fillId="33" borderId="60" xfId="0" applyFont="1" applyFill="1" applyBorder="1" applyAlignment="1">
      <alignment horizontal="left" vertical="center"/>
    </xf>
    <xf numFmtId="0" fontId="89" fillId="33" borderId="102" xfId="0" applyFont="1" applyFill="1" applyBorder="1" applyAlignment="1">
      <alignment horizontal="left" vertical="center"/>
    </xf>
    <xf numFmtId="0" fontId="89" fillId="33" borderId="40" xfId="0" applyFont="1" applyFill="1" applyBorder="1" applyAlignment="1">
      <alignment horizontal="left" vertical="center"/>
    </xf>
    <xf numFmtId="49" fontId="112" fillId="33" borderId="50" xfId="0" applyNumberFormat="1" applyFont="1" applyFill="1" applyBorder="1" applyAlignment="1">
      <alignment vertical="center"/>
    </xf>
    <xf numFmtId="49" fontId="112" fillId="33" borderId="41" xfId="0" applyNumberFormat="1" applyFont="1" applyFill="1" applyBorder="1" applyAlignment="1">
      <alignment vertical="center"/>
    </xf>
    <xf numFmtId="49" fontId="112" fillId="33" borderId="50" xfId="0" applyNumberFormat="1" applyFont="1" applyFill="1" applyBorder="1" applyAlignment="1">
      <alignment vertical="top" wrapText="1"/>
    </xf>
    <xf numFmtId="49" fontId="112" fillId="33" borderId="41" xfId="0" applyNumberFormat="1" applyFont="1" applyFill="1" applyBorder="1" applyAlignment="1">
      <alignment vertical="top" wrapText="1"/>
    </xf>
    <xf numFmtId="0" fontId="112" fillId="33" borderId="7" xfId="0" applyFont="1" applyFill="1" applyBorder="1" applyAlignment="1">
      <alignment horizontal="center"/>
    </xf>
    <xf numFmtId="0" fontId="112" fillId="33" borderId="41" xfId="0" applyFont="1" applyFill="1" applyBorder="1" applyAlignment="1">
      <alignment horizontal="center"/>
    </xf>
    <xf numFmtId="15" fontId="112" fillId="33" borderId="3" xfId="0" applyNumberFormat="1" applyFont="1" applyFill="1" applyBorder="1" applyAlignment="1">
      <alignment horizontal="center"/>
    </xf>
    <xf numFmtId="0" fontId="112" fillId="33" borderId="7" xfId="0" applyFont="1" applyFill="1" applyBorder="1" applyAlignment="1">
      <alignment vertical="top" wrapText="1"/>
    </xf>
    <xf numFmtId="0" fontId="112" fillId="33" borderId="41" xfId="0" applyFont="1" applyFill="1" applyBorder="1" applyAlignment="1">
      <alignment vertical="top" wrapText="1"/>
    </xf>
    <xf numFmtId="0" fontId="116" fillId="33" borderId="97" xfId="0" applyFont="1" applyFill="1" applyBorder="1" applyAlignment="1">
      <alignment horizontal="center" vertical="center" wrapText="1"/>
    </xf>
    <xf numFmtId="0" fontId="116" fillId="33" borderId="96" xfId="0" applyFont="1" applyFill="1" applyBorder="1" applyAlignment="1">
      <alignment horizontal="center" vertical="center" wrapText="1"/>
    </xf>
    <xf numFmtId="0" fontId="112" fillId="33" borderId="7" xfId="0" applyFont="1" applyFill="1" applyBorder="1" applyAlignment="1">
      <alignment horizontal="center" vertical="top" wrapText="1"/>
    </xf>
    <xf numFmtId="0" fontId="112" fillId="33" borderId="41" xfId="0" applyFont="1" applyFill="1" applyBorder="1" applyAlignment="1">
      <alignment horizontal="center" vertical="top" wrapText="1"/>
    </xf>
    <xf numFmtId="0" fontId="113" fillId="33" borderId="38" xfId="0" applyFont="1" applyFill="1" applyBorder="1" applyAlignment="1">
      <alignment horizontal="left" vertical="top" wrapText="1"/>
    </xf>
    <xf numFmtId="0" fontId="113" fillId="33" borderId="56" xfId="0" applyFont="1" applyFill="1" applyBorder="1" applyAlignment="1">
      <alignment horizontal="left" vertical="top" wrapText="1"/>
    </xf>
    <xf numFmtId="0" fontId="113" fillId="33" borderId="57" xfId="0" applyFont="1" applyFill="1" applyBorder="1" applyAlignment="1">
      <alignment horizontal="left" vertical="top" wrapText="1"/>
    </xf>
    <xf numFmtId="0" fontId="113" fillId="33" borderId="43" xfId="0" applyFont="1" applyFill="1" applyBorder="1" applyAlignment="1">
      <alignment horizontal="left" vertical="top" wrapText="1"/>
    </xf>
    <xf numFmtId="0" fontId="113" fillId="33" borderId="44" xfId="0" applyFont="1" applyFill="1" applyBorder="1" applyAlignment="1">
      <alignment horizontal="left" vertical="top" wrapText="1"/>
    </xf>
    <xf numFmtId="0" fontId="113" fillId="33" borderId="45" xfId="0" applyFont="1" applyFill="1" applyBorder="1" applyAlignment="1">
      <alignment horizontal="left" vertical="top" wrapText="1"/>
    </xf>
    <xf numFmtId="0" fontId="112" fillId="33" borderId="50" xfId="0" applyFont="1" applyFill="1" applyBorder="1" applyAlignment="1">
      <alignment horizontal="center"/>
    </xf>
    <xf numFmtId="0" fontId="112" fillId="33" borderId="87" xfId="0" applyFont="1" applyFill="1" applyBorder="1" applyAlignment="1">
      <alignment horizontal="center"/>
    </xf>
    <xf numFmtId="0" fontId="112" fillId="33" borderId="62" xfId="0" applyFont="1" applyFill="1" applyBorder="1" applyAlignment="1">
      <alignment horizontal="center"/>
    </xf>
    <xf numFmtId="0" fontId="112" fillId="33" borderId="63" xfId="0" applyFont="1" applyFill="1" applyBorder="1" applyAlignment="1">
      <alignment horizontal="center"/>
    </xf>
    <xf numFmtId="0" fontId="112" fillId="33" borderId="64" xfId="0" applyFont="1" applyFill="1" applyBorder="1" applyAlignment="1">
      <alignment horizontal="center"/>
    </xf>
    <xf numFmtId="0" fontId="112" fillId="33" borderId="56" xfId="0" applyFont="1" applyFill="1" applyBorder="1" applyAlignment="1">
      <alignment horizontal="center" vertical="center"/>
    </xf>
    <xf numFmtId="0" fontId="112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0" fontId="168" fillId="0" borderId="88" xfId="1451" applyFont="1" applyBorder="1" applyAlignment="1">
      <alignment horizontal="center" vertical="center"/>
    </xf>
    <xf numFmtId="0" fontId="168" fillId="0" borderId="89" xfId="1451" applyFont="1" applyBorder="1" applyAlignment="1">
      <alignment horizontal="center" vertical="center"/>
    </xf>
    <xf numFmtId="0" fontId="168" fillId="0" borderId="90" xfId="1451" applyFont="1" applyBorder="1" applyAlignment="1">
      <alignment horizontal="center" vertical="center"/>
    </xf>
    <xf numFmtId="0" fontId="168" fillId="0" borderId="91" xfId="1451" applyFont="1" applyBorder="1" applyAlignment="1">
      <alignment horizontal="center" vertical="center"/>
    </xf>
    <xf numFmtId="0" fontId="168" fillId="0" borderId="92" xfId="1451" applyFont="1" applyBorder="1" applyAlignment="1">
      <alignment horizontal="center" vertical="center"/>
    </xf>
    <xf numFmtId="0" fontId="168" fillId="0" borderId="93" xfId="1451" applyFont="1" applyBorder="1" applyAlignment="1">
      <alignment horizontal="center" vertical="center"/>
    </xf>
    <xf numFmtId="0" fontId="119" fillId="33" borderId="88" xfId="1451" applyFont="1" applyFill="1" applyBorder="1" applyAlignment="1">
      <alignment horizontal="center" vertical="center"/>
    </xf>
    <xf numFmtId="0" fontId="119" fillId="33" borderId="89" xfId="1451" applyFont="1" applyFill="1" applyBorder="1" applyAlignment="1">
      <alignment horizontal="center" vertical="center"/>
    </xf>
    <xf numFmtId="0" fontId="119" fillId="33" borderId="90" xfId="1451" applyFont="1" applyFill="1" applyBorder="1" applyAlignment="1">
      <alignment horizontal="center" vertical="center"/>
    </xf>
    <xf numFmtId="0" fontId="119" fillId="33" borderId="91" xfId="1451" applyFont="1" applyFill="1" applyBorder="1" applyAlignment="1">
      <alignment horizontal="center" vertical="center"/>
    </xf>
    <xf numFmtId="0" fontId="119" fillId="33" borderId="92" xfId="1451" applyFont="1" applyFill="1" applyBorder="1" applyAlignment="1">
      <alignment horizontal="center" vertical="center"/>
    </xf>
    <xf numFmtId="0" fontId="119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vertical="center" wrapText="1"/>
    </xf>
    <xf numFmtId="0" fontId="111" fillId="0" borderId="20" xfId="1652" applyFont="1" applyBorder="1" applyAlignment="1">
      <alignment horizontal="center" vertical="center"/>
    </xf>
    <xf numFmtId="0" fontId="41" fillId="0" borderId="21" xfId="0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41" fillId="0" borderId="21" xfId="1450" applyFont="1" applyBorder="1" applyAlignment="1">
      <alignment vertical="center" wrapText="1"/>
    </xf>
    <xf numFmtId="0" fontId="144" fillId="48" borderId="21" xfId="1614" applyFont="1" applyFill="1" applyBorder="1" applyAlignment="1">
      <alignment horizontal="center"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0.52999999999999992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5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5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136028</xdr:colOff>
      <xdr:row>65</xdr:row>
      <xdr:rowOff>76200</xdr:rowOff>
    </xdr:from>
    <xdr:to>
      <xdr:col>16</xdr:col>
      <xdr:colOff>334510</xdr:colOff>
      <xdr:row>71</xdr:row>
      <xdr:rowOff>88392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7AE312B-6149-421B-823C-22B016E2A082}"/>
            </a:ext>
          </a:extLst>
        </xdr:cNvPr>
        <xdr:cNvSpPr/>
      </xdr:nvSpPr>
      <xdr:spPr>
        <a:xfrm>
          <a:off x="4250828" y="10134600"/>
          <a:ext cx="1722482" cy="92659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87E54289-88FB-44E9-979C-8F98B85D490F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6AA1DB17-0301-4A91-AA78-3A364D2174DE}"/>
            </a:ext>
          </a:extLst>
        </xdr:cNvPr>
        <xdr:cNvGrpSpPr/>
      </xdr:nvGrpSpPr>
      <xdr:grpSpPr>
        <a:xfrm>
          <a:off x="10074072" y="821390"/>
          <a:ext cx="76286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100BA5BD-873B-A8D5-4112-F71A64FB80E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266B8FBE-6641-915C-0F68-61C11F85BF2B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5448DD46-AA6E-F497-31B3-3292622E5FEC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4F1A904-AF92-4956-A437-EC040B963EDA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276B1B23-D213-41BC-ABF1-175B0B4A5680}"/>
            </a:ext>
          </a:extLst>
        </xdr:cNvPr>
        <xdr:cNvGrpSpPr/>
      </xdr:nvGrpSpPr>
      <xdr:grpSpPr>
        <a:xfrm>
          <a:off x="10831296" y="82422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75AAE1A8-311B-1ED1-4314-3C6AE94DEB5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ADF786D9-DB20-9C0F-A1AE-853A79D263C6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E61B6EFD-E496-552A-BD4A-4FB024E8D58F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534C6B80-0E93-4355-8C5A-02556B7929C8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56D795A5-F313-4F8C-A2CB-C82550B2282B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D337E6D-3E92-4499-B538-7A3AEEB20F25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B7E36007-690B-43A1-9F7A-AC16A9510538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18EE0DA0-3952-493D-B45B-9ADA0F7C01B5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A5B7A0FB-EC0E-42E5-8D41-8732CFD1797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2FB40FF1-26ED-4A3C-8CAB-669FC34011E9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7DB6A15D-BFD9-4067-89FA-83B381447A3D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6D55FFA9-05CA-42B5-8B92-CB5BE8137C52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5EE25A6-3C57-48A7-927B-24FD6F6B112B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1D2006A-4F10-4FB8-9F3A-64B6AD999B05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A19E8109-7510-4E8B-9F66-7EAA614E014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7A2EFDF2-90DC-43BE-B4C7-98F5827B0CA0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23B8A1FB-15D3-4435-B10B-2AA372FF313B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A23C7C5A-0EAA-4220-962E-F1E1F2A7D0D6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B14A8BF4-1487-4F63-A826-15C029871D1D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50FE83C7-3C1A-43AB-BECE-843363A0695A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18BCA7AC-1F79-4829-905A-C23D63EC1F4F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2094224-4333-4CFB-8413-0959E0813EFF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2607D59E-6848-4479-A51F-F75FA244F04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567E692F-5115-4ED4-B9C6-3005312E5E88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A80816C9-E644-4A14-A8F9-ADCC588A144E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055A2EB-17AA-40EE-836E-7BE2FAB33949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A00628A4-A34D-40E0-BC84-F750496BC344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711D8114-EA82-43A5-B627-07808BEB818E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2C306F6A-D8C1-4524-ACBA-50A94ED7A2CE}"/>
            </a:ext>
          </a:extLst>
        </xdr:cNvPr>
        <xdr:cNvGrpSpPr/>
      </xdr:nvGrpSpPr>
      <xdr:grpSpPr>
        <a:xfrm>
          <a:off x="9996155" y="2042699"/>
          <a:ext cx="194624" cy="120549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AB1820A1-EA1E-D744-5652-36398491B3FC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200FABB7-FFB9-970E-4180-409169AC645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213A66BD-424A-4E77-B8EC-1B2F6FBC6DD8}"/>
            </a:ext>
          </a:extLst>
        </xdr:cNvPr>
        <xdr:cNvGrpSpPr/>
      </xdr:nvGrpSpPr>
      <xdr:grpSpPr>
        <a:xfrm>
          <a:off x="10786397" y="2043282"/>
          <a:ext cx="198434" cy="120548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4ECAA0DF-A344-7A2D-6DC3-A551F8F6043B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F79D052-050A-7687-2B9B-81CFE6E53BB1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1FC7DAF8-ECC2-4A93-8C0F-1BECD5BFB60A}"/>
            </a:ext>
          </a:extLst>
        </xdr:cNvPr>
        <xdr:cNvGrpSpPr/>
      </xdr:nvGrpSpPr>
      <xdr:grpSpPr>
        <a:xfrm>
          <a:off x="9931225" y="2211114"/>
          <a:ext cx="318639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312EED86-16F7-B5C2-E98E-794B50C5C95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A95062E4-0EB4-981F-5E1C-B851D7356537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CEA6ACDE-2C99-BB8B-E344-885AFA429DD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4B7F105F-2E4F-CAA0-8C26-E18D3AEDA5B0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FD10E223-732A-45AF-BB8F-11D1819715D3}"/>
            </a:ext>
          </a:extLst>
        </xdr:cNvPr>
        <xdr:cNvGrpSpPr/>
      </xdr:nvGrpSpPr>
      <xdr:grpSpPr>
        <a:xfrm>
          <a:off x="10717149" y="2211114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DF6900D3-71F5-8B8D-B0C2-AE5669B8F078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8884D04B-9850-5D1E-68AF-CEA4AF432ADD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2EF46B76-6B7F-7B42-D22D-BA5954C3702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628D4E97-8C5F-C666-65DC-9C7F4EA1EC7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D2F3E60D-C77B-4961-857E-8061337F4344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294860FF-79C8-47B0-A30C-205BB115FD17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F3BC8B70-D417-406E-953A-0CF604AA7486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A7427C5-9AFC-48FE-AB9D-07182F55EBAE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3588D4BE-5629-4074-B3F8-BDEFDB30EC70}"/>
            </a:ext>
          </a:extLst>
        </xdr:cNvPr>
        <xdr:cNvGrpSpPr/>
      </xdr:nvGrpSpPr>
      <xdr:grpSpPr>
        <a:xfrm>
          <a:off x="10049774" y="1905410"/>
          <a:ext cx="114883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AA95C-0E54-00DB-401E-CFEE4852C912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443F5A93-E7A0-5010-6708-AD4E47CA2394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36A487D1-03FA-F5C6-740B-F2805B9470EF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4E5D8B13-B550-4862-8CDA-F9E6D5377EE3}"/>
            </a:ext>
          </a:extLst>
        </xdr:cNvPr>
        <xdr:cNvGrpSpPr/>
      </xdr:nvGrpSpPr>
      <xdr:grpSpPr>
        <a:xfrm>
          <a:off x="10821172" y="1906116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E3AFA5F6-97A2-918C-04EE-746CD291F829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108684B4-15FD-74EF-844E-D6AEF4D77A68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48830377-7C95-A340-9A21-DC02A51C069D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253714</xdr:colOff>
      <xdr:row>1</xdr:row>
      <xdr:rowOff>55319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581BE88A-AD62-4DFB-8C71-E9486110F7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7035514" y="21724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A900439B-3E4F-42D4-B6BE-671B854DDDFF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518850D3-3307-412E-9C38-C43FF62A8E97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DDF353F3-0E72-4442-8E07-2FD8F456F8C6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6061495E-531D-4761-824B-14DC97FA8895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5C8A36C0-3B06-4B05-9609-A43EC9709FB0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0786EC37-F985-4536-9F17-639354BAE8FF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89BE49A6-ECD9-4ACD-8166-41CC15701941}"/>
            </a:ext>
          </a:extLst>
        </xdr:cNvPr>
        <xdr:cNvGrpSpPr/>
      </xdr:nvGrpSpPr>
      <xdr:grpSpPr>
        <a:xfrm rot="21429191">
          <a:off x="7131421" y="8956930"/>
          <a:ext cx="83822" cy="82871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26C71E20-1BFE-B535-DDD9-C47B264FCF74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2ED773CC-784D-B0CF-C7F0-2869FA9F1423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E944E97C-B6CA-FF1D-21ED-AA35C0A37E6C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DDF8EB99-EA7E-47AC-BDB0-7C6EBE757F7D}"/>
            </a:ext>
          </a:extLst>
        </xdr:cNvPr>
        <xdr:cNvGrpSpPr/>
      </xdr:nvGrpSpPr>
      <xdr:grpSpPr>
        <a:xfrm>
          <a:off x="12887566" y="2298519"/>
          <a:ext cx="107252" cy="65187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67208B22-E91F-7FD1-F9C8-79B13F7A0813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463EB620-1261-D411-8FA6-FB84DD1D0D6C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0A72FA8B-4A9B-F150-BEB6-3CAD46EE9B32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84833D55-C065-4A66-8424-071B624C49F6}"/>
            </a:ext>
          </a:extLst>
        </xdr:cNvPr>
        <xdr:cNvGrpSpPr/>
      </xdr:nvGrpSpPr>
      <xdr:grpSpPr>
        <a:xfrm>
          <a:off x="12844038" y="2443485"/>
          <a:ext cx="139135" cy="66758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215AAE91-9DE6-59AC-FF54-25BB2183311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4ABAA165-4BA7-BEF8-442C-DB4B7E8358A9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772E6738-3AAA-6D22-48D3-1355CEDC13F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EA27D7B2-430B-FD20-495C-CAA374708747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33824142-57BF-476E-8CB9-762C6A9D5FF7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D9B46300-76FA-473B-98BE-6B84170FED6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8EB42718-A8F4-4FCB-BB5B-C87FC06F25D5}"/>
            </a:ext>
          </a:extLst>
        </xdr:cNvPr>
        <xdr:cNvGrpSpPr/>
      </xdr:nvGrpSpPr>
      <xdr:grpSpPr>
        <a:xfrm>
          <a:off x="12049745" y="2888519"/>
          <a:ext cx="206054" cy="120549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37562715-9401-8B2C-B4AB-4E3AA4FB7F5C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24A25907-9F9B-34E7-0931-BF1429B91C1A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4BC52AAA-5E87-4F98-BF67-0D401DA52ECE}"/>
            </a:ext>
          </a:extLst>
        </xdr:cNvPr>
        <xdr:cNvGrpSpPr/>
      </xdr:nvGrpSpPr>
      <xdr:grpSpPr>
        <a:xfrm>
          <a:off x="12843797" y="2889102"/>
          <a:ext cx="206054" cy="120548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72FB1CF4-8DA9-6FAD-FCBF-598C98DBF00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D7E02EBF-2257-9B04-F730-3A83479F0E43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B77E7207-8D13-4B55-8622-B3395228D02C}"/>
            </a:ext>
          </a:extLst>
        </xdr:cNvPr>
        <xdr:cNvGrpSpPr/>
      </xdr:nvGrpSpPr>
      <xdr:grpSpPr>
        <a:xfrm>
          <a:off x="11992435" y="3056934"/>
          <a:ext cx="322449" cy="83914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8AEB49E6-E9D8-6FEF-E8BC-C76CAA423FA2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00D5F581-9A1D-49C0-A009-A36EAA4E7F0C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04828661-99D9-7057-912F-983E6AA4317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F6E11617-29FD-72F1-674F-5AB38B7BEC4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B82D6EFA-64EC-46EF-84AE-209C71D298BF}"/>
            </a:ext>
          </a:extLst>
        </xdr:cNvPr>
        <xdr:cNvGrpSpPr/>
      </xdr:nvGrpSpPr>
      <xdr:grpSpPr>
        <a:xfrm>
          <a:off x="12782169" y="3056934"/>
          <a:ext cx="322449" cy="83914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6C47B249-19DA-849E-712D-8CAF65D8CB81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F5A8B5D9-BC33-B0BE-F343-BBEA5963CC1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6F914F36-4680-0B1D-16CA-C14B1603C3DB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96D439EF-B233-CB86-61C0-184D243FB4C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8AB3C3E6-306B-4955-B25E-CC71B3B56A85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31DD2C2C-211E-46D7-97C7-5E97D175321D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4F5DE279-4C43-4A4F-B9DB-963C2C53AAE2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514EC083-A35D-44D8-B5B2-0468D352F8A5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0F6DECA2-6A01-4CF7-8B2A-113C80740129}"/>
            </a:ext>
          </a:extLst>
        </xdr:cNvPr>
        <xdr:cNvGrpSpPr/>
      </xdr:nvGrpSpPr>
      <xdr:grpSpPr>
        <a:xfrm>
          <a:off x="12103364" y="2753135"/>
          <a:ext cx="126313" cy="62050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120F5B23-C7C5-0020-B2BB-D4C94837C701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7DA8D8E1-F0BB-8F33-F654-21045CCF77FF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7C8AA6C7-78AB-F1B8-CB38-3CD171DC9B6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B4069EA5-A31A-4F0E-95E3-58942BF99A0A}"/>
            </a:ext>
          </a:extLst>
        </xdr:cNvPr>
        <xdr:cNvGrpSpPr/>
      </xdr:nvGrpSpPr>
      <xdr:grpSpPr>
        <a:xfrm>
          <a:off x="12878572" y="2753841"/>
          <a:ext cx="126313" cy="62050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F6A31222-1733-BA25-5247-6DF16A5B8A1B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E6FFC3BE-AD71-0728-D0E6-A967E9413002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567B355E-275B-1EC0-C9B9-B15C980F4BE6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255889</xdr:colOff>
      <xdr:row>59</xdr:row>
      <xdr:rowOff>94601</xdr:rowOff>
    </xdr:from>
    <xdr:to>
      <xdr:col>22</xdr:col>
      <xdr:colOff>96547</xdr:colOff>
      <xdr:row>62</xdr:row>
      <xdr:rowOff>24340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D8D0884-007C-41FD-8289-F3E838E3E9B3}"/>
            </a:ext>
          </a:extLst>
        </xdr:cNvPr>
        <xdr:cNvSpPr txBox="1"/>
      </xdr:nvSpPr>
      <xdr:spPr>
        <a:xfrm>
          <a:off x="2465689" y="9238601"/>
          <a:ext cx="5555658" cy="38693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11260475-A64E-4D09-ACA4-844225364D10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66A99BE8-31BA-482E-9E3A-BC4C521D9A24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A343BC3-0DB5-475B-A856-F876BD2B256F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65C9B4EC-F742-4371-984E-5F505F042430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E01ECDC-2912-4974-81E0-F3807CCF5B01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353FCE38-469C-49E0-98FF-9404E5C3038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C38AC4B2-4E3E-40FB-9BFD-CD7DFAE88B08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5EDD274C-7AE5-47E1-A7EC-4CEA3F7BCA75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5" name="Group 13">
          <a:extLst>
            <a:ext uri="{FF2B5EF4-FFF2-40B4-BE49-F238E27FC236}">
              <a16:creationId xmlns:a16="http://schemas.microsoft.com/office/drawing/2014/main" id="{EC438697-C9B4-405E-8858-EA4A7AA9DCB5}"/>
            </a:ext>
          </a:extLst>
        </xdr:cNvPr>
        <xdr:cNvGrpSpPr/>
      </xdr:nvGrpSpPr>
      <xdr:grpSpPr>
        <a:xfrm>
          <a:off x="2971800" y="8686800"/>
          <a:ext cx="147007" cy="131649"/>
          <a:chOff x="9937028" y="802652"/>
          <a:chExt cx="83991" cy="77961"/>
        </a:xfrm>
      </xdr:grpSpPr>
      <xdr:sp macro="" textlink="">
        <xdr:nvSpPr>
          <xdr:cNvPr id="126" name="Oval 1">
            <a:extLst>
              <a:ext uri="{FF2B5EF4-FFF2-40B4-BE49-F238E27FC236}">
                <a16:creationId xmlns:a16="http://schemas.microsoft.com/office/drawing/2014/main" id="{CCAD66E4-90D6-61DF-B430-0D55E2F942E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7" name="Straight Connector 3">
            <a:extLst>
              <a:ext uri="{FF2B5EF4-FFF2-40B4-BE49-F238E27FC236}">
                <a16:creationId xmlns:a16="http://schemas.microsoft.com/office/drawing/2014/main" id="{E3D44025-16C1-69A2-4890-CF2181505B0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7">
            <a:extLst>
              <a:ext uri="{FF2B5EF4-FFF2-40B4-BE49-F238E27FC236}">
                <a16:creationId xmlns:a16="http://schemas.microsoft.com/office/drawing/2014/main" id="{323BDC0D-1C17-379C-8D85-A47A8AE370F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29" name="Group 13">
          <a:extLst>
            <a:ext uri="{FF2B5EF4-FFF2-40B4-BE49-F238E27FC236}">
              <a16:creationId xmlns:a16="http://schemas.microsoft.com/office/drawing/2014/main" id="{1ECC0CF1-2FA2-4A99-AC64-A7F4D064483E}"/>
            </a:ext>
          </a:extLst>
        </xdr:cNvPr>
        <xdr:cNvGrpSpPr/>
      </xdr:nvGrpSpPr>
      <xdr:grpSpPr>
        <a:xfrm>
          <a:off x="3375660" y="8665846"/>
          <a:ext cx="158386" cy="141173"/>
          <a:chOff x="9937028" y="802652"/>
          <a:chExt cx="83991" cy="77961"/>
        </a:xfrm>
      </xdr:grpSpPr>
      <xdr:sp macro="" textlink="">
        <xdr:nvSpPr>
          <xdr:cNvPr id="130" name="Oval 1">
            <a:extLst>
              <a:ext uri="{FF2B5EF4-FFF2-40B4-BE49-F238E27FC236}">
                <a16:creationId xmlns:a16="http://schemas.microsoft.com/office/drawing/2014/main" id="{4D9B974B-3811-5E2B-F9AE-6DD9624B7BE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1" name="Straight Connector 3">
            <a:extLst>
              <a:ext uri="{FF2B5EF4-FFF2-40B4-BE49-F238E27FC236}">
                <a16:creationId xmlns:a16="http://schemas.microsoft.com/office/drawing/2014/main" id="{FF266E25-6765-FEAE-8137-6EA3EAA39B1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7">
            <a:extLst>
              <a:ext uri="{FF2B5EF4-FFF2-40B4-BE49-F238E27FC236}">
                <a16:creationId xmlns:a16="http://schemas.microsoft.com/office/drawing/2014/main" id="{7191331B-7574-AAED-FF63-3A4D91F6F9D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3" name="Group 13">
          <a:extLst>
            <a:ext uri="{FF2B5EF4-FFF2-40B4-BE49-F238E27FC236}">
              <a16:creationId xmlns:a16="http://schemas.microsoft.com/office/drawing/2014/main" id="{3A910F75-64C5-43B8-BF9B-157E064CE2BC}"/>
            </a:ext>
          </a:extLst>
        </xdr:cNvPr>
        <xdr:cNvGrpSpPr/>
      </xdr:nvGrpSpPr>
      <xdr:grpSpPr>
        <a:xfrm>
          <a:off x="3910965" y="8703944"/>
          <a:ext cx="157278" cy="141175"/>
          <a:chOff x="9937028" y="802652"/>
          <a:chExt cx="83991" cy="77961"/>
        </a:xfrm>
      </xdr:grpSpPr>
      <xdr:sp macro="" textlink="">
        <xdr:nvSpPr>
          <xdr:cNvPr id="134" name="Oval 1">
            <a:extLst>
              <a:ext uri="{FF2B5EF4-FFF2-40B4-BE49-F238E27FC236}">
                <a16:creationId xmlns:a16="http://schemas.microsoft.com/office/drawing/2014/main" id="{87EF7BDE-B598-88CC-A148-966083304C9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5" name="Straight Connector 3">
            <a:extLst>
              <a:ext uri="{FF2B5EF4-FFF2-40B4-BE49-F238E27FC236}">
                <a16:creationId xmlns:a16="http://schemas.microsoft.com/office/drawing/2014/main" id="{5C3D889A-7F35-2C04-D8A5-2DB3917D3B0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7">
            <a:extLst>
              <a:ext uri="{FF2B5EF4-FFF2-40B4-BE49-F238E27FC236}">
                <a16:creationId xmlns:a16="http://schemas.microsoft.com/office/drawing/2014/main" id="{78753FCF-8DDE-663D-77BF-BA799ED0D68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120015</xdr:colOff>
      <xdr:row>55</xdr:row>
      <xdr:rowOff>131445</xdr:rowOff>
    </xdr:from>
    <xdr:to>
      <xdr:col>12</xdr:col>
      <xdr:colOff>264567</xdr:colOff>
      <xdr:row>56</xdr:row>
      <xdr:rowOff>127878</xdr:rowOff>
    </xdr:to>
    <xdr:grpSp>
      <xdr:nvGrpSpPr>
        <xdr:cNvPr id="137" name="Group 13">
          <a:extLst>
            <a:ext uri="{FF2B5EF4-FFF2-40B4-BE49-F238E27FC236}">
              <a16:creationId xmlns:a16="http://schemas.microsoft.com/office/drawing/2014/main" id="{632EF4D8-36CE-4F2A-9DCA-CD352632BC0A}"/>
            </a:ext>
          </a:extLst>
        </xdr:cNvPr>
        <xdr:cNvGrpSpPr/>
      </xdr:nvGrpSpPr>
      <xdr:grpSpPr>
        <a:xfrm>
          <a:off x="4234815" y="8665845"/>
          <a:ext cx="144552" cy="148833"/>
          <a:chOff x="9937028" y="802652"/>
          <a:chExt cx="83991" cy="77961"/>
        </a:xfrm>
      </xdr:grpSpPr>
      <xdr:sp macro="" textlink="">
        <xdr:nvSpPr>
          <xdr:cNvPr id="138" name="Oval 1">
            <a:extLst>
              <a:ext uri="{FF2B5EF4-FFF2-40B4-BE49-F238E27FC236}">
                <a16:creationId xmlns:a16="http://schemas.microsoft.com/office/drawing/2014/main" id="{C9D4AFD8-2E54-E2BD-7A33-374E42578E7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9" name="Straight Connector 3">
            <a:extLst>
              <a:ext uri="{FF2B5EF4-FFF2-40B4-BE49-F238E27FC236}">
                <a16:creationId xmlns:a16="http://schemas.microsoft.com/office/drawing/2014/main" id="{2EF34B5F-D0D7-E61F-4B74-37B9D75B284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7">
            <a:extLst>
              <a:ext uri="{FF2B5EF4-FFF2-40B4-BE49-F238E27FC236}">
                <a16:creationId xmlns:a16="http://schemas.microsoft.com/office/drawing/2014/main" id="{257DE896-6992-9759-690B-F62616C776F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1" name="Group 13">
          <a:extLst>
            <a:ext uri="{FF2B5EF4-FFF2-40B4-BE49-F238E27FC236}">
              <a16:creationId xmlns:a16="http://schemas.microsoft.com/office/drawing/2014/main" id="{263A284E-C7EF-45C0-A96E-C5C715A02571}"/>
            </a:ext>
          </a:extLst>
        </xdr:cNvPr>
        <xdr:cNvGrpSpPr/>
      </xdr:nvGrpSpPr>
      <xdr:grpSpPr>
        <a:xfrm>
          <a:off x="4758690" y="8698229"/>
          <a:ext cx="125502" cy="141618"/>
          <a:chOff x="9937028" y="802652"/>
          <a:chExt cx="83991" cy="77961"/>
        </a:xfrm>
      </xdr:grpSpPr>
      <xdr:sp macro="" textlink="">
        <xdr:nvSpPr>
          <xdr:cNvPr id="142" name="Oval 1">
            <a:extLst>
              <a:ext uri="{FF2B5EF4-FFF2-40B4-BE49-F238E27FC236}">
                <a16:creationId xmlns:a16="http://schemas.microsoft.com/office/drawing/2014/main" id="{E240AB38-FB17-403C-4466-8B8A611BBE6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3" name="Straight Connector 3">
            <a:extLst>
              <a:ext uri="{FF2B5EF4-FFF2-40B4-BE49-F238E27FC236}">
                <a16:creationId xmlns:a16="http://schemas.microsoft.com/office/drawing/2014/main" id="{0CE934D4-E641-F027-E412-4390634B53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7">
            <a:extLst>
              <a:ext uri="{FF2B5EF4-FFF2-40B4-BE49-F238E27FC236}">
                <a16:creationId xmlns:a16="http://schemas.microsoft.com/office/drawing/2014/main" id="{4139CBD3-F9E4-13A4-AAC1-21EE99E2B3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5" name="Straight Connector 139">
          <a:extLst>
            <a:ext uri="{FF2B5EF4-FFF2-40B4-BE49-F238E27FC236}">
              <a16:creationId xmlns:a16="http://schemas.microsoft.com/office/drawing/2014/main" id="{6A6C7CAD-3E1F-428E-A269-7BCD5D025E52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6" name="Group 13">
          <a:extLst>
            <a:ext uri="{FF2B5EF4-FFF2-40B4-BE49-F238E27FC236}">
              <a16:creationId xmlns:a16="http://schemas.microsoft.com/office/drawing/2014/main" id="{8656652D-7EDA-4480-B7D3-A8F35A14BED5}"/>
            </a:ext>
          </a:extLst>
        </xdr:cNvPr>
        <xdr:cNvGrpSpPr/>
      </xdr:nvGrpSpPr>
      <xdr:grpSpPr>
        <a:xfrm>
          <a:off x="5236845" y="8660130"/>
          <a:ext cx="125502" cy="148834"/>
          <a:chOff x="9937028" y="802652"/>
          <a:chExt cx="83991" cy="77961"/>
        </a:xfrm>
      </xdr:grpSpPr>
      <xdr:sp macro="" textlink="">
        <xdr:nvSpPr>
          <xdr:cNvPr id="147" name="Oval 1">
            <a:extLst>
              <a:ext uri="{FF2B5EF4-FFF2-40B4-BE49-F238E27FC236}">
                <a16:creationId xmlns:a16="http://schemas.microsoft.com/office/drawing/2014/main" id="{9199E86D-4FBA-00E2-B6A9-166AD64AF35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8" name="Straight Connector 3">
            <a:extLst>
              <a:ext uri="{FF2B5EF4-FFF2-40B4-BE49-F238E27FC236}">
                <a16:creationId xmlns:a16="http://schemas.microsoft.com/office/drawing/2014/main" id="{7C51D982-6205-A973-F767-F61F7F0DDCF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7">
            <a:extLst>
              <a:ext uri="{FF2B5EF4-FFF2-40B4-BE49-F238E27FC236}">
                <a16:creationId xmlns:a16="http://schemas.microsoft.com/office/drawing/2014/main" id="{7D57770E-187B-4B12-ACB9-6C2B4A5E509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0" name="Group 13">
          <a:extLst>
            <a:ext uri="{FF2B5EF4-FFF2-40B4-BE49-F238E27FC236}">
              <a16:creationId xmlns:a16="http://schemas.microsoft.com/office/drawing/2014/main" id="{2F9D20A3-C15A-45ED-A549-3B0F087404E7}"/>
            </a:ext>
          </a:extLst>
        </xdr:cNvPr>
        <xdr:cNvGrpSpPr/>
      </xdr:nvGrpSpPr>
      <xdr:grpSpPr>
        <a:xfrm>
          <a:off x="5747385" y="8721090"/>
          <a:ext cx="144423" cy="154928"/>
          <a:chOff x="9937028" y="802652"/>
          <a:chExt cx="83991" cy="77961"/>
        </a:xfrm>
      </xdr:grpSpPr>
      <xdr:sp macro="" textlink="">
        <xdr:nvSpPr>
          <xdr:cNvPr id="151" name="Oval 1">
            <a:extLst>
              <a:ext uri="{FF2B5EF4-FFF2-40B4-BE49-F238E27FC236}">
                <a16:creationId xmlns:a16="http://schemas.microsoft.com/office/drawing/2014/main" id="{0321E246-7BDD-0BAB-FF49-210688E1727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2" name="Straight Connector 3">
            <a:extLst>
              <a:ext uri="{FF2B5EF4-FFF2-40B4-BE49-F238E27FC236}">
                <a16:creationId xmlns:a16="http://schemas.microsoft.com/office/drawing/2014/main" id="{DB57DFFF-034D-DF14-2C4D-E6B547E704E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7">
            <a:extLst>
              <a:ext uri="{FF2B5EF4-FFF2-40B4-BE49-F238E27FC236}">
                <a16:creationId xmlns:a16="http://schemas.microsoft.com/office/drawing/2014/main" id="{3C30FA85-A515-60AA-A65E-271CE855E13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4" name="Straight Arrow Connector 166">
          <a:extLst>
            <a:ext uri="{FF2B5EF4-FFF2-40B4-BE49-F238E27FC236}">
              <a16:creationId xmlns:a16="http://schemas.microsoft.com/office/drawing/2014/main" id="{E305D9A8-AF90-412C-AA6C-413BFAED756A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5" name="TextBox 161">
          <a:extLst>
            <a:ext uri="{FF2B5EF4-FFF2-40B4-BE49-F238E27FC236}">
              <a16:creationId xmlns:a16="http://schemas.microsoft.com/office/drawing/2014/main" id="{738F9AF4-C3C6-4623-9EF8-14961AFC40DC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5E64DC8C-6478-4059-A1A6-0D0EECBF5803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7" name="Straight Connector 148">
          <a:extLst>
            <a:ext uri="{FF2B5EF4-FFF2-40B4-BE49-F238E27FC236}">
              <a16:creationId xmlns:a16="http://schemas.microsoft.com/office/drawing/2014/main" id="{3A2AC0BE-8481-4AF5-9D89-F0482300796A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58" name="TextBox 160">
          <a:extLst>
            <a:ext uri="{FF2B5EF4-FFF2-40B4-BE49-F238E27FC236}">
              <a16:creationId xmlns:a16="http://schemas.microsoft.com/office/drawing/2014/main" id="{6E540272-9A75-4C5B-84B6-6B68A22CF60C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59" name="Group 134">
          <a:extLst>
            <a:ext uri="{FF2B5EF4-FFF2-40B4-BE49-F238E27FC236}">
              <a16:creationId xmlns:a16="http://schemas.microsoft.com/office/drawing/2014/main" id="{EDF745E4-4229-4BE6-8200-4917F5D5D1A4}"/>
            </a:ext>
          </a:extLst>
        </xdr:cNvPr>
        <xdr:cNvGrpSpPr/>
      </xdr:nvGrpSpPr>
      <xdr:grpSpPr>
        <a:xfrm>
          <a:off x="2426970" y="8631555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0" name="Isosceles Triangle 118">
            <a:extLst>
              <a:ext uri="{FF2B5EF4-FFF2-40B4-BE49-F238E27FC236}">
                <a16:creationId xmlns:a16="http://schemas.microsoft.com/office/drawing/2014/main" id="{9535C3BC-AF3A-F7A5-B8F2-5D3AA5F1487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1" name="Isosceles Triangle 119">
            <a:extLst>
              <a:ext uri="{FF2B5EF4-FFF2-40B4-BE49-F238E27FC236}">
                <a16:creationId xmlns:a16="http://schemas.microsoft.com/office/drawing/2014/main" id="{62E785F0-538E-7168-E805-E0D80EBB8EA5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2" name="Isosceles Triangle 120">
            <a:extLst>
              <a:ext uri="{FF2B5EF4-FFF2-40B4-BE49-F238E27FC236}">
                <a16:creationId xmlns:a16="http://schemas.microsoft.com/office/drawing/2014/main" id="{8984CD64-3F79-40C4-1A89-81FBC2AB886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3" name="Isosceles Triangle 120">
          <a:extLst>
            <a:ext uri="{FF2B5EF4-FFF2-40B4-BE49-F238E27FC236}">
              <a16:creationId xmlns:a16="http://schemas.microsoft.com/office/drawing/2014/main" id="{152C29BA-203B-49C7-ADD8-8B3A25B114F5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4" name="Group 134">
          <a:extLst>
            <a:ext uri="{FF2B5EF4-FFF2-40B4-BE49-F238E27FC236}">
              <a16:creationId xmlns:a16="http://schemas.microsoft.com/office/drawing/2014/main" id="{4BAB8E8B-2E72-47ED-A1AB-B0B26C71B975}"/>
            </a:ext>
          </a:extLst>
        </xdr:cNvPr>
        <xdr:cNvGrpSpPr/>
      </xdr:nvGrpSpPr>
      <xdr:grpSpPr>
        <a:xfrm>
          <a:off x="1948815" y="88620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5" name="Isosceles Triangle 118">
            <a:extLst>
              <a:ext uri="{FF2B5EF4-FFF2-40B4-BE49-F238E27FC236}">
                <a16:creationId xmlns:a16="http://schemas.microsoft.com/office/drawing/2014/main" id="{ADB07861-C201-F066-198C-7504C75EC4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6" name="Isosceles Triangle 119">
            <a:extLst>
              <a:ext uri="{FF2B5EF4-FFF2-40B4-BE49-F238E27FC236}">
                <a16:creationId xmlns:a16="http://schemas.microsoft.com/office/drawing/2014/main" id="{B8FCBA59-5439-30DA-1072-18B19BB7F642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7" name="Isosceles Triangle 120">
            <a:extLst>
              <a:ext uri="{FF2B5EF4-FFF2-40B4-BE49-F238E27FC236}">
                <a16:creationId xmlns:a16="http://schemas.microsoft.com/office/drawing/2014/main" id="{FE07599B-22F2-E04A-4019-A1C4E61AB46D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68" name="Isosceles Triangle 120">
          <a:extLst>
            <a:ext uri="{FF2B5EF4-FFF2-40B4-BE49-F238E27FC236}">
              <a16:creationId xmlns:a16="http://schemas.microsoft.com/office/drawing/2014/main" id="{40642C2F-BD46-4451-BD07-19F4A0C8E82A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9" name="Group 73">
          <a:extLst>
            <a:ext uri="{FF2B5EF4-FFF2-40B4-BE49-F238E27FC236}">
              <a16:creationId xmlns:a16="http://schemas.microsoft.com/office/drawing/2014/main" id="{3DCFF101-CA69-4A91-B752-883D3E5C0DB3}"/>
            </a:ext>
          </a:extLst>
        </xdr:cNvPr>
        <xdr:cNvGrpSpPr/>
      </xdr:nvGrpSpPr>
      <xdr:grpSpPr>
        <a:xfrm rot="21429191">
          <a:off x="7494270" y="8970646"/>
          <a:ext cx="83822" cy="82871"/>
          <a:chOff x="12175074" y="2285812"/>
          <a:chExt cx="107252" cy="65186"/>
        </a:xfrm>
      </xdr:grpSpPr>
      <xdr:cxnSp macro="">
        <xdr:nvCxnSpPr>
          <xdr:cNvPr id="170" name="Straight Connector 74">
            <a:extLst>
              <a:ext uri="{FF2B5EF4-FFF2-40B4-BE49-F238E27FC236}">
                <a16:creationId xmlns:a16="http://schemas.microsoft.com/office/drawing/2014/main" id="{1EFFDF3B-4100-BF80-566A-E3ED5FEEB1BE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75">
            <a:extLst>
              <a:ext uri="{FF2B5EF4-FFF2-40B4-BE49-F238E27FC236}">
                <a16:creationId xmlns:a16="http://schemas.microsoft.com/office/drawing/2014/main" id="{34766E65-495D-274C-93A8-E54C83B05ADE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76">
            <a:extLst>
              <a:ext uri="{FF2B5EF4-FFF2-40B4-BE49-F238E27FC236}">
                <a16:creationId xmlns:a16="http://schemas.microsoft.com/office/drawing/2014/main" id="{3C67ED18-A2CD-E55A-8D7E-D352655A7768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3" name="Grup 239">
          <a:extLst>
            <a:ext uri="{FF2B5EF4-FFF2-40B4-BE49-F238E27FC236}">
              <a16:creationId xmlns:a16="http://schemas.microsoft.com/office/drawing/2014/main" id="{84C0F641-75DB-4ADB-8A5A-6FAE1A236F77}"/>
            </a:ext>
          </a:extLst>
        </xdr:cNvPr>
        <xdr:cNvGrpSpPr/>
      </xdr:nvGrpSpPr>
      <xdr:grpSpPr>
        <a:xfrm>
          <a:off x="7715250" y="8973503"/>
          <a:ext cx="139135" cy="66758"/>
          <a:chOff x="13302191" y="2320613"/>
          <a:chExt cx="139135" cy="57233"/>
        </a:xfrm>
      </xdr:grpSpPr>
      <xdr:cxnSp macro="">
        <xdr:nvCxnSpPr>
          <xdr:cNvPr id="174" name="Straight Connector 81">
            <a:extLst>
              <a:ext uri="{FF2B5EF4-FFF2-40B4-BE49-F238E27FC236}">
                <a16:creationId xmlns:a16="http://schemas.microsoft.com/office/drawing/2014/main" id="{49CE05FA-16B1-7120-B709-40BF469F49B4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82">
            <a:extLst>
              <a:ext uri="{FF2B5EF4-FFF2-40B4-BE49-F238E27FC236}">
                <a16:creationId xmlns:a16="http://schemas.microsoft.com/office/drawing/2014/main" id="{AFABD9B4-675B-73AB-AE93-ED985A27F408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83">
            <a:extLst>
              <a:ext uri="{FF2B5EF4-FFF2-40B4-BE49-F238E27FC236}">
                <a16:creationId xmlns:a16="http://schemas.microsoft.com/office/drawing/2014/main" id="{5C59AF92-7C93-D684-FD4E-93A7D07189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4">
            <a:extLst>
              <a:ext uri="{FF2B5EF4-FFF2-40B4-BE49-F238E27FC236}">
                <a16:creationId xmlns:a16="http://schemas.microsoft.com/office/drawing/2014/main" id="{9F83C291-5D79-B463-0CFA-8063E22DC85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78" name="Grup 244">
          <a:extLst>
            <a:ext uri="{FF2B5EF4-FFF2-40B4-BE49-F238E27FC236}">
              <a16:creationId xmlns:a16="http://schemas.microsoft.com/office/drawing/2014/main" id="{F2BBC67E-F5D4-4E8B-969F-DEA85BFE776F}"/>
            </a:ext>
          </a:extLst>
        </xdr:cNvPr>
        <xdr:cNvGrpSpPr/>
      </xdr:nvGrpSpPr>
      <xdr:grpSpPr>
        <a:xfrm>
          <a:off x="7928610" y="8958262"/>
          <a:ext cx="139135" cy="66758"/>
          <a:chOff x="13302191" y="2320613"/>
          <a:chExt cx="139135" cy="57233"/>
        </a:xfrm>
      </xdr:grpSpPr>
      <xdr:cxnSp macro="">
        <xdr:nvCxnSpPr>
          <xdr:cNvPr id="179" name="Straight Connector 81">
            <a:extLst>
              <a:ext uri="{FF2B5EF4-FFF2-40B4-BE49-F238E27FC236}">
                <a16:creationId xmlns:a16="http://schemas.microsoft.com/office/drawing/2014/main" id="{24B15465-2ABB-5FE0-97B0-A943F61ABBE1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2">
            <a:extLst>
              <a:ext uri="{FF2B5EF4-FFF2-40B4-BE49-F238E27FC236}">
                <a16:creationId xmlns:a16="http://schemas.microsoft.com/office/drawing/2014/main" id="{7B7847B2-388B-D3BF-5765-2AB6B3CC9DF8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Connector 83">
            <a:extLst>
              <a:ext uri="{FF2B5EF4-FFF2-40B4-BE49-F238E27FC236}">
                <a16:creationId xmlns:a16="http://schemas.microsoft.com/office/drawing/2014/main" id="{1630FAD5-B223-6127-DC2F-783CA0F0579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4">
            <a:extLst>
              <a:ext uri="{FF2B5EF4-FFF2-40B4-BE49-F238E27FC236}">
                <a16:creationId xmlns:a16="http://schemas.microsoft.com/office/drawing/2014/main" id="{4B4A24B3-B36F-9C69-7F33-0F7F67B70883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47625</xdr:colOff>
      <xdr:row>31</xdr:row>
      <xdr:rowOff>9524</xdr:rowOff>
    </xdr:from>
    <xdr:to>
      <xdr:col>14</xdr:col>
      <xdr:colOff>221091</xdr:colOff>
      <xdr:row>31</xdr:row>
      <xdr:rowOff>140057</xdr:rowOff>
    </xdr:to>
    <xdr:sp macro="" textlink="">
      <xdr:nvSpPr>
        <xdr:cNvPr id="183" name="TextBox 115">
          <a:extLst>
            <a:ext uri="{FF2B5EF4-FFF2-40B4-BE49-F238E27FC236}">
              <a16:creationId xmlns:a16="http://schemas.microsoft.com/office/drawing/2014/main" id="{473413CA-48CE-477E-847F-DAD2969A1815}"/>
            </a:ext>
          </a:extLst>
        </xdr:cNvPr>
        <xdr:cNvSpPr txBox="1"/>
      </xdr:nvSpPr>
      <xdr:spPr>
        <a:xfrm>
          <a:off x="1495425" y="4752974"/>
          <a:ext cx="3602466" cy="13053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11</xdr:col>
      <xdr:colOff>78105</xdr:colOff>
      <xdr:row>29</xdr:row>
      <xdr:rowOff>110490</xdr:rowOff>
    </xdr:from>
    <xdr:to>
      <xdr:col>11</xdr:col>
      <xdr:colOff>225112</xdr:colOff>
      <xdr:row>30</xdr:row>
      <xdr:rowOff>108788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D6C35661-BBC2-498E-994E-54290D8C5880}"/>
            </a:ext>
          </a:extLst>
        </xdr:cNvPr>
        <xdr:cNvGrpSpPr/>
      </xdr:nvGrpSpPr>
      <xdr:grpSpPr>
        <a:xfrm rot="1446121">
          <a:off x="3811905" y="4558665"/>
          <a:ext cx="147007" cy="141173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5AB3D4A-2F2C-1F13-5C90-73CDDF4CF15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F22E471B-59E3-A2A8-22E2-457B64457D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7638193C-8169-ECD4-A3B6-C94D59341AF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95250</xdr:colOff>
      <xdr:row>20</xdr:row>
      <xdr:rowOff>75872</xdr:rowOff>
    </xdr:from>
    <xdr:to>
      <xdr:col>6</xdr:col>
      <xdr:colOff>129504</xdr:colOff>
      <xdr:row>30</xdr:row>
      <xdr:rowOff>85725</xdr:rowOff>
    </xdr:to>
    <xdr:cxnSp macro="">
      <xdr:nvCxnSpPr>
        <xdr:cNvPr id="220" name="Straight Connector 139">
          <a:extLst>
            <a:ext uri="{FF2B5EF4-FFF2-40B4-BE49-F238E27FC236}">
              <a16:creationId xmlns:a16="http://schemas.microsoft.com/office/drawing/2014/main" id="{BB7BA528-BC23-4990-AFC7-2AA11B348E1A}"/>
            </a:ext>
          </a:extLst>
        </xdr:cNvPr>
        <xdr:cNvCxnSpPr>
          <a:cxnSpLocks/>
        </xdr:cNvCxnSpPr>
      </xdr:nvCxnSpPr>
      <xdr:spPr bwMode="auto">
        <a:xfrm flipH="1">
          <a:off x="1924050" y="3152447"/>
          <a:ext cx="34254" cy="152432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247650</xdr:colOff>
      <xdr:row>22</xdr:row>
      <xdr:rowOff>19050</xdr:rowOff>
    </xdr:from>
    <xdr:to>
      <xdr:col>13</xdr:col>
      <xdr:colOff>266700</xdr:colOff>
      <xdr:row>38</xdr:row>
      <xdr:rowOff>19050</xdr:rowOff>
    </xdr:to>
    <xdr:cxnSp macro="">
      <xdr:nvCxnSpPr>
        <xdr:cNvPr id="224" name="Straight Connector 139">
          <a:extLst>
            <a:ext uri="{FF2B5EF4-FFF2-40B4-BE49-F238E27FC236}">
              <a16:creationId xmlns:a16="http://schemas.microsoft.com/office/drawing/2014/main" id="{B19324F9-26A3-4FF9-9E1B-CC399AEB5C3B}"/>
            </a:ext>
          </a:extLst>
        </xdr:cNvPr>
        <xdr:cNvCxnSpPr>
          <a:cxnSpLocks/>
        </xdr:cNvCxnSpPr>
      </xdr:nvCxnSpPr>
      <xdr:spPr bwMode="auto">
        <a:xfrm flipH="1">
          <a:off x="4743450" y="3400425"/>
          <a:ext cx="19050" cy="24479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27</xdr:row>
      <xdr:rowOff>114300</xdr:rowOff>
    </xdr:from>
    <xdr:to>
      <xdr:col>13</xdr:col>
      <xdr:colOff>161925</xdr:colOff>
      <xdr:row>29</xdr:row>
      <xdr:rowOff>9525</xdr:rowOff>
    </xdr:to>
    <xdr:sp macro="" textlink="">
      <xdr:nvSpPr>
        <xdr:cNvPr id="226" name="TextBox 161">
          <a:extLst>
            <a:ext uri="{FF2B5EF4-FFF2-40B4-BE49-F238E27FC236}">
              <a16:creationId xmlns:a16="http://schemas.microsoft.com/office/drawing/2014/main" id="{6BC6E16F-8522-4856-9A43-125A51760828}"/>
            </a:ext>
          </a:extLst>
        </xdr:cNvPr>
        <xdr:cNvSpPr txBox="1"/>
      </xdr:nvSpPr>
      <xdr:spPr>
        <a:xfrm>
          <a:off x="4114800" y="4257675"/>
          <a:ext cx="542925" cy="20002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100 KVA</a:t>
          </a:r>
        </a:p>
      </xdr:txBody>
    </xdr:sp>
    <xdr:clientData/>
  </xdr:twoCellAnchor>
  <xdr:twoCellAnchor>
    <xdr:from>
      <xdr:col>3</xdr:col>
      <xdr:colOff>333113</xdr:colOff>
      <xdr:row>19</xdr:row>
      <xdr:rowOff>131158</xdr:rowOff>
    </xdr:from>
    <xdr:to>
      <xdr:col>4</xdr:col>
      <xdr:colOff>314325</xdr:colOff>
      <xdr:row>24</xdr:row>
      <xdr:rowOff>95250</xdr:rowOff>
    </xdr:to>
    <xdr:sp macro="" textlink="">
      <xdr:nvSpPr>
        <xdr:cNvPr id="245" name="Rectangle 244">
          <a:extLst>
            <a:ext uri="{FF2B5EF4-FFF2-40B4-BE49-F238E27FC236}">
              <a16:creationId xmlns:a16="http://schemas.microsoft.com/office/drawing/2014/main" id="{A7A23BA4-9095-4135-9903-C9024DB1F4EC}"/>
            </a:ext>
          </a:extLst>
        </xdr:cNvPr>
        <xdr:cNvSpPr/>
      </xdr:nvSpPr>
      <xdr:spPr>
        <a:xfrm rot="16200000">
          <a:off x="836973" y="3237273"/>
          <a:ext cx="726092" cy="36221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14</xdr:col>
      <xdr:colOff>51856</xdr:colOff>
      <xdr:row>18</xdr:row>
      <xdr:rowOff>2</xdr:rowOff>
    </xdr:from>
    <xdr:to>
      <xdr:col>14</xdr:col>
      <xdr:colOff>228599</xdr:colOff>
      <xdr:row>40</xdr:row>
      <xdr:rowOff>123824</xdr:rowOff>
    </xdr:to>
    <xdr:sp macro="" textlink="">
      <xdr:nvSpPr>
        <xdr:cNvPr id="247" name="TextBox 115">
          <a:extLst>
            <a:ext uri="{FF2B5EF4-FFF2-40B4-BE49-F238E27FC236}">
              <a16:creationId xmlns:a16="http://schemas.microsoft.com/office/drawing/2014/main" id="{7DF44940-B075-4760-B219-9280AA196E7F}"/>
            </a:ext>
          </a:extLst>
        </xdr:cNvPr>
        <xdr:cNvSpPr txBox="1"/>
      </xdr:nvSpPr>
      <xdr:spPr>
        <a:xfrm rot="5400000">
          <a:off x="3273954" y="4426479"/>
          <a:ext cx="3486147" cy="17674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13</xdr:col>
      <xdr:colOff>190498</xdr:colOff>
      <xdr:row>35</xdr:row>
      <xdr:rowOff>47623</xdr:rowOff>
    </xdr:from>
    <xdr:to>
      <xdr:col>13</xdr:col>
      <xdr:colOff>337505</xdr:colOff>
      <xdr:row>36</xdr:row>
      <xdr:rowOff>36396</xdr:rowOff>
    </xdr:to>
    <xdr:grpSp>
      <xdr:nvGrpSpPr>
        <xdr:cNvPr id="249" name="Group 13">
          <a:extLst>
            <a:ext uri="{FF2B5EF4-FFF2-40B4-BE49-F238E27FC236}">
              <a16:creationId xmlns:a16="http://schemas.microsoft.com/office/drawing/2014/main" id="{F32B93E5-DB48-4358-9CC5-76272BF60434}"/>
            </a:ext>
          </a:extLst>
        </xdr:cNvPr>
        <xdr:cNvGrpSpPr/>
      </xdr:nvGrpSpPr>
      <xdr:grpSpPr>
        <a:xfrm rot="1446121">
          <a:off x="4686298" y="5400673"/>
          <a:ext cx="147007" cy="141173"/>
          <a:chOff x="9937028" y="802652"/>
          <a:chExt cx="83991" cy="77961"/>
        </a:xfrm>
      </xdr:grpSpPr>
      <xdr:sp macro="" textlink="">
        <xdr:nvSpPr>
          <xdr:cNvPr id="250" name="Oval 1">
            <a:extLst>
              <a:ext uri="{FF2B5EF4-FFF2-40B4-BE49-F238E27FC236}">
                <a16:creationId xmlns:a16="http://schemas.microsoft.com/office/drawing/2014/main" id="{09C19AD9-176B-D235-7572-99D8E1774A4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1" name="Straight Connector 3">
            <a:extLst>
              <a:ext uri="{FF2B5EF4-FFF2-40B4-BE49-F238E27FC236}">
                <a16:creationId xmlns:a16="http://schemas.microsoft.com/office/drawing/2014/main" id="{C3F8A3BB-D05E-CB6A-1012-9C2A4256EF6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7">
            <a:extLst>
              <a:ext uri="{FF2B5EF4-FFF2-40B4-BE49-F238E27FC236}">
                <a16:creationId xmlns:a16="http://schemas.microsoft.com/office/drawing/2014/main" id="{77ED0FB9-9CC7-C4CA-EDD6-C110B224083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209412</xdr:colOff>
      <xdr:row>20</xdr:row>
      <xdr:rowOff>135888</xdr:rowOff>
    </xdr:from>
    <xdr:to>
      <xdr:col>4</xdr:col>
      <xdr:colOff>323202</xdr:colOff>
      <xdr:row>21</xdr:row>
      <xdr:rowOff>107974</xdr:rowOff>
    </xdr:to>
    <xdr:sp macro="" textlink="">
      <xdr:nvSpPr>
        <xdr:cNvPr id="276" name="Rectangle 275">
          <a:extLst>
            <a:ext uri="{FF2B5EF4-FFF2-40B4-BE49-F238E27FC236}">
              <a16:creationId xmlns:a16="http://schemas.microsoft.com/office/drawing/2014/main" id="{53BD06A6-1819-4C11-A7AB-854A57AA9A3A}"/>
            </a:ext>
          </a:extLst>
        </xdr:cNvPr>
        <xdr:cNvSpPr/>
      </xdr:nvSpPr>
      <xdr:spPr>
        <a:xfrm>
          <a:off x="1276212" y="3212463"/>
          <a:ext cx="113790" cy="124486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6</xdr:col>
      <xdr:colOff>207104</xdr:colOff>
      <xdr:row>29</xdr:row>
      <xdr:rowOff>110929</xdr:rowOff>
    </xdr:from>
    <xdr:to>
      <xdr:col>13</xdr:col>
      <xdr:colOff>238125</xdr:colOff>
      <xdr:row>29</xdr:row>
      <xdr:rowOff>114300</xdr:rowOff>
    </xdr:to>
    <xdr:cxnSp macro="">
      <xdr:nvCxnSpPr>
        <xdr:cNvPr id="279" name="Straight Connector 278">
          <a:extLst>
            <a:ext uri="{FF2B5EF4-FFF2-40B4-BE49-F238E27FC236}">
              <a16:creationId xmlns:a16="http://schemas.microsoft.com/office/drawing/2014/main" id="{5D57660B-4D0B-4024-A606-EC5535ACE156}"/>
            </a:ext>
          </a:extLst>
        </xdr:cNvPr>
        <xdr:cNvCxnSpPr>
          <a:cxnSpLocks/>
          <a:endCxn id="192" idx="0"/>
        </xdr:cNvCxnSpPr>
      </xdr:nvCxnSpPr>
      <xdr:spPr bwMode="auto">
        <a:xfrm flipH="1" flipV="1">
          <a:off x="2035904" y="4559104"/>
          <a:ext cx="2698021" cy="337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361950</xdr:colOff>
      <xdr:row>28</xdr:row>
      <xdr:rowOff>123825</xdr:rowOff>
    </xdr:from>
    <xdr:to>
      <xdr:col>13</xdr:col>
      <xdr:colOff>231003</xdr:colOff>
      <xdr:row>29</xdr:row>
      <xdr:rowOff>56616</xdr:rowOff>
    </xdr:to>
    <xdr:grpSp>
      <xdr:nvGrpSpPr>
        <xdr:cNvPr id="314" name="Group 134">
          <a:extLst>
            <a:ext uri="{FF2B5EF4-FFF2-40B4-BE49-F238E27FC236}">
              <a16:creationId xmlns:a16="http://schemas.microsoft.com/office/drawing/2014/main" id="{7F8C532E-D0C7-48B1-934D-EE72A770339F}"/>
            </a:ext>
          </a:extLst>
        </xdr:cNvPr>
        <xdr:cNvGrpSpPr/>
      </xdr:nvGrpSpPr>
      <xdr:grpSpPr>
        <a:xfrm>
          <a:off x="4476750" y="4419600"/>
          <a:ext cx="250053" cy="8519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315" name="Isosceles Triangle 118">
            <a:extLst>
              <a:ext uri="{FF2B5EF4-FFF2-40B4-BE49-F238E27FC236}">
                <a16:creationId xmlns:a16="http://schemas.microsoft.com/office/drawing/2014/main" id="{BDC8FA97-3114-4502-7DF6-6C69E9F1B41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6" name="Isosceles Triangle 119">
            <a:extLst>
              <a:ext uri="{FF2B5EF4-FFF2-40B4-BE49-F238E27FC236}">
                <a16:creationId xmlns:a16="http://schemas.microsoft.com/office/drawing/2014/main" id="{C43B6D72-DF61-950C-76C2-CA0F4DD87BDC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7" name="Isosceles Triangle 120">
            <a:extLst>
              <a:ext uri="{FF2B5EF4-FFF2-40B4-BE49-F238E27FC236}">
                <a16:creationId xmlns:a16="http://schemas.microsoft.com/office/drawing/2014/main" id="{447A2378-0366-1E25-3A75-17285FD509B3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8</xdr:col>
      <xdr:colOff>304801</xdr:colOff>
      <xdr:row>29</xdr:row>
      <xdr:rowOff>104774</xdr:rowOff>
    </xdr:from>
    <xdr:to>
      <xdr:col>9</xdr:col>
      <xdr:colOff>70808</xdr:colOff>
      <xdr:row>30</xdr:row>
      <xdr:rowOff>103072</xdr:rowOff>
    </xdr:to>
    <xdr:grpSp>
      <xdr:nvGrpSpPr>
        <xdr:cNvPr id="318" name="Group 13">
          <a:extLst>
            <a:ext uri="{FF2B5EF4-FFF2-40B4-BE49-F238E27FC236}">
              <a16:creationId xmlns:a16="http://schemas.microsoft.com/office/drawing/2014/main" id="{F7E8B451-51A1-4669-BBBC-33424AD06EA2}"/>
            </a:ext>
          </a:extLst>
        </xdr:cNvPr>
        <xdr:cNvGrpSpPr/>
      </xdr:nvGrpSpPr>
      <xdr:grpSpPr>
        <a:xfrm rot="1446121">
          <a:off x="2895601" y="4552949"/>
          <a:ext cx="147007" cy="141173"/>
          <a:chOff x="9937028" y="802652"/>
          <a:chExt cx="83991" cy="77961"/>
        </a:xfrm>
      </xdr:grpSpPr>
      <xdr:sp macro="" textlink="">
        <xdr:nvSpPr>
          <xdr:cNvPr id="319" name="Oval 1">
            <a:extLst>
              <a:ext uri="{FF2B5EF4-FFF2-40B4-BE49-F238E27FC236}">
                <a16:creationId xmlns:a16="http://schemas.microsoft.com/office/drawing/2014/main" id="{8299EE7D-1E33-4016-05DF-9B04C3A739E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0" name="Straight Connector 3">
            <a:extLst>
              <a:ext uri="{FF2B5EF4-FFF2-40B4-BE49-F238E27FC236}">
                <a16:creationId xmlns:a16="http://schemas.microsoft.com/office/drawing/2014/main" id="{70068A18-2C98-8AA3-7308-4F1259A6162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1" name="Straight Connector 7">
            <a:extLst>
              <a:ext uri="{FF2B5EF4-FFF2-40B4-BE49-F238E27FC236}">
                <a16:creationId xmlns:a16="http://schemas.microsoft.com/office/drawing/2014/main" id="{9472DED5-0F49-8491-25A1-798894978CB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190500</xdr:colOff>
      <xdr:row>24</xdr:row>
      <xdr:rowOff>76200</xdr:rowOff>
    </xdr:from>
    <xdr:to>
      <xdr:col>13</xdr:col>
      <xdr:colOff>337507</xdr:colOff>
      <xdr:row>25</xdr:row>
      <xdr:rowOff>64973</xdr:rowOff>
    </xdr:to>
    <xdr:grpSp>
      <xdr:nvGrpSpPr>
        <xdr:cNvPr id="322" name="Group 13">
          <a:extLst>
            <a:ext uri="{FF2B5EF4-FFF2-40B4-BE49-F238E27FC236}">
              <a16:creationId xmlns:a16="http://schemas.microsoft.com/office/drawing/2014/main" id="{E1CA17B5-C394-464A-B493-1B67BC620074}"/>
            </a:ext>
          </a:extLst>
        </xdr:cNvPr>
        <xdr:cNvGrpSpPr/>
      </xdr:nvGrpSpPr>
      <xdr:grpSpPr>
        <a:xfrm rot="1446121">
          <a:off x="4686300" y="3762375"/>
          <a:ext cx="147007" cy="141173"/>
          <a:chOff x="9937028" y="802652"/>
          <a:chExt cx="83991" cy="77961"/>
        </a:xfrm>
      </xdr:grpSpPr>
      <xdr:sp macro="" textlink="">
        <xdr:nvSpPr>
          <xdr:cNvPr id="323" name="Oval 1">
            <a:extLst>
              <a:ext uri="{FF2B5EF4-FFF2-40B4-BE49-F238E27FC236}">
                <a16:creationId xmlns:a16="http://schemas.microsoft.com/office/drawing/2014/main" id="{03DBAF68-16B1-4E9E-F7D8-60F25BC1E9E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4" name="Straight Connector 3">
            <a:extLst>
              <a:ext uri="{FF2B5EF4-FFF2-40B4-BE49-F238E27FC236}">
                <a16:creationId xmlns:a16="http://schemas.microsoft.com/office/drawing/2014/main" id="{AAA7E2DE-823E-209D-7541-DBBFC6E9195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5" name="Straight Connector 7">
            <a:extLst>
              <a:ext uri="{FF2B5EF4-FFF2-40B4-BE49-F238E27FC236}">
                <a16:creationId xmlns:a16="http://schemas.microsoft.com/office/drawing/2014/main" id="{1D6BD90C-E737-79F7-0063-CEC7B1B9FF7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190501</xdr:colOff>
      <xdr:row>29</xdr:row>
      <xdr:rowOff>123827</xdr:rowOff>
    </xdr:from>
    <xdr:to>
      <xdr:col>13</xdr:col>
      <xdr:colOff>337508</xdr:colOff>
      <xdr:row>30</xdr:row>
      <xdr:rowOff>122125</xdr:rowOff>
    </xdr:to>
    <xdr:grpSp>
      <xdr:nvGrpSpPr>
        <xdr:cNvPr id="326" name="Group 13">
          <a:extLst>
            <a:ext uri="{FF2B5EF4-FFF2-40B4-BE49-F238E27FC236}">
              <a16:creationId xmlns:a16="http://schemas.microsoft.com/office/drawing/2014/main" id="{E3A2ECD1-9455-4E9A-BBA9-9BCB84C7D035}"/>
            </a:ext>
          </a:extLst>
        </xdr:cNvPr>
        <xdr:cNvGrpSpPr/>
      </xdr:nvGrpSpPr>
      <xdr:grpSpPr>
        <a:xfrm rot="1446121">
          <a:off x="4686301" y="4572002"/>
          <a:ext cx="147007" cy="141173"/>
          <a:chOff x="9937028" y="802652"/>
          <a:chExt cx="83991" cy="77961"/>
        </a:xfrm>
      </xdr:grpSpPr>
      <xdr:sp macro="" textlink="">
        <xdr:nvSpPr>
          <xdr:cNvPr id="327" name="Oval 1">
            <a:extLst>
              <a:ext uri="{FF2B5EF4-FFF2-40B4-BE49-F238E27FC236}">
                <a16:creationId xmlns:a16="http://schemas.microsoft.com/office/drawing/2014/main" id="{14432B47-2D8B-D5A1-5965-23A44E8B754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8" name="Straight Connector 3">
            <a:extLst>
              <a:ext uri="{FF2B5EF4-FFF2-40B4-BE49-F238E27FC236}">
                <a16:creationId xmlns:a16="http://schemas.microsoft.com/office/drawing/2014/main" id="{6F333932-7FBA-1946-5415-FFCABBF8E4F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9" name="Straight Connector 7">
            <a:extLst>
              <a:ext uri="{FF2B5EF4-FFF2-40B4-BE49-F238E27FC236}">
                <a16:creationId xmlns:a16="http://schemas.microsoft.com/office/drawing/2014/main" id="{F4F37714-4337-8587-B0F3-C2BED15D1FE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247650</xdr:colOff>
      <xdr:row>30</xdr:row>
      <xdr:rowOff>95250</xdr:rowOff>
    </xdr:from>
    <xdr:to>
      <xdr:col>13</xdr:col>
      <xdr:colOff>204170</xdr:colOff>
      <xdr:row>30</xdr:row>
      <xdr:rowOff>114300</xdr:rowOff>
    </xdr:to>
    <xdr:cxnSp macro="">
      <xdr:nvCxnSpPr>
        <xdr:cNvPr id="357" name="Straight Connector 356">
          <a:extLst>
            <a:ext uri="{FF2B5EF4-FFF2-40B4-BE49-F238E27FC236}">
              <a16:creationId xmlns:a16="http://schemas.microsoft.com/office/drawing/2014/main" id="{FE2DB51F-BD8D-466D-8B47-BCA349A786A1}"/>
            </a:ext>
          </a:extLst>
        </xdr:cNvPr>
        <xdr:cNvCxnSpPr>
          <a:cxnSpLocks/>
        </xdr:cNvCxnSpPr>
      </xdr:nvCxnSpPr>
      <xdr:spPr bwMode="auto">
        <a:xfrm flipH="1" flipV="1">
          <a:off x="1695450" y="4686300"/>
          <a:ext cx="3004520" cy="190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29</xdr:row>
      <xdr:rowOff>104775</xdr:rowOff>
    </xdr:from>
    <xdr:to>
      <xdr:col>6</xdr:col>
      <xdr:colOff>251782</xdr:colOff>
      <xdr:row>30</xdr:row>
      <xdr:rowOff>103073</xdr:rowOff>
    </xdr:to>
    <xdr:grpSp>
      <xdr:nvGrpSpPr>
        <xdr:cNvPr id="191" name="Group 13">
          <a:extLst>
            <a:ext uri="{FF2B5EF4-FFF2-40B4-BE49-F238E27FC236}">
              <a16:creationId xmlns:a16="http://schemas.microsoft.com/office/drawing/2014/main" id="{DAADA022-31E3-42CD-B4A3-EB1E5152CBEF}"/>
            </a:ext>
          </a:extLst>
        </xdr:cNvPr>
        <xdr:cNvGrpSpPr/>
      </xdr:nvGrpSpPr>
      <xdr:grpSpPr>
        <a:xfrm rot="1446121">
          <a:off x="1933575" y="4552950"/>
          <a:ext cx="147007" cy="141173"/>
          <a:chOff x="9937028" y="802652"/>
          <a:chExt cx="83991" cy="77961"/>
        </a:xfrm>
      </xdr:grpSpPr>
      <xdr:sp macro="" textlink="">
        <xdr:nvSpPr>
          <xdr:cNvPr id="192" name="Oval 1">
            <a:extLst>
              <a:ext uri="{FF2B5EF4-FFF2-40B4-BE49-F238E27FC236}">
                <a16:creationId xmlns:a16="http://schemas.microsoft.com/office/drawing/2014/main" id="{C7B73ED8-D760-824E-DFC3-2619BAFE6CC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7" name="Straight Connector 3">
            <a:extLst>
              <a:ext uri="{FF2B5EF4-FFF2-40B4-BE49-F238E27FC236}">
                <a16:creationId xmlns:a16="http://schemas.microsoft.com/office/drawing/2014/main" id="{FEC63C23-0CDB-90B1-7452-2BF8D2A76B2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7">
            <a:extLst>
              <a:ext uri="{FF2B5EF4-FFF2-40B4-BE49-F238E27FC236}">
                <a16:creationId xmlns:a16="http://schemas.microsoft.com/office/drawing/2014/main" id="{C64E828E-984E-4C18-AB68-62DC7B2186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104775</xdr:colOff>
      <xdr:row>25</xdr:row>
      <xdr:rowOff>133350</xdr:rowOff>
    </xdr:from>
    <xdr:to>
      <xdr:col>6</xdr:col>
      <xdr:colOff>251782</xdr:colOff>
      <xdr:row>26</xdr:row>
      <xdr:rowOff>122123</xdr:rowOff>
    </xdr:to>
    <xdr:grpSp>
      <xdr:nvGrpSpPr>
        <xdr:cNvPr id="207" name="Group 13">
          <a:extLst>
            <a:ext uri="{FF2B5EF4-FFF2-40B4-BE49-F238E27FC236}">
              <a16:creationId xmlns:a16="http://schemas.microsoft.com/office/drawing/2014/main" id="{3A18E83A-29CE-4442-9B38-638AF0D2AD50}"/>
            </a:ext>
          </a:extLst>
        </xdr:cNvPr>
        <xdr:cNvGrpSpPr/>
      </xdr:nvGrpSpPr>
      <xdr:grpSpPr>
        <a:xfrm rot="1446121">
          <a:off x="1933575" y="3971925"/>
          <a:ext cx="147007" cy="141173"/>
          <a:chOff x="9937028" y="802652"/>
          <a:chExt cx="83991" cy="77961"/>
        </a:xfrm>
      </xdr:grpSpPr>
      <xdr:sp macro="" textlink="">
        <xdr:nvSpPr>
          <xdr:cNvPr id="208" name="Oval 1">
            <a:extLst>
              <a:ext uri="{FF2B5EF4-FFF2-40B4-BE49-F238E27FC236}">
                <a16:creationId xmlns:a16="http://schemas.microsoft.com/office/drawing/2014/main" id="{A5481E1F-AD43-9F04-C349-BB5BA4A3659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9" name="Straight Connector 3">
            <a:extLst>
              <a:ext uri="{FF2B5EF4-FFF2-40B4-BE49-F238E27FC236}">
                <a16:creationId xmlns:a16="http://schemas.microsoft.com/office/drawing/2014/main" id="{59209B71-53FD-6921-6646-190AF1253D7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7">
            <a:extLst>
              <a:ext uri="{FF2B5EF4-FFF2-40B4-BE49-F238E27FC236}">
                <a16:creationId xmlns:a16="http://schemas.microsoft.com/office/drawing/2014/main" id="{C3377B88-BF35-ABAD-C59C-AD775A440D8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123826</xdr:colOff>
      <xdr:row>19</xdr:row>
      <xdr:rowOff>123824</xdr:rowOff>
    </xdr:from>
    <xdr:to>
      <xdr:col>6</xdr:col>
      <xdr:colOff>270833</xdr:colOff>
      <xdr:row>20</xdr:row>
      <xdr:rowOff>112597</xdr:rowOff>
    </xdr:to>
    <xdr:grpSp>
      <xdr:nvGrpSpPr>
        <xdr:cNvPr id="211" name="Group 13">
          <a:extLst>
            <a:ext uri="{FF2B5EF4-FFF2-40B4-BE49-F238E27FC236}">
              <a16:creationId xmlns:a16="http://schemas.microsoft.com/office/drawing/2014/main" id="{5D39AF21-9550-438F-B089-6823096D41A9}"/>
            </a:ext>
          </a:extLst>
        </xdr:cNvPr>
        <xdr:cNvGrpSpPr/>
      </xdr:nvGrpSpPr>
      <xdr:grpSpPr>
        <a:xfrm rot="1446121">
          <a:off x="1952626" y="3047999"/>
          <a:ext cx="147007" cy="141173"/>
          <a:chOff x="9937028" y="802652"/>
          <a:chExt cx="83991" cy="77961"/>
        </a:xfrm>
      </xdr:grpSpPr>
      <xdr:sp macro="" textlink="">
        <xdr:nvSpPr>
          <xdr:cNvPr id="212" name="Oval 1">
            <a:extLst>
              <a:ext uri="{FF2B5EF4-FFF2-40B4-BE49-F238E27FC236}">
                <a16:creationId xmlns:a16="http://schemas.microsoft.com/office/drawing/2014/main" id="{897904E3-7FF8-F16D-F615-74B67AA450A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3" name="Straight Connector 3">
            <a:extLst>
              <a:ext uri="{FF2B5EF4-FFF2-40B4-BE49-F238E27FC236}">
                <a16:creationId xmlns:a16="http://schemas.microsoft.com/office/drawing/2014/main" id="{D87FD0A9-BFF6-7738-E700-DE1189E59E3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7">
            <a:extLst>
              <a:ext uri="{FF2B5EF4-FFF2-40B4-BE49-F238E27FC236}">
                <a16:creationId xmlns:a16="http://schemas.microsoft.com/office/drawing/2014/main" id="{1FC36362-8F5E-6C9D-9E2D-EF34F07CDB1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190500</xdr:colOff>
      <xdr:row>28</xdr:row>
      <xdr:rowOff>104775</xdr:rowOff>
    </xdr:from>
    <xdr:to>
      <xdr:col>6</xdr:col>
      <xdr:colOff>190500</xdr:colOff>
      <xdr:row>29</xdr:row>
      <xdr:rowOff>115678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2BC3CF35-1E3F-48C1-BE23-601BB9AB327E}"/>
            </a:ext>
          </a:extLst>
        </xdr:cNvPr>
        <xdr:cNvCxnSpPr/>
      </xdr:nvCxnSpPr>
      <xdr:spPr>
        <a:xfrm flipV="1">
          <a:off x="2019300" y="4400550"/>
          <a:ext cx="0" cy="1633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246104</xdr:colOff>
      <xdr:row>22</xdr:row>
      <xdr:rowOff>103400</xdr:rowOff>
    </xdr:from>
    <xdr:to>
      <xdr:col>6</xdr:col>
      <xdr:colOff>255629</xdr:colOff>
      <xdr:row>30</xdr:row>
      <xdr:rowOff>8150</xdr:rowOff>
    </xdr:to>
    <xdr:cxnSp macro="">
      <xdr:nvCxnSpPr>
        <xdr:cNvPr id="221" name="Straight Connector 220">
          <a:extLst>
            <a:ext uri="{FF2B5EF4-FFF2-40B4-BE49-F238E27FC236}">
              <a16:creationId xmlns:a16="http://schemas.microsoft.com/office/drawing/2014/main" id="{7B95AC92-E504-4B37-91B2-9310758F7FE7}"/>
            </a:ext>
          </a:extLst>
        </xdr:cNvPr>
        <xdr:cNvCxnSpPr>
          <a:cxnSpLocks/>
          <a:stCxn id="192" idx="7"/>
          <a:endCxn id="228" idx="7"/>
        </xdr:cNvCxnSpPr>
      </xdr:nvCxnSpPr>
      <xdr:spPr bwMode="auto">
        <a:xfrm flipV="1">
          <a:off x="2074904" y="3484775"/>
          <a:ext cx="9525" cy="111442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22</xdr:row>
      <xdr:rowOff>57150</xdr:rowOff>
    </xdr:from>
    <xdr:to>
      <xdr:col>6</xdr:col>
      <xdr:colOff>261307</xdr:colOff>
      <xdr:row>23</xdr:row>
      <xdr:rowOff>45923</xdr:rowOff>
    </xdr:to>
    <xdr:grpSp>
      <xdr:nvGrpSpPr>
        <xdr:cNvPr id="227" name="Group 13">
          <a:extLst>
            <a:ext uri="{FF2B5EF4-FFF2-40B4-BE49-F238E27FC236}">
              <a16:creationId xmlns:a16="http://schemas.microsoft.com/office/drawing/2014/main" id="{1EACAFEF-7832-458C-9E18-CDAF779BA2D4}"/>
            </a:ext>
          </a:extLst>
        </xdr:cNvPr>
        <xdr:cNvGrpSpPr/>
      </xdr:nvGrpSpPr>
      <xdr:grpSpPr>
        <a:xfrm rot="1446121">
          <a:off x="1943100" y="3438525"/>
          <a:ext cx="147007" cy="141173"/>
          <a:chOff x="9937028" y="802652"/>
          <a:chExt cx="83991" cy="77961"/>
        </a:xfrm>
      </xdr:grpSpPr>
      <xdr:sp macro="" textlink="">
        <xdr:nvSpPr>
          <xdr:cNvPr id="228" name="Oval 1">
            <a:extLst>
              <a:ext uri="{FF2B5EF4-FFF2-40B4-BE49-F238E27FC236}">
                <a16:creationId xmlns:a16="http://schemas.microsoft.com/office/drawing/2014/main" id="{D5BE96DD-2AC8-7CBE-0712-61D891419B8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9" name="Straight Connector 3">
            <a:extLst>
              <a:ext uri="{FF2B5EF4-FFF2-40B4-BE49-F238E27FC236}">
                <a16:creationId xmlns:a16="http://schemas.microsoft.com/office/drawing/2014/main" id="{F9356756-0F09-55B2-E516-507132D4D34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7">
            <a:extLst>
              <a:ext uri="{FF2B5EF4-FFF2-40B4-BE49-F238E27FC236}">
                <a16:creationId xmlns:a16="http://schemas.microsoft.com/office/drawing/2014/main" id="{D3B58963-E619-D8C0-54B2-A0413D80FA6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161925</xdr:colOff>
      <xdr:row>30</xdr:row>
      <xdr:rowOff>66675</xdr:rowOff>
    </xdr:from>
    <xdr:to>
      <xdr:col>12</xdr:col>
      <xdr:colOff>245747</xdr:colOff>
      <xdr:row>30</xdr:row>
      <xdr:rowOff>149546</xdr:rowOff>
    </xdr:to>
    <xdr:grpSp>
      <xdr:nvGrpSpPr>
        <xdr:cNvPr id="235" name="Group 73">
          <a:extLst>
            <a:ext uri="{FF2B5EF4-FFF2-40B4-BE49-F238E27FC236}">
              <a16:creationId xmlns:a16="http://schemas.microsoft.com/office/drawing/2014/main" id="{7473B1DC-BD51-49F5-A5AA-3F880F7B59AA}"/>
            </a:ext>
          </a:extLst>
        </xdr:cNvPr>
        <xdr:cNvGrpSpPr/>
      </xdr:nvGrpSpPr>
      <xdr:grpSpPr>
        <a:xfrm rot="21429191">
          <a:off x="4276725" y="4657725"/>
          <a:ext cx="83822" cy="82871"/>
          <a:chOff x="12175074" y="2285812"/>
          <a:chExt cx="107252" cy="65186"/>
        </a:xfrm>
      </xdr:grpSpPr>
      <xdr:cxnSp macro="">
        <xdr:nvCxnSpPr>
          <xdr:cNvPr id="236" name="Straight Connector 74">
            <a:extLst>
              <a:ext uri="{FF2B5EF4-FFF2-40B4-BE49-F238E27FC236}">
                <a16:creationId xmlns:a16="http://schemas.microsoft.com/office/drawing/2014/main" id="{53C76128-DFB5-0AFA-109E-7F8171D34BF4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75">
            <a:extLst>
              <a:ext uri="{FF2B5EF4-FFF2-40B4-BE49-F238E27FC236}">
                <a16:creationId xmlns:a16="http://schemas.microsoft.com/office/drawing/2014/main" id="{0B8201D9-114A-4EEF-18EF-99D30D5D453E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76">
            <a:extLst>
              <a:ext uri="{FF2B5EF4-FFF2-40B4-BE49-F238E27FC236}">
                <a16:creationId xmlns:a16="http://schemas.microsoft.com/office/drawing/2014/main" id="{0DC0B402-3FB2-AB86-AADD-9E8D6E5F3BF1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19050</xdr:colOff>
      <xdr:row>30</xdr:row>
      <xdr:rowOff>57150</xdr:rowOff>
    </xdr:from>
    <xdr:to>
      <xdr:col>10</xdr:col>
      <xdr:colOff>102872</xdr:colOff>
      <xdr:row>30</xdr:row>
      <xdr:rowOff>140021</xdr:rowOff>
    </xdr:to>
    <xdr:grpSp>
      <xdr:nvGrpSpPr>
        <xdr:cNvPr id="239" name="Group 73">
          <a:extLst>
            <a:ext uri="{FF2B5EF4-FFF2-40B4-BE49-F238E27FC236}">
              <a16:creationId xmlns:a16="http://schemas.microsoft.com/office/drawing/2014/main" id="{A3F9B501-4D0C-4E74-9B0D-7000624058E2}"/>
            </a:ext>
          </a:extLst>
        </xdr:cNvPr>
        <xdr:cNvGrpSpPr/>
      </xdr:nvGrpSpPr>
      <xdr:grpSpPr>
        <a:xfrm rot="21429191">
          <a:off x="3371850" y="4648200"/>
          <a:ext cx="83822" cy="82871"/>
          <a:chOff x="12175074" y="2285812"/>
          <a:chExt cx="107252" cy="65186"/>
        </a:xfrm>
      </xdr:grpSpPr>
      <xdr:cxnSp macro="">
        <xdr:nvCxnSpPr>
          <xdr:cNvPr id="240" name="Straight Connector 74">
            <a:extLst>
              <a:ext uri="{FF2B5EF4-FFF2-40B4-BE49-F238E27FC236}">
                <a16:creationId xmlns:a16="http://schemas.microsoft.com/office/drawing/2014/main" id="{231E6B19-3A01-17CD-78EE-67539395FC0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Straight Connector 75">
            <a:extLst>
              <a:ext uri="{FF2B5EF4-FFF2-40B4-BE49-F238E27FC236}">
                <a16:creationId xmlns:a16="http://schemas.microsoft.com/office/drawing/2014/main" id="{11805E21-025E-8BF8-2DDE-F77E3D677F4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76">
            <a:extLst>
              <a:ext uri="{FF2B5EF4-FFF2-40B4-BE49-F238E27FC236}">
                <a16:creationId xmlns:a16="http://schemas.microsoft.com/office/drawing/2014/main" id="{3E076D7B-79DC-0FD2-1A47-DECEEC32C4B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228600</xdr:colOff>
      <xdr:row>30</xdr:row>
      <xdr:rowOff>66675</xdr:rowOff>
    </xdr:from>
    <xdr:to>
      <xdr:col>7</xdr:col>
      <xdr:colOff>312422</xdr:colOff>
      <xdr:row>30</xdr:row>
      <xdr:rowOff>149546</xdr:rowOff>
    </xdr:to>
    <xdr:grpSp>
      <xdr:nvGrpSpPr>
        <xdr:cNvPr id="243" name="Group 73">
          <a:extLst>
            <a:ext uri="{FF2B5EF4-FFF2-40B4-BE49-F238E27FC236}">
              <a16:creationId xmlns:a16="http://schemas.microsoft.com/office/drawing/2014/main" id="{27FAB05B-2D61-48C9-A0F5-87EBD909295C}"/>
            </a:ext>
          </a:extLst>
        </xdr:cNvPr>
        <xdr:cNvGrpSpPr/>
      </xdr:nvGrpSpPr>
      <xdr:grpSpPr>
        <a:xfrm rot="21429191">
          <a:off x="2438400" y="4657725"/>
          <a:ext cx="83822" cy="82871"/>
          <a:chOff x="12175074" y="2285812"/>
          <a:chExt cx="107252" cy="65186"/>
        </a:xfrm>
      </xdr:grpSpPr>
      <xdr:cxnSp macro="">
        <xdr:nvCxnSpPr>
          <xdr:cNvPr id="244" name="Straight Connector 74">
            <a:extLst>
              <a:ext uri="{FF2B5EF4-FFF2-40B4-BE49-F238E27FC236}">
                <a16:creationId xmlns:a16="http://schemas.microsoft.com/office/drawing/2014/main" id="{92A06A2E-2391-8F62-BB54-C7B1BB166A7A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Connector 75">
            <a:extLst>
              <a:ext uri="{FF2B5EF4-FFF2-40B4-BE49-F238E27FC236}">
                <a16:creationId xmlns:a16="http://schemas.microsoft.com/office/drawing/2014/main" id="{212FA9D0-C105-FF61-0BD6-54639A5C32A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Connector 76">
            <a:extLst>
              <a:ext uri="{FF2B5EF4-FFF2-40B4-BE49-F238E27FC236}">
                <a16:creationId xmlns:a16="http://schemas.microsoft.com/office/drawing/2014/main" id="{46BA332C-6FA9-F4A3-236F-349AA4383683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57625</xdr:colOff>
      <xdr:row>27</xdr:row>
      <xdr:rowOff>85250</xdr:rowOff>
    </xdr:from>
    <xdr:to>
      <xdr:col>6</xdr:col>
      <xdr:colOff>140496</xdr:colOff>
      <xdr:row>28</xdr:row>
      <xdr:rowOff>16672</xdr:rowOff>
    </xdr:to>
    <xdr:grpSp>
      <xdr:nvGrpSpPr>
        <xdr:cNvPr id="253" name="Group 73">
          <a:extLst>
            <a:ext uri="{FF2B5EF4-FFF2-40B4-BE49-F238E27FC236}">
              <a16:creationId xmlns:a16="http://schemas.microsoft.com/office/drawing/2014/main" id="{77BB11A7-8AF0-41BC-8DE7-C819DA3507A3}"/>
            </a:ext>
          </a:extLst>
        </xdr:cNvPr>
        <xdr:cNvGrpSpPr/>
      </xdr:nvGrpSpPr>
      <xdr:grpSpPr>
        <a:xfrm rot="4525555">
          <a:off x="1885950" y="4229100"/>
          <a:ext cx="83822" cy="82871"/>
          <a:chOff x="12175074" y="2285812"/>
          <a:chExt cx="107252" cy="65186"/>
        </a:xfrm>
      </xdr:grpSpPr>
      <xdr:cxnSp macro="">
        <xdr:nvCxnSpPr>
          <xdr:cNvPr id="254" name="Straight Connector 74">
            <a:extLst>
              <a:ext uri="{FF2B5EF4-FFF2-40B4-BE49-F238E27FC236}">
                <a16:creationId xmlns:a16="http://schemas.microsoft.com/office/drawing/2014/main" id="{EB5F8CE4-E6CF-39E9-C7F7-E07F0AA79CDF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75">
            <a:extLst>
              <a:ext uri="{FF2B5EF4-FFF2-40B4-BE49-F238E27FC236}">
                <a16:creationId xmlns:a16="http://schemas.microsoft.com/office/drawing/2014/main" id="{B0A59527-8FDC-025B-18B1-E01495F32FA4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76">
            <a:extLst>
              <a:ext uri="{FF2B5EF4-FFF2-40B4-BE49-F238E27FC236}">
                <a16:creationId xmlns:a16="http://schemas.microsoft.com/office/drawing/2014/main" id="{900A8297-6E3F-EA68-7288-9CB110449D94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67151</xdr:colOff>
      <xdr:row>22</xdr:row>
      <xdr:rowOff>123350</xdr:rowOff>
    </xdr:from>
    <xdr:to>
      <xdr:col>6</xdr:col>
      <xdr:colOff>150022</xdr:colOff>
      <xdr:row>23</xdr:row>
      <xdr:rowOff>54772</xdr:rowOff>
    </xdr:to>
    <xdr:grpSp>
      <xdr:nvGrpSpPr>
        <xdr:cNvPr id="258" name="Group 73">
          <a:extLst>
            <a:ext uri="{FF2B5EF4-FFF2-40B4-BE49-F238E27FC236}">
              <a16:creationId xmlns:a16="http://schemas.microsoft.com/office/drawing/2014/main" id="{A78BE6B6-2DEB-4C64-8948-348E369DB78F}"/>
            </a:ext>
          </a:extLst>
        </xdr:cNvPr>
        <xdr:cNvGrpSpPr/>
      </xdr:nvGrpSpPr>
      <xdr:grpSpPr>
        <a:xfrm rot="4479833">
          <a:off x="1895476" y="3505200"/>
          <a:ext cx="83822" cy="82871"/>
          <a:chOff x="12175074" y="2285812"/>
          <a:chExt cx="107252" cy="65186"/>
        </a:xfrm>
      </xdr:grpSpPr>
      <xdr:cxnSp macro="">
        <xdr:nvCxnSpPr>
          <xdr:cNvPr id="259" name="Straight Connector 74">
            <a:extLst>
              <a:ext uri="{FF2B5EF4-FFF2-40B4-BE49-F238E27FC236}">
                <a16:creationId xmlns:a16="http://schemas.microsoft.com/office/drawing/2014/main" id="{3B8A38BD-8622-52D6-835E-1C3BF3425233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" name="Straight Connector 75">
            <a:extLst>
              <a:ext uri="{FF2B5EF4-FFF2-40B4-BE49-F238E27FC236}">
                <a16:creationId xmlns:a16="http://schemas.microsoft.com/office/drawing/2014/main" id="{B152EE01-F776-EC20-9D8F-327B70943600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1" name="Straight Connector 76">
            <a:extLst>
              <a:ext uri="{FF2B5EF4-FFF2-40B4-BE49-F238E27FC236}">
                <a16:creationId xmlns:a16="http://schemas.microsoft.com/office/drawing/2014/main" id="{DAFDB46F-9C5B-C109-9DFB-4CA6F9CD221C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209550</xdr:colOff>
      <xdr:row>18</xdr:row>
      <xdr:rowOff>114300</xdr:rowOff>
    </xdr:from>
    <xdr:to>
      <xdr:col>6</xdr:col>
      <xdr:colOff>209550</xdr:colOff>
      <xdr:row>19</xdr:row>
      <xdr:rowOff>125203</xdr:rowOff>
    </xdr:to>
    <xdr:cxnSp macro="">
      <xdr:nvCxnSpPr>
        <xdr:cNvPr id="263" name="Straight Arrow Connector 262">
          <a:extLst>
            <a:ext uri="{FF2B5EF4-FFF2-40B4-BE49-F238E27FC236}">
              <a16:creationId xmlns:a16="http://schemas.microsoft.com/office/drawing/2014/main" id="{0B4BEF7F-B11E-4731-8361-B16DE3907659}"/>
            </a:ext>
          </a:extLst>
        </xdr:cNvPr>
        <xdr:cNvCxnSpPr/>
      </xdr:nvCxnSpPr>
      <xdr:spPr>
        <a:xfrm flipV="1">
          <a:off x="2038350" y="2886075"/>
          <a:ext cx="0" cy="1633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21</xdr:row>
      <xdr:rowOff>76200</xdr:rowOff>
    </xdr:from>
    <xdr:to>
      <xdr:col>6</xdr:col>
      <xdr:colOff>190500</xdr:colOff>
      <xdr:row>22</xdr:row>
      <xdr:rowOff>49003</xdr:rowOff>
    </xdr:to>
    <xdr:cxnSp macro="">
      <xdr:nvCxnSpPr>
        <xdr:cNvPr id="264" name="Straight Arrow Connector 263">
          <a:extLst>
            <a:ext uri="{FF2B5EF4-FFF2-40B4-BE49-F238E27FC236}">
              <a16:creationId xmlns:a16="http://schemas.microsoft.com/office/drawing/2014/main" id="{130F90F0-3BF4-4FCC-B12D-4DCE54FB9C44}"/>
            </a:ext>
          </a:extLst>
        </xdr:cNvPr>
        <xdr:cNvCxnSpPr/>
      </xdr:nvCxnSpPr>
      <xdr:spPr>
        <a:xfrm flipH="1" flipV="1">
          <a:off x="2000250" y="3305175"/>
          <a:ext cx="19050" cy="1252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133351</xdr:colOff>
      <xdr:row>31</xdr:row>
      <xdr:rowOff>57151</xdr:rowOff>
    </xdr:from>
    <xdr:to>
      <xdr:col>12</xdr:col>
      <xdr:colOff>171450</xdr:colOff>
      <xdr:row>34</xdr:row>
      <xdr:rowOff>9525</xdr:rowOff>
    </xdr:to>
    <xdr:sp macro="" textlink="">
      <xdr:nvSpPr>
        <xdr:cNvPr id="266" name="TextBox 157">
          <a:extLst>
            <a:ext uri="{FF2B5EF4-FFF2-40B4-BE49-F238E27FC236}">
              <a16:creationId xmlns:a16="http://schemas.microsoft.com/office/drawing/2014/main" id="{FF10A6D5-A010-4CC9-8476-5A69312C40AB}"/>
            </a:ext>
          </a:extLst>
        </xdr:cNvPr>
        <xdr:cNvSpPr txBox="1"/>
      </xdr:nvSpPr>
      <xdr:spPr>
        <a:xfrm>
          <a:off x="3486151" y="4800601"/>
          <a:ext cx="800099" cy="4095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CJ5-T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66675</xdr:colOff>
      <xdr:row>23</xdr:row>
      <xdr:rowOff>114301</xdr:rowOff>
    </xdr:from>
    <xdr:to>
      <xdr:col>16</xdr:col>
      <xdr:colOff>238125</xdr:colOff>
      <xdr:row>28</xdr:row>
      <xdr:rowOff>142875</xdr:rowOff>
    </xdr:to>
    <xdr:sp macro="" textlink="">
      <xdr:nvSpPr>
        <xdr:cNvPr id="267" name="TextBox 157">
          <a:extLst>
            <a:ext uri="{FF2B5EF4-FFF2-40B4-BE49-F238E27FC236}">
              <a16:creationId xmlns:a16="http://schemas.microsoft.com/office/drawing/2014/main" id="{680A688B-F94F-4625-9864-4B3EB89FB8DB}"/>
            </a:ext>
          </a:extLst>
        </xdr:cNvPr>
        <xdr:cNvSpPr txBox="1"/>
      </xdr:nvSpPr>
      <xdr:spPr>
        <a:xfrm>
          <a:off x="4943475" y="3648076"/>
          <a:ext cx="933450" cy="7905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G105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G312-A 50KVA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G312A 100KVA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295275</xdr:colOff>
      <xdr:row>31</xdr:row>
      <xdr:rowOff>38100</xdr:rowOff>
    </xdr:from>
    <xdr:to>
      <xdr:col>9</xdr:col>
      <xdr:colOff>371475</xdr:colOff>
      <xdr:row>34</xdr:row>
      <xdr:rowOff>28575</xdr:rowOff>
    </xdr:to>
    <xdr:sp macro="" textlink="">
      <xdr:nvSpPr>
        <xdr:cNvPr id="268" name="TextBox 157">
          <a:extLst>
            <a:ext uri="{FF2B5EF4-FFF2-40B4-BE49-F238E27FC236}">
              <a16:creationId xmlns:a16="http://schemas.microsoft.com/office/drawing/2014/main" id="{89F83AD0-F97A-4F48-BFE4-84889C180026}"/>
            </a:ext>
          </a:extLst>
        </xdr:cNvPr>
        <xdr:cNvSpPr txBox="1"/>
      </xdr:nvSpPr>
      <xdr:spPr>
        <a:xfrm>
          <a:off x="2505075" y="4781550"/>
          <a:ext cx="838200" cy="4476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371474</xdr:colOff>
      <xdr:row>31</xdr:row>
      <xdr:rowOff>47625</xdr:rowOff>
    </xdr:from>
    <xdr:to>
      <xdr:col>7</xdr:col>
      <xdr:colOff>85725</xdr:colOff>
      <xdr:row>35</xdr:row>
      <xdr:rowOff>1</xdr:rowOff>
    </xdr:to>
    <xdr:sp macro="" textlink="">
      <xdr:nvSpPr>
        <xdr:cNvPr id="269" name="TextBox 157">
          <a:extLst>
            <a:ext uri="{FF2B5EF4-FFF2-40B4-BE49-F238E27FC236}">
              <a16:creationId xmlns:a16="http://schemas.microsoft.com/office/drawing/2014/main" id="{7922483B-E468-41F7-B8F4-CA8C3D786EB8}"/>
            </a:ext>
          </a:extLst>
        </xdr:cNvPr>
        <xdr:cNvSpPr txBox="1"/>
      </xdr:nvSpPr>
      <xdr:spPr>
        <a:xfrm>
          <a:off x="1438274" y="4791075"/>
          <a:ext cx="857251" cy="56197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85726</xdr:colOff>
      <xdr:row>25</xdr:row>
      <xdr:rowOff>38101</xdr:rowOff>
    </xdr:from>
    <xdr:to>
      <xdr:col>6</xdr:col>
      <xdr:colOff>47626</xdr:colOff>
      <xdr:row>27</xdr:row>
      <xdr:rowOff>85725</xdr:rowOff>
    </xdr:to>
    <xdr:sp macro="" textlink="">
      <xdr:nvSpPr>
        <xdr:cNvPr id="270" name="TextBox 157">
          <a:extLst>
            <a:ext uri="{FF2B5EF4-FFF2-40B4-BE49-F238E27FC236}">
              <a16:creationId xmlns:a16="http://schemas.microsoft.com/office/drawing/2014/main" id="{32950242-53A0-4195-AAAF-ACD69A56AF6B}"/>
            </a:ext>
          </a:extLst>
        </xdr:cNvPr>
        <xdr:cNvSpPr txBox="1"/>
      </xdr:nvSpPr>
      <xdr:spPr>
        <a:xfrm>
          <a:off x="1152526" y="3876676"/>
          <a:ext cx="723900" cy="35242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76199</xdr:colOff>
      <xdr:row>20</xdr:row>
      <xdr:rowOff>133350</xdr:rowOff>
    </xdr:from>
    <xdr:to>
      <xdr:col>9</xdr:col>
      <xdr:colOff>285750</xdr:colOff>
      <xdr:row>26</xdr:row>
      <xdr:rowOff>9525</xdr:rowOff>
    </xdr:to>
    <xdr:sp macro="" textlink="">
      <xdr:nvSpPr>
        <xdr:cNvPr id="272" name="TextBox 157">
          <a:extLst>
            <a:ext uri="{FF2B5EF4-FFF2-40B4-BE49-F238E27FC236}">
              <a16:creationId xmlns:a16="http://schemas.microsoft.com/office/drawing/2014/main" id="{65C4A0EA-C6BE-4B80-B71A-5383413B949B}"/>
            </a:ext>
          </a:extLst>
        </xdr:cNvPr>
        <xdr:cNvSpPr txBox="1"/>
      </xdr:nvSpPr>
      <xdr:spPr>
        <a:xfrm>
          <a:off x="2285999" y="3209925"/>
          <a:ext cx="971551" cy="7905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dAN-E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276225</xdr:colOff>
      <xdr:row>30</xdr:row>
      <xdr:rowOff>19050</xdr:rowOff>
    </xdr:from>
    <xdr:to>
      <xdr:col>15</xdr:col>
      <xdr:colOff>57150</xdr:colOff>
      <xdr:row>31</xdr:row>
      <xdr:rowOff>66675</xdr:rowOff>
    </xdr:to>
    <xdr:sp macro="" textlink="">
      <xdr:nvSpPr>
        <xdr:cNvPr id="189" name="TextBox 161">
          <a:extLst>
            <a:ext uri="{FF2B5EF4-FFF2-40B4-BE49-F238E27FC236}">
              <a16:creationId xmlns:a16="http://schemas.microsoft.com/office/drawing/2014/main" id="{C9C85E7A-249E-4547-8BCA-C5A281CE33C7}"/>
            </a:ext>
          </a:extLst>
        </xdr:cNvPr>
        <xdr:cNvSpPr txBox="1"/>
      </xdr:nvSpPr>
      <xdr:spPr>
        <a:xfrm>
          <a:off x="4772025" y="4610100"/>
          <a:ext cx="542925" cy="20002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</a:rPr>
            <a:t>50 KVA</a:t>
          </a:r>
        </a:p>
      </xdr:txBody>
    </xdr:sp>
    <xdr:clientData/>
  </xdr:twoCellAnchor>
  <xdr:twoCellAnchor>
    <xdr:from>
      <xdr:col>13</xdr:col>
      <xdr:colOff>352425</xdr:colOff>
      <xdr:row>29</xdr:row>
      <xdr:rowOff>76200</xdr:rowOff>
    </xdr:from>
    <xdr:to>
      <xdr:col>14</xdr:col>
      <xdr:colOff>221478</xdr:colOff>
      <xdr:row>30</xdr:row>
      <xdr:rowOff>18516</xdr:rowOff>
    </xdr:to>
    <xdr:grpSp>
      <xdr:nvGrpSpPr>
        <xdr:cNvPr id="190" name="Group 134">
          <a:extLst>
            <a:ext uri="{FF2B5EF4-FFF2-40B4-BE49-F238E27FC236}">
              <a16:creationId xmlns:a16="http://schemas.microsoft.com/office/drawing/2014/main" id="{F775749F-CB7F-402B-B959-24A81CA78773}"/>
            </a:ext>
          </a:extLst>
        </xdr:cNvPr>
        <xdr:cNvGrpSpPr/>
      </xdr:nvGrpSpPr>
      <xdr:grpSpPr>
        <a:xfrm>
          <a:off x="4848225" y="4524375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93" name="Isosceles Triangle 118">
            <a:extLst>
              <a:ext uri="{FF2B5EF4-FFF2-40B4-BE49-F238E27FC236}">
                <a16:creationId xmlns:a16="http://schemas.microsoft.com/office/drawing/2014/main" id="{5070F426-9C87-28D9-A31F-D1C31F01EE5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4" name="Isosceles Triangle 119">
            <a:extLst>
              <a:ext uri="{FF2B5EF4-FFF2-40B4-BE49-F238E27FC236}">
                <a16:creationId xmlns:a16="http://schemas.microsoft.com/office/drawing/2014/main" id="{BA2945F2-6E42-C628-7232-3C3315573A2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5" name="Isosceles Triangle 120">
            <a:extLst>
              <a:ext uri="{FF2B5EF4-FFF2-40B4-BE49-F238E27FC236}">
                <a16:creationId xmlns:a16="http://schemas.microsoft.com/office/drawing/2014/main" id="{DF366105-4441-7B5D-1EBE-41A27E3DAE99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14</xdr:col>
      <xdr:colOff>161925</xdr:colOff>
      <xdr:row>26</xdr:row>
      <xdr:rowOff>123825</xdr:rowOff>
    </xdr:from>
    <xdr:to>
      <xdr:col>16</xdr:col>
      <xdr:colOff>133350</xdr:colOff>
      <xdr:row>26</xdr:row>
      <xdr:rowOff>133350</xdr:rowOff>
    </xdr:to>
    <xdr:cxnSp macro="">
      <xdr:nvCxnSpPr>
        <xdr:cNvPr id="196" name="Straight Connector 139">
          <a:extLst>
            <a:ext uri="{FF2B5EF4-FFF2-40B4-BE49-F238E27FC236}">
              <a16:creationId xmlns:a16="http://schemas.microsoft.com/office/drawing/2014/main" id="{35552CBC-499A-4B52-AB9B-FC928D163CE5}"/>
            </a:ext>
          </a:extLst>
        </xdr:cNvPr>
        <xdr:cNvCxnSpPr>
          <a:cxnSpLocks/>
        </xdr:cNvCxnSpPr>
      </xdr:nvCxnSpPr>
      <xdr:spPr bwMode="auto">
        <a:xfrm>
          <a:off x="5038725" y="4114800"/>
          <a:ext cx="733425" cy="95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361950</xdr:colOff>
      <xdr:row>29</xdr:row>
      <xdr:rowOff>28575</xdr:rowOff>
    </xdr:from>
    <xdr:to>
      <xdr:col>14</xdr:col>
      <xdr:colOff>285750</xdr:colOff>
      <xdr:row>30</xdr:row>
      <xdr:rowOff>66675</xdr:rowOff>
    </xdr:to>
    <xdr:cxnSp macro="">
      <xdr:nvCxnSpPr>
        <xdr:cNvPr id="200" name="Straight Connector 139">
          <a:extLst>
            <a:ext uri="{FF2B5EF4-FFF2-40B4-BE49-F238E27FC236}">
              <a16:creationId xmlns:a16="http://schemas.microsoft.com/office/drawing/2014/main" id="{D2E854B5-8E4A-46E0-8739-32CF13A59BFD}"/>
            </a:ext>
          </a:extLst>
        </xdr:cNvPr>
        <xdr:cNvCxnSpPr>
          <a:cxnSpLocks/>
        </xdr:cNvCxnSpPr>
      </xdr:nvCxnSpPr>
      <xdr:spPr bwMode="auto">
        <a:xfrm flipH="1">
          <a:off x="4857750" y="4476750"/>
          <a:ext cx="304800" cy="1809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352425</xdr:colOff>
      <xdr:row>29</xdr:row>
      <xdr:rowOff>0</xdr:rowOff>
    </xdr:from>
    <xdr:to>
      <xdr:col>14</xdr:col>
      <xdr:colOff>238125</xdr:colOff>
      <xdr:row>30</xdr:row>
      <xdr:rowOff>85725</xdr:rowOff>
    </xdr:to>
    <xdr:cxnSp macro="">
      <xdr:nvCxnSpPr>
        <xdr:cNvPr id="201" name="Straight Connector 139">
          <a:extLst>
            <a:ext uri="{FF2B5EF4-FFF2-40B4-BE49-F238E27FC236}">
              <a16:creationId xmlns:a16="http://schemas.microsoft.com/office/drawing/2014/main" id="{C82AC792-02C3-4199-9FC3-D978EC9DB64C}"/>
            </a:ext>
          </a:extLst>
        </xdr:cNvPr>
        <xdr:cNvCxnSpPr>
          <a:cxnSpLocks/>
        </xdr:cNvCxnSpPr>
      </xdr:nvCxnSpPr>
      <xdr:spPr bwMode="auto">
        <a:xfrm>
          <a:off x="4848225" y="4448175"/>
          <a:ext cx="266700" cy="2286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21</xdr:row>
      <xdr:rowOff>104775</xdr:rowOff>
    </xdr:from>
    <xdr:to>
      <xdr:col>6</xdr:col>
      <xdr:colOff>120708</xdr:colOff>
      <xdr:row>22</xdr:row>
      <xdr:rowOff>97721</xdr:rowOff>
    </xdr:to>
    <xdr:cxnSp macro="">
      <xdr:nvCxnSpPr>
        <xdr:cNvPr id="204" name="Straight Connector 203">
          <a:extLst>
            <a:ext uri="{FF2B5EF4-FFF2-40B4-BE49-F238E27FC236}">
              <a16:creationId xmlns:a16="http://schemas.microsoft.com/office/drawing/2014/main" id="{68561657-7A9C-4580-A40C-F0D1246FE68B}"/>
            </a:ext>
          </a:extLst>
        </xdr:cNvPr>
        <xdr:cNvCxnSpPr>
          <a:cxnSpLocks/>
          <a:stCxn id="228" idx="2"/>
        </xdr:cNvCxnSpPr>
      </xdr:nvCxnSpPr>
      <xdr:spPr bwMode="auto">
        <a:xfrm flipH="1" flipV="1">
          <a:off x="1343025" y="3333750"/>
          <a:ext cx="606483" cy="14534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314325</xdr:colOff>
      <xdr:row>29</xdr:row>
      <xdr:rowOff>76200</xdr:rowOff>
    </xdr:from>
    <xdr:to>
      <xdr:col>8</xdr:col>
      <xdr:colOff>72460</xdr:colOff>
      <xdr:row>30</xdr:row>
      <xdr:rowOff>83</xdr:rowOff>
    </xdr:to>
    <xdr:grpSp>
      <xdr:nvGrpSpPr>
        <xdr:cNvPr id="206" name="Grup 244">
          <a:extLst>
            <a:ext uri="{FF2B5EF4-FFF2-40B4-BE49-F238E27FC236}">
              <a16:creationId xmlns:a16="http://schemas.microsoft.com/office/drawing/2014/main" id="{85B166D8-B70D-4115-8632-46243977E66F}"/>
            </a:ext>
          </a:extLst>
        </xdr:cNvPr>
        <xdr:cNvGrpSpPr/>
      </xdr:nvGrpSpPr>
      <xdr:grpSpPr>
        <a:xfrm>
          <a:off x="2524125" y="4524375"/>
          <a:ext cx="139135" cy="66758"/>
          <a:chOff x="13302191" y="2320613"/>
          <a:chExt cx="139135" cy="57233"/>
        </a:xfrm>
      </xdr:grpSpPr>
      <xdr:cxnSp macro="">
        <xdr:nvCxnSpPr>
          <xdr:cNvPr id="215" name="Straight Connector 81">
            <a:extLst>
              <a:ext uri="{FF2B5EF4-FFF2-40B4-BE49-F238E27FC236}">
                <a16:creationId xmlns:a16="http://schemas.microsoft.com/office/drawing/2014/main" id="{73DFA677-2B41-EB28-03D3-EF7790C5FB0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82">
            <a:extLst>
              <a:ext uri="{FF2B5EF4-FFF2-40B4-BE49-F238E27FC236}">
                <a16:creationId xmlns:a16="http://schemas.microsoft.com/office/drawing/2014/main" id="{9FD223B6-4719-2681-F3F3-4141146AC49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83">
            <a:extLst>
              <a:ext uri="{FF2B5EF4-FFF2-40B4-BE49-F238E27FC236}">
                <a16:creationId xmlns:a16="http://schemas.microsoft.com/office/drawing/2014/main" id="{1B20D0DA-1953-2E95-9B7C-A21C84D594DF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84">
            <a:extLst>
              <a:ext uri="{FF2B5EF4-FFF2-40B4-BE49-F238E27FC236}">
                <a16:creationId xmlns:a16="http://schemas.microsoft.com/office/drawing/2014/main" id="{210101A5-23E8-4C4D-F017-605DF3C78BB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57150</xdr:colOff>
      <xdr:row>29</xdr:row>
      <xdr:rowOff>76200</xdr:rowOff>
    </xdr:from>
    <xdr:to>
      <xdr:col>10</xdr:col>
      <xdr:colOff>196285</xdr:colOff>
      <xdr:row>30</xdr:row>
      <xdr:rowOff>83</xdr:rowOff>
    </xdr:to>
    <xdr:grpSp>
      <xdr:nvGrpSpPr>
        <xdr:cNvPr id="222" name="Grup 244">
          <a:extLst>
            <a:ext uri="{FF2B5EF4-FFF2-40B4-BE49-F238E27FC236}">
              <a16:creationId xmlns:a16="http://schemas.microsoft.com/office/drawing/2014/main" id="{2BD34E06-BA77-4938-B89F-03BFA49A33ED}"/>
            </a:ext>
          </a:extLst>
        </xdr:cNvPr>
        <xdr:cNvGrpSpPr/>
      </xdr:nvGrpSpPr>
      <xdr:grpSpPr>
        <a:xfrm>
          <a:off x="3409950" y="4524375"/>
          <a:ext cx="139135" cy="66758"/>
          <a:chOff x="13302191" y="2320613"/>
          <a:chExt cx="139135" cy="57233"/>
        </a:xfrm>
      </xdr:grpSpPr>
      <xdr:cxnSp macro="">
        <xdr:nvCxnSpPr>
          <xdr:cNvPr id="223" name="Straight Connector 81">
            <a:extLst>
              <a:ext uri="{FF2B5EF4-FFF2-40B4-BE49-F238E27FC236}">
                <a16:creationId xmlns:a16="http://schemas.microsoft.com/office/drawing/2014/main" id="{81182297-1C4A-C45C-A80C-8DA7BF2AFC00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82">
            <a:extLst>
              <a:ext uri="{FF2B5EF4-FFF2-40B4-BE49-F238E27FC236}">
                <a16:creationId xmlns:a16="http://schemas.microsoft.com/office/drawing/2014/main" id="{B6E73683-CF4F-5836-189F-8D05E63A5C92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83">
            <a:extLst>
              <a:ext uri="{FF2B5EF4-FFF2-40B4-BE49-F238E27FC236}">
                <a16:creationId xmlns:a16="http://schemas.microsoft.com/office/drawing/2014/main" id="{437B6D52-6A61-AB01-EDBF-5BAA0F879180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Straight Connector 84">
            <a:extLst>
              <a:ext uri="{FF2B5EF4-FFF2-40B4-BE49-F238E27FC236}">
                <a16:creationId xmlns:a16="http://schemas.microsoft.com/office/drawing/2014/main" id="{C2304748-F60E-95C7-8EFC-439DB8CC3D8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190500</xdr:colOff>
      <xdr:row>27</xdr:row>
      <xdr:rowOff>123825</xdr:rowOff>
    </xdr:from>
    <xdr:to>
      <xdr:col>6</xdr:col>
      <xdr:colOff>329635</xdr:colOff>
      <xdr:row>28</xdr:row>
      <xdr:rowOff>38183</xdr:rowOff>
    </xdr:to>
    <xdr:grpSp>
      <xdr:nvGrpSpPr>
        <xdr:cNvPr id="265" name="Grup 244">
          <a:extLst>
            <a:ext uri="{FF2B5EF4-FFF2-40B4-BE49-F238E27FC236}">
              <a16:creationId xmlns:a16="http://schemas.microsoft.com/office/drawing/2014/main" id="{ECB4859E-C4D0-4119-BE2F-3E1D94A39B17}"/>
            </a:ext>
          </a:extLst>
        </xdr:cNvPr>
        <xdr:cNvGrpSpPr/>
      </xdr:nvGrpSpPr>
      <xdr:grpSpPr>
        <a:xfrm>
          <a:off x="2019300" y="4267200"/>
          <a:ext cx="139135" cy="66758"/>
          <a:chOff x="13302191" y="2320613"/>
          <a:chExt cx="139135" cy="57233"/>
        </a:xfrm>
      </xdr:grpSpPr>
      <xdr:cxnSp macro="">
        <xdr:nvCxnSpPr>
          <xdr:cNvPr id="271" name="Straight Connector 81">
            <a:extLst>
              <a:ext uri="{FF2B5EF4-FFF2-40B4-BE49-F238E27FC236}">
                <a16:creationId xmlns:a16="http://schemas.microsoft.com/office/drawing/2014/main" id="{B2ED20BF-4DA2-BAC7-B41C-CFD9709D707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3" name="Straight Connector 82">
            <a:extLst>
              <a:ext uri="{FF2B5EF4-FFF2-40B4-BE49-F238E27FC236}">
                <a16:creationId xmlns:a16="http://schemas.microsoft.com/office/drawing/2014/main" id="{0C40BE42-DDD8-6CD9-01F9-67D1D52CB1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Connector 83">
            <a:extLst>
              <a:ext uri="{FF2B5EF4-FFF2-40B4-BE49-F238E27FC236}">
                <a16:creationId xmlns:a16="http://schemas.microsoft.com/office/drawing/2014/main" id="{11316D4D-9DAF-7212-4C26-A0CC92AE3782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5" name="Straight Connector 84">
            <a:extLst>
              <a:ext uri="{FF2B5EF4-FFF2-40B4-BE49-F238E27FC236}">
                <a16:creationId xmlns:a16="http://schemas.microsoft.com/office/drawing/2014/main" id="{EE18075D-5CD3-D793-5D2B-66E0FB3F493B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133350</xdr:colOff>
      <xdr:row>22</xdr:row>
      <xdr:rowOff>9525</xdr:rowOff>
    </xdr:from>
    <xdr:to>
      <xdr:col>5</xdr:col>
      <xdr:colOff>272485</xdr:colOff>
      <xdr:row>22</xdr:row>
      <xdr:rowOff>76283</xdr:rowOff>
    </xdr:to>
    <xdr:grpSp>
      <xdr:nvGrpSpPr>
        <xdr:cNvPr id="277" name="Grup 244">
          <a:extLst>
            <a:ext uri="{FF2B5EF4-FFF2-40B4-BE49-F238E27FC236}">
              <a16:creationId xmlns:a16="http://schemas.microsoft.com/office/drawing/2014/main" id="{D41AD2FE-1B3E-4AA0-B7B8-D94C5E113BA7}"/>
            </a:ext>
          </a:extLst>
        </xdr:cNvPr>
        <xdr:cNvGrpSpPr/>
      </xdr:nvGrpSpPr>
      <xdr:grpSpPr>
        <a:xfrm>
          <a:off x="1581150" y="3390900"/>
          <a:ext cx="139135" cy="66758"/>
          <a:chOff x="13302191" y="2320613"/>
          <a:chExt cx="139135" cy="57233"/>
        </a:xfrm>
      </xdr:grpSpPr>
      <xdr:cxnSp macro="">
        <xdr:nvCxnSpPr>
          <xdr:cNvPr id="278" name="Straight Connector 81">
            <a:extLst>
              <a:ext uri="{FF2B5EF4-FFF2-40B4-BE49-F238E27FC236}">
                <a16:creationId xmlns:a16="http://schemas.microsoft.com/office/drawing/2014/main" id="{F8DA5D1D-C080-F113-A2D6-64414B758BAE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Straight Connector 82">
            <a:extLst>
              <a:ext uri="{FF2B5EF4-FFF2-40B4-BE49-F238E27FC236}">
                <a16:creationId xmlns:a16="http://schemas.microsoft.com/office/drawing/2014/main" id="{C8347D37-BF57-0784-3394-4D616A0E98C9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1" name="Straight Connector 83">
            <a:extLst>
              <a:ext uri="{FF2B5EF4-FFF2-40B4-BE49-F238E27FC236}">
                <a16:creationId xmlns:a16="http://schemas.microsoft.com/office/drawing/2014/main" id="{4AAAF1E0-F9E7-E576-56A3-016D64AFE7D9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2" name="Straight Connector 84">
            <a:extLst>
              <a:ext uri="{FF2B5EF4-FFF2-40B4-BE49-F238E27FC236}">
                <a16:creationId xmlns:a16="http://schemas.microsoft.com/office/drawing/2014/main" id="{A81B28D1-7506-5E84-F683-C314114D9F3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66675</xdr:colOff>
      <xdr:row>29</xdr:row>
      <xdr:rowOff>76200</xdr:rowOff>
    </xdr:from>
    <xdr:to>
      <xdr:col>12</xdr:col>
      <xdr:colOff>205810</xdr:colOff>
      <xdr:row>30</xdr:row>
      <xdr:rowOff>83</xdr:rowOff>
    </xdr:to>
    <xdr:grpSp>
      <xdr:nvGrpSpPr>
        <xdr:cNvPr id="283" name="Grup 244">
          <a:extLst>
            <a:ext uri="{FF2B5EF4-FFF2-40B4-BE49-F238E27FC236}">
              <a16:creationId xmlns:a16="http://schemas.microsoft.com/office/drawing/2014/main" id="{50824F73-272E-4372-8ABD-E3A82B8E9ECF}"/>
            </a:ext>
          </a:extLst>
        </xdr:cNvPr>
        <xdr:cNvGrpSpPr/>
      </xdr:nvGrpSpPr>
      <xdr:grpSpPr>
        <a:xfrm>
          <a:off x="4181475" y="4524375"/>
          <a:ext cx="139135" cy="66758"/>
          <a:chOff x="13302191" y="2320613"/>
          <a:chExt cx="139135" cy="57233"/>
        </a:xfrm>
      </xdr:grpSpPr>
      <xdr:cxnSp macro="">
        <xdr:nvCxnSpPr>
          <xdr:cNvPr id="284" name="Straight Connector 81">
            <a:extLst>
              <a:ext uri="{FF2B5EF4-FFF2-40B4-BE49-F238E27FC236}">
                <a16:creationId xmlns:a16="http://schemas.microsoft.com/office/drawing/2014/main" id="{EB29B0CC-4C10-5AB7-ED09-FE60F594ED2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Straight Connector 82">
            <a:extLst>
              <a:ext uri="{FF2B5EF4-FFF2-40B4-BE49-F238E27FC236}">
                <a16:creationId xmlns:a16="http://schemas.microsoft.com/office/drawing/2014/main" id="{BDB5E16F-79FB-72C8-515E-04192BA3669B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6" name="Straight Connector 83">
            <a:extLst>
              <a:ext uri="{FF2B5EF4-FFF2-40B4-BE49-F238E27FC236}">
                <a16:creationId xmlns:a16="http://schemas.microsoft.com/office/drawing/2014/main" id="{DE82CC5A-8E87-C2EB-761E-ADF3AE35E11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7" name="Straight Connector 84">
            <a:extLst>
              <a:ext uri="{FF2B5EF4-FFF2-40B4-BE49-F238E27FC236}">
                <a16:creationId xmlns:a16="http://schemas.microsoft.com/office/drawing/2014/main" id="{291F4668-CC47-ABBF-C127-E7CF8C34B77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200025</xdr:colOff>
      <xdr:row>24</xdr:row>
      <xdr:rowOff>76200</xdr:rowOff>
    </xdr:from>
    <xdr:to>
      <xdr:col>6</xdr:col>
      <xdr:colOff>339160</xdr:colOff>
      <xdr:row>24</xdr:row>
      <xdr:rowOff>142958</xdr:rowOff>
    </xdr:to>
    <xdr:grpSp>
      <xdr:nvGrpSpPr>
        <xdr:cNvPr id="288" name="Grup 244">
          <a:extLst>
            <a:ext uri="{FF2B5EF4-FFF2-40B4-BE49-F238E27FC236}">
              <a16:creationId xmlns:a16="http://schemas.microsoft.com/office/drawing/2014/main" id="{BBE908D7-4C30-4C21-8121-877EB9315F15}"/>
            </a:ext>
          </a:extLst>
        </xdr:cNvPr>
        <xdr:cNvGrpSpPr/>
      </xdr:nvGrpSpPr>
      <xdr:grpSpPr>
        <a:xfrm>
          <a:off x="2028825" y="3762375"/>
          <a:ext cx="139135" cy="66758"/>
          <a:chOff x="13302191" y="2320613"/>
          <a:chExt cx="139135" cy="57233"/>
        </a:xfrm>
      </xdr:grpSpPr>
      <xdr:cxnSp macro="">
        <xdr:nvCxnSpPr>
          <xdr:cNvPr id="289" name="Straight Connector 81">
            <a:extLst>
              <a:ext uri="{FF2B5EF4-FFF2-40B4-BE49-F238E27FC236}">
                <a16:creationId xmlns:a16="http://schemas.microsoft.com/office/drawing/2014/main" id="{74A0F149-8FB8-1FD5-1027-2D3F037245AB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0" name="Straight Connector 82">
            <a:extLst>
              <a:ext uri="{FF2B5EF4-FFF2-40B4-BE49-F238E27FC236}">
                <a16:creationId xmlns:a16="http://schemas.microsoft.com/office/drawing/2014/main" id="{0DB64BA6-3CA4-7B48-4572-2B784312239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1" name="Straight Connector 83">
            <a:extLst>
              <a:ext uri="{FF2B5EF4-FFF2-40B4-BE49-F238E27FC236}">
                <a16:creationId xmlns:a16="http://schemas.microsoft.com/office/drawing/2014/main" id="{01DAD6A8-7A0D-70F2-B345-E3C2FCD744E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2" name="Straight Connector 84">
            <a:extLst>
              <a:ext uri="{FF2B5EF4-FFF2-40B4-BE49-F238E27FC236}">
                <a16:creationId xmlns:a16="http://schemas.microsoft.com/office/drawing/2014/main" id="{84F4054A-D869-B066-1B0B-7834A4AC1B9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219074</xdr:colOff>
      <xdr:row>17</xdr:row>
      <xdr:rowOff>95250</xdr:rowOff>
    </xdr:from>
    <xdr:to>
      <xdr:col>6</xdr:col>
      <xdr:colOff>9525</xdr:colOff>
      <xdr:row>20</xdr:row>
      <xdr:rowOff>104774</xdr:rowOff>
    </xdr:to>
    <xdr:sp macro="" textlink="">
      <xdr:nvSpPr>
        <xdr:cNvPr id="293" name="TextBox 157">
          <a:extLst>
            <a:ext uri="{FF2B5EF4-FFF2-40B4-BE49-F238E27FC236}">
              <a16:creationId xmlns:a16="http://schemas.microsoft.com/office/drawing/2014/main" id="{8DFA5ADD-C734-4905-9241-C284395B0373}"/>
            </a:ext>
          </a:extLst>
        </xdr:cNvPr>
        <xdr:cNvSpPr txBox="1"/>
      </xdr:nvSpPr>
      <xdr:spPr>
        <a:xfrm>
          <a:off x="409574" y="2714625"/>
          <a:ext cx="1428751" cy="46672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3P PASKA 53KVA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3X70+N70 = 50M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95250</xdr:colOff>
      <xdr:row>28</xdr:row>
      <xdr:rowOff>47625</xdr:rowOff>
    </xdr:from>
    <xdr:to>
      <xdr:col>12</xdr:col>
      <xdr:colOff>257175</xdr:colOff>
      <xdr:row>29</xdr:row>
      <xdr:rowOff>95250</xdr:rowOff>
    </xdr:to>
    <xdr:sp macro="" textlink="">
      <xdr:nvSpPr>
        <xdr:cNvPr id="294" name="TextBox 161">
          <a:extLst>
            <a:ext uri="{FF2B5EF4-FFF2-40B4-BE49-F238E27FC236}">
              <a16:creationId xmlns:a16="http://schemas.microsoft.com/office/drawing/2014/main" id="{8D0DD249-7C77-46F8-8323-48E14611DE22}"/>
            </a:ext>
          </a:extLst>
        </xdr:cNvPr>
        <xdr:cNvSpPr txBox="1"/>
      </xdr:nvSpPr>
      <xdr:spPr>
        <a:xfrm>
          <a:off x="3829050" y="4343400"/>
          <a:ext cx="542925" cy="20002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50M</a:t>
          </a:r>
        </a:p>
      </xdr:txBody>
    </xdr:sp>
    <xdr:clientData/>
  </xdr:twoCellAnchor>
  <xdr:twoCellAnchor>
    <xdr:from>
      <xdr:col>9</xdr:col>
      <xdr:colOff>85725</xdr:colOff>
      <xdr:row>28</xdr:row>
      <xdr:rowOff>38100</xdr:rowOff>
    </xdr:from>
    <xdr:to>
      <xdr:col>10</xdr:col>
      <xdr:colOff>247650</xdr:colOff>
      <xdr:row>29</xdr:row>
      <xdr:rowOff>85725</xdr:rowOff>
    </xdr:to>
    <xdr:sp macro="" textlink="">
      <xdr:nvSpPr>
        <xdr:cNvPr id="295" name="TextBox 161">
          <a:extLst>
            <a:ext uri="{FF2B5EF4-FFF2-40B4-BE49-F238E27FC236}">
              <a16:creationId xmlns:a16="http://schemas.microsoft.com/office/drawing/2014/main" id="{77C9680D-0D6F-48FC-A747-A89E75ABB18C}"/>
            </a:ext>
          </a:extLst>
        </xdr:cNvPr>
        <xdr:cNvSpPr txBox="1"/>
      </xdr:nvSpPr>
      <xdr:spPr>
        <a:xfrm>
          <a:off x="3057525" y="4333875"/>
          <a:ext cx="542925" cy="20002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7</xdr:col>
      <xdr:colOff>57150</xdr:colOff>
      <xdr:row>28</xdr:row>
      <xdr:rowOff>57150</xdr:rowOff>
    </xdr:from>
    <xdr:to>
      <xdr:col>8</xdr:col>
      <xdr:colOff>219075</xdr:colOff>
      <xdr:row>29</xdr:row>
      <xdr:rowOff>104775</xdr:rowOff>
    </xdr:to>
    <xdr:sp macro="" textlink="">
      <xdr:nvSpPr>
        <xdr:cNvPr id="296" name="TextBox 161">
          <a:extLst>
            <a:ext uri="{FF2B5EF4-FFF2-40B4-BE49-F238E27FC236}">
              <a16:creationId xmlns:a16="http://schemas.microsoft.com/office/drawing/2014/main" id="{7F2D015C-C677-419F-82C7-EEF50852D012}"/>
            </a:ext>
          </a:extLst>
        </xdr:cNvPr>
        <xdr:cNvSpPr txBox="1"/>
      </xdr:nvSpPr>
      <xdr:spPr>
        <a:xfrm>
          <a:off x="2266950" y="4352925"/>
          <a:ext cx="542925" cy="20002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50M</a:t>
          </a:r>
        </a:p>
      </xdr:txBody>
    </xdr:sp>
    <xdr:clientData/>
  </xdr:twoCellAnchor>
  <xdr:twoCellAnchor>
    <xdr:from>
      <xdr:col>6</xdr:col>
      <xdr:colOff>342900</xdr:colOff>
      <xdr:row>26</xdr:row>
      <xdr:rowOff>19050</xdr:rowOff>
    </xdr:from>
    <xdr:to>
      <xdr:col>7</xdr:col>
      <xdr:colOff>161925</xdr:colOff>
      <xdr:row>29</xdr:row>
      <xdr:rowOff>104775</xdr:rowOff>
    </xdr:to>
    <xdr:sp macro="" textlink="">
      <xdr:nvSpPr>
        <xdr:cNvPr id="297" name="TextBox 161">
          <a:extLst>
            <a:ext uri="{FF2B5EF4-FFF2-40B4-BE49-F238E27FC236}">
              <a16:creationId xmlns:a16="http://schemas.microsoft.com/office/drawing/2014/main" id="{59AF64B2-1E02-4048-B390-34BC2B7909D1}"/>
            </a:ext>
          </a:extLst>
        </xdr:cNvPr>
        <xdr:cNvSpPr txBox="1"/>
      </xdr:nvSpPr>
      <xdr:spPr>
        <a:xfrm rot="5400000">
          <a:off x="2000250" y="4181475"/>
          <a:ext cx="542925" cy="20002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50M</a:t>
          </a:r>
        </a:p>
      </xdr:txBody>
    </xdr:sp>
    <xdr:clientData/>
  </xdr:twoCellAnchor>
  <xdr:twoCellAnchor>
    <xdr:from>
      <xdr:col>6</xdr:col>
      <xdr:colOff>247650</xdr:colOff>
      <xdr:row>21</xdr:row>
      <xdr:rowOff>123825</xdr:rowOff>
    </xdr:from>
    <xdr:to>
      <xdr:col>7</xdr:col>
      <xdr:colOff>66675</xdr:colOff>
      <xdr:row>25</xdr:row>
      <xdr:rowOff>57150</xdr:rowOff>
    </xdr:to>
    <xdr:sp macro="" textlink="">
      <xdr:nvSpPr>
        <xdr:cNvPr id="298" name="TextBox 161">
          <a:extLst>
            <a:ext uri="{FF2B5EF4-FFF2-40B4-BE49-F238E27FC236}">
              <a16:creationId xmlns:a16="http://schemas.microsoft.com/office/drawing/2014/main" id="{6211819D-087F-4BAC-9A92-CAFFAD5AF67C}"/>
            </a:ext>
          </a:extLst>
        </xdr:cNvPr>
        <xdr:cNvSpPr txBox="1"/>
      </xdr:nvSpPr>
      <xdr:spPr>
        <a:xfrm rot="5400000">
          <a:off x="1905000" y="3524250"/>
          <a:ext cx="542925" cy="20002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50M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404279-5794-47A4-A56D-E601DD319D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8</xdr:col>
      <xdr:colOff>473209</xdr:colOff>
      <xdr:row>8</xdr:row>
      <xdr:rowOff>124174</xdr:rowOff>
    </xdr:from>
    <xdr:to>
      <xdr:col>9</xdr:col>
      <xdr:colOff>393998</xdr:colOff>
      <xdr:row>18</xdr:row>
      <xdr:rowOff>261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2F68B73-66BF-4119-9F58-CAD0A93AEFCD}"/>
            </a:ext>
          </a:extLst>
        </xdr:cNvPr>
        <xdr:cNvSpPr/>
      </xdr:nvSpPr>
      <xdr:spPr>
        <a:xfrm rot="18245934">
          <a:off x="4038860" y="1930623"/>
          <a:ext cx="1495337" cy="530389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90664F4-84DD-44C6-BE99-3939B49D04F2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4</xdr:row>
      <xdr:rowOff>162126</xdr:rowOff>
    </xdr:from>
    <xdr:to>
      <xdr:col>26</xdr:col>
      <xdr:colOff>141861</xdr:colOff>
      <xdr:row>54</xdr:row>
      <xdr:rowOff>121594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301BA5D-E667-3370-C205-4A6AE2452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032" y="810637"/>
          <a:ext cx="14084840" cy="806585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7540CC-F057-4E3D-ADE6-CF17E2D2CF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C316F69-E384-4EAB-99B2-CE2E812DD55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4</xdr:col>
      <xdr:colOff>-1</xdr:colOff>
      <xdr:row>8</xdr:row>
      <xdr:rowOff>-1</xdr:rowOff>
    </xdr:from>
    <xdr:to>
      <xdr:col>28</xdr:col>
      <xdr:colOff>66452</xdr:colOff>
      <xdr:row>59</xdr:row>
      <xdr:rowOff>44301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02389A-B0C9-9E65-BA08-3396F7185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557" y="1218313"/>
          <a:ext cx="14464709" cy="795226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B%20RAB%20KA%20ALASKA%203X11%20KVA2.xlsx" TargetMode="External"/><Relationship Id="rId1" Type="http://schemas.openxmlformats.org/officeDocument/2006/relationships/externalLinkPath" Target="/Users/junjun.baheransyah/Downloads/52553_KKO_KKF_PB%20RAB%20KA%20ALASKA%203X11%20KVA2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 refreshError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 (2)"/>
      <sheetName val="GAMBAR FULL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/>
      <sheetData sheetId="20">
        <row r="12">
          <cell r="D12">
            <v>0.54400000000000004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>
        <row r="2">
          <cell r="F2">
            <v>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8" t="s">
        <v>1133</v>
      </c>
      <c r="C4" s="518"/>
      <c r="D4" s="518"/>
      <c r="E4" s="518"/>
      <c r="F4" s="518"/>
      <c r="G4" s="518"/>
      <c r="H4" s="51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9" t="s">
        <v>0</v>
      </c>
      <c r="C7" s="519" t="s">
        <v>1</v>
      </c>
      <c r="D7" s="520" t="s">
        <v>42</v>
      </c>
      <c r="E7" s="520" t="s">
        <v>43</v>
      </c>
      <c r="F7" s="520" t="s">
        <v>1134</v>
      </c>
      <c r="G7" s="521" t="s">
        <v>41</v>
      </c>
      <c r="H7" s="517" t="s">
        <v>1042</v>
      </c>
      <c r="I7" s="517" t="s">
        <v>1136</v>
      </c>
      <c r="J7" s="517" t="s">
        <v>1026</v>
      </c>
      <c r="K7" s="511" t="s">
        <v>1024</v>
      </c>
      <c r="L7" s="512"/>
    </row>
    <row r="8" spans="1:12" ht="15" customHeight="1">
      <c r="B8" s="519"/>
      <c r="C8" s="519"/>
      <c r="D8" s="520"/>
      <c r="E8" s="520"/>
      <c r="F8" s="520"/>
      <c r="G8" s="521"/>
      <c r="H8" s="517"/>
      <c r="I8" s="517"/>
      <c r="J8" s="517"/>
      <c r="K8" s="513"/>
      <c r="L8" s="514"/>
    </row>
    <row r="9" spans="1:12" ht="15" customHeight="1">
      <c r="B9" s="519"/>
      <c r="C9" s="519"/>
      <c r="D9" s="520"/>
      <c r="E9" s="520"/>
      <c r="F9" s="520"/>
      <c r="G9" s="521"/>
      <c r="H9" s="517"/>
      <c r="I9" s="517"/>
      <c r="J9" s="517"/>
      <c r="K9" s="515"/>
      <c r="L9" s="51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53 kVA MCCB 80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9</v>
      </c>
      <c r="G17" s="41">
        <f ca="1">IF(ISERROR(OFFSET('HARGA SATUAN'!$I$6,MATCH(C17,'HARGA SATUAN'!$C$7:$C$1495,0),0)),"",OFFSET('HARGA SATUAN'!$I$6,MATCH(C17,'HARGA SATUAN'!$C$7:$C$1495,0),0))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360</v>
      </c>
      <c r="G18" s="41">
        <f ca="1">IF(ISERROR(OFFSET('HARGA SATUAN'!$I$6,MATCH(C18,'HARGA SATUAN'!$C$7:$C$1495,0),0)),"",OFFSET('HARGA SATUAN'!$I$6,MATCH(C18,'HARGA SATUAN'!$C$7:$C$1495,0),0))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SATUAN'!$C$7:$C$1495,0),0)),"",OFFSET('HARGA SATUAN'!$D$6,MATCH(C19,'HARGA SATUAN'!$C$7:$C$1495,0),0))</f>
        <v>HDW</v>
      </c>
      <c r="E19" s="101" t="str">
        <f ca="1">IF(B19="+","Unit",IF(ISERROR(OFFSET('HARGA SATUAN'!$E$6,MATCH(C19,'HARGA SATUAN'!$C$7:$C$1495,0),0)),"",OFFSET('HARGA SATUAN'!$E$6,MATCH(C19,'HARGA SATUAN'!$C$7:$C$1495,0),0)))</f>
        <v>Unit</v>
      </c>
      <c r="F19" s="138">
        <f t="shared" ca="1" si="2"/>
        <v>1</v>
      </c>
      <c r="G19" s="41">
        <f ca="1">IF(ISERROR(OFFSET('HARGA SATUAN'!$I$6,MATCH(C19,'HARGA SATUAN'!$C$7:$C$1495,0),0)),"",OFFSET('HARGA SATUAN'!$I$6,MATCH(C19,'HARGA SATUAN'!$C$7:$C$1495,0),0))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SUMIFS(RAB!$F$14:$F$121,RAB!$C$14:$C$121,C714)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SUMIFS(RAB!$F$14:$F$121,RAB!$C$14:$C$121,C715)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SUMIFS(RAB!$F$14:$F$121,RAB!$C$14:$C$121,C716)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SUMIFS(RAB!$F$14:$F$121,RAB!$C$14:$C$121,C717)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SUMIFS(RAB!$F$14:$F$121,RAB!$C$14:$C$121,C718)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SUMIFS(RAB!$F$14:$F$121,RAB!$C$14:$C$121,C719)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SUMIFS(RAB!$F$14:$F$121,RAB!$C$14:$C$121,C720)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SUMIFS(RAB!$F$14:$F$121,RAB!$C$14:$C$121,C721)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SUMIFS(RAB!$F$14:$F$121,RAB!$C$14:$C$121,C722)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SUMIFS(RAB!$F$14:$F$121,RAB!$C$14:$C$121,C723)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SUMIFS(RAB!$F$14:$F$121,RAB!$C$14:$C$121,C724)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SUMIFS(RAB!$F$14:$F$121,RAB!$C$14:$C$121,C725)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SUMIFS(RAB!$F$14:$F$121,RAB!$C$14:$C$121,C726)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SUMIFS(RAB!$F$14:$F$121,RAB!$C$14:$C$121,C727)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SUMIFS(RAB!$F$14:$F$121,RAB!$C$14:$C$121,C728)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SUMIFS(RAB!$F$14:$F$121,RAB!$C$14:$C$121,C729)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SUMIFS(RAB!$F$14:$F$121,RAB!$C$14:$C$121,C730)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SUMIFS(RAB!$F$14:$F$121,RAB!$C$14:$C$121,C731)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SUMIFS(RAB!$F$14:$F$121,RAB!$C$14:$C$121,C732)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SUMIFS(RAB!$F$14:$F$121,RAB!$C$14:$C$121,C733)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SUMIFS(RAB!$F$14:$F$121,RAB!$C$14:$C$121,C734)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SUMIFS(RAB!$F$14:$F$121,RAB!$C$14:$C$121,C735)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SUMIFS(RAB!$F$14:$F$121,RAB!$C$14:$C$121,C736)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SUMIFS(RAB!$F$14:$F$121,RAB!$C$14:$C$121,C737)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SUMIFS(RAB!$F$14:$F$121,RAB!$C$14:$C$121,C738)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SUMIFS(RAB!$F$14:$F$121,RAB!$C$14:$C$121,C739)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SUMIFS(RAB!$F$14:$F$121,RAB!$C$14:$C$121,C740)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SUMIFS(RAB!$F$14:$F$121,RAB!$C$14:$C$121,C741)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SUMIFS(RAB!$F$14:$F$121,RAB!$C$14:$C$121,C742)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SUMIFS(RAB!$F$14:$F$121,RAB!$C$14:$C$121,C743)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SUMIFS(RAB!$F$14:$F$121,RAB!$C$14:$C$121,C744)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SUMIFS(RAB!$F$14:$F$121,RAB!$C$14:$C$121,C745)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SUMIFS(RAB!$F$14:$F$121,RAB!$C$14:$C$121,C746)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SUMIFS(RAB!$F$14:$F$121,RAB!$C$14:$C$121,C747)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SUMIFS(RAB!$F$14:$F$121,RAB!$C$14:$C$121,C748)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SUMIFS(RAB!$F$14:$F$121,RAB!$C$14:$C$121,C749)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SUMIFS(RAB!$F$14:$F$121,RAB!$C$14:$C$121,C750)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SUMIFS(RAB!$F$14:$F$121,RAB!$C$14:$C$121,C751)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SUMIFS(RAB!$F$14:$F$121,RAB!$C$14:$C$121,C752)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SUMIFS(RAB!$F$14:$F$121,RAB!$C$14:$C$121,C753)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SUMIFS(RAB!$F$14:$F$121,RAB!$C$14:$C$121,C754)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SUMIFS(RAB!$F$14:$F$121,RAB!$C$14:$C$121,C755)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SUMIFS(RAB!$F$14:$F$121,RAB!$C$14:$C$121,C756)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SUMIFS(RAB!$F$14:$F$121,RAB!$C$14:$C$121,C757)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SUMIFS(RAB!$F$14:$F$121,RAB!$C$14:$C$121,C758)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SUMIFS(RAB!$F$14:$F$121,RAB!$C$14:$C$121,C759)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SUMIFS(RAB!$F$14:$F$121,RAB!$C$14:$C$121,C760)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SUMIFS(RAB!$F$14:$F$121,RAB!$C$14:$C$121,C761)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SUMIFS(RAB!$F$14:$F$121,RAB!$C$14:$C$121,C762)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SUMIFS(RAB!$F$14:$F$121,RAB!$C$14:$C$121,C763)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SUMIFS(RAB!$F$14:$F$121,RAB!$C$14:$C$121,C764)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SUMIFS(RAB!$F$14:$F$121,RAB!$C$14:$C$121,C765)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SUMIFS(RAB!$F$14:$F$121,RAB!$C$14:$C$121,C766)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SUMIFS(RAB!$F$14:$F$121,RAB!$C$14:$C$121,C767)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SUMIFS(RAB!$F$14:$F$121,RAB!$C$14:$C$121,C768)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SUMIFS(RAB!$F$14:$F$121,RAB!$C$14:$C$121,C769)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SUMIFS(RAB!$F$14:$F$121,RAB!$C$14:$C$121,C770)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SUMIFS(RAB!$F$14:$F$121,RAB!$C$14:$C$121,C771)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SUMIFS(RAB!$F$14:$F$121,RAB!$C$14:$C$121,C772)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SUMIFS(RAB!$F$14:$F$121,RAB!$C$14:$C$121,C773)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SUMIFS(RAB!$F$14:$F$121,RAB!$C$14:$C$121,C774)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SUMIFS(RAB!$F$14:$F$121,RAB!$C$14:$C$121,C775)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SUMIFS(RAB!$F$14:$F$121,RAB!$C$14:$C$121,C776)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SUMIFS(RAB!$F$14:$F$121,RAB!$C$14:$C$121,C777)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SUMIFS(RAB!$F$14:$F$121,RAB!$C$14:$C$121,C778)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SUMIFS(RAB!$F$14:$F$121,RAB!$C$14:$C$121,C779)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SUMIFS(RAB!$F$14:$F$121,RAB!$C$14:$C$121,C780)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SUMIFS(RAB!$F$14:$F$121,RAB!$C$14:$C$121,C781)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SUMIFS(RAB!$F$14:$F$121,RAB!$C$14:$C$121,C782)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SUMIFS(RAB!$F$14:$F$121,RAB!$C$14:$C$121,C783)</f>
        <v>1</v>
      </c>
      <c r="E783" s="26">
        <f t="shared" ca="1" si="34"/>
        <v>1</v>
      </c>
      <c r="F783" s="26">
        <f ca="1">IF(D783=0,0,SUM($E$713:E783))</f>
        <v>2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SUMIFS(RAB!$F$14:$F$121,RAB!$C$14:$C$121,C784)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SUMIFS(RAB!$F$14:$F$121,RAB!$C$14:$C$121,C785)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SUMIFS(RAB!$F$14:$F$121,RAB!$C$14:$C$121,C786)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SUMIFS(RAB!$F$14:$F$121,RAB!$C$14:$C$121,C787)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SUMIFS(RAB!$F$14:$F$121,RAB!$C$14:$C$121,C788)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SUMIFS(RAB!$F$14:$F$121,RAB!$C$14:$C$121,C789)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SUMIFS(RAB!$F$14:$F$121,RAB!$C$14:$C$121,C790)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SUMIFS(RAB!$F$14:$F$121,RAB!$C$14:$C$121,C791)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SUMIFS(RAB!$F$14:$F$121,RAB!$C$14:$C$121,C792)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SUMIFS(RAB!$F$14:$F$121,RAB!$C$14:$C$121,C793)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SUMIFS(RAB!$F$14:$F$121,RAB!$C$14:$C$121,C794)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SUMIFS(RAB!$F$14:$F$121,RAB!$C$14:$C$121,C795)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SUMIFS(RAB!$F$14:$F$121,RAB!$C$14:$C$121,C796)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SUMIFS(RAB!$F$14:$F$121,RAB!$C$14:$C$121,C797)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SUMIFS(RAB!$F$14:$F$121,RAB!$C$14:$C$121,C798)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SUMIFS(RAB!$F$14:$F$121,RAB!$C$14:$C$121,C799)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SUMIFS(RAB!$F$14:$F$121,RAB!$C$14:$C$121,C800)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SUMIFS(RAB!$F$14:$F$121,RAB!$C$14:$C$121,C801)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SUMIFS(RAB!$F$14:$F$121,RAB!$C$14:$C$121,C802)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SUMIFS(RAB!$F$14:$F$121,RAB!$C$14:$C$121,C803)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SUMIFS(RAB!$F$14:$F$121,RAB!$C$14:$C$121,C804)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SUMIFS(RAB!$F$14:$F$121,RAB!$C$14:$C$121,C805)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SUMIFS(RAB!$F$14:$F$121,RAB!$C$14:$C$121,C806)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SUMIFS(RAB!$F$14:$F$121,RAB!$C$14:$C$121,C807)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SUMIFS(RAB!$F$14:$F$121,RAB!$C$14:$C$121,C808)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SUMIFS(RAB!$F$14:$F$121,RAB!$C$14:$C$121,C809)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SUMIFS(RAB!$F$14:$F$121,RAB!$C$14:$C$121,C810)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SUMIFS(RAB!$F$14:$F$121,RAB!$C$14:$C$121,C811)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SUMIFS(RAB!$F$14:$F$121,RAB!$C$14:$C$121,C812)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SUMIFS(RAB!$F$14:$F$121,RAB!$C$14:$C$121,C813)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SUMIFS(RAB!$F$14:$F$121,RAB!$C$14:$C$121,C814)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SUMIFS(RAB!$F$14:$F$121,RAB!$C$14:$C$121,C815)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SUMIFS(RAB!$F$14:$F$121,RAB!$C$14:$C$121,C816)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SUMIFS(RAB!$F$14:$F$121,RAB!$C$14:$C$121,C817)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SUMIFS(RAB!$F$14:$F$121,RAB!$C$14:$C$121,C818)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SUMIFS(RAB!$F$14:$F$121,RAB!$C$14:$C$121,C819)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SUMIFS(RAB!$F$14:$F$121,RAB!$C$14:$C$121,C820)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SUMIFS(RAB!$F$14:$F$121,RAB!$C$14:$C$121,C821)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SUMIFS(RAB!$F$14:$F$121,RAB!$C$14:$C$121,C822)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SUMIFS(RAB!$F$14:$F$121,RAB!$C$14:$C$121,C823)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SUMIFS(RAB!$F$14:$F$121,RAB!$C$14:$C$121,C824)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SUMIFS(RAB!$F$14:$F$121,RAB!$C$14:$C$121,C825)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SUMIFS(RAB!$F$14:$F$121,RAB!$C$14:$C$121,C826)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SUMIFS(RAB!$F$14:$F$121,RAB!$C$14:$C$121,C827)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SUMIFS(RAB!$F$14:$F$121,RAB!$C$14:$C$121,C828)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SUMIFS(RAB!$F$14:$F$121,RAB!$C$14:$C$121,C829)</f>
        <v>9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SUMIFS(RAB!$F$14:$F$121,RAB!$C$14:$C$121,C830)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SUMIFS(RAB!$F$14:$F$121,RAB!$C$14:$C$121,C831)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SUMIFS(RAB!$F$14:$F$121,RAB!$C$14:$C$121,C832)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SUMIFS(RAB!$F$14:$F$121,RAB!$C$14:$C$121,C833)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SUMIFS(RAB!$F$14:$F$121,RAB!$C$14:$C$121,C834)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SUMIFS(RAB!$F$14:$F$121,RAB!$C$14:$C$121,C835)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SUMIFS(RAB!$F$14:$F$121,RAB!$C$14:$C$121,C836)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SUMIFS(RAB!$F$14:$F$121,RAB!$C$14:$C$121,C837)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SUMIFS(RAB!$F$14:$F$121,RAB!$C$14:$C$121,C838)</f>
        <v>360</v>
      </c>
      <c r="E838" s="26">
        <f t="shared" ca="1" si="34"/>
        <v>1</v>
      </c>
      <c r="F838" s="26">
        <f ca="1">IF(D838=0,0,SUM($E$713:E838))</f>
        <v>7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SUMIFS(RAB!$F$14:$F$121,RAB!$C$14:$C$121,C839)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SUMIFS(RAB!$F$14:$F$121,RAB!$C$14:$C$121,C840)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SUMIFS(RAB!$F$14:$F$121,RAB!$C$14:$C$121,C841)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SUMIFS(RAB!$F$14:$F$121,RAB!$C$14:$C$121,C842)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SUMIFS(RAB!$F$14:$F$121,RAB!$C$14:$C$121,C843)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SUMIFS(RAB!$F$14:$F$121,RAB!$C$14:$C$121,C844)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SUMIFS(RAB!$F$14:$F$121,RAB!$C$14:$C$121,C845)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SUMIFS(RAB!$F$14:$F$121,RAB!$C$14:$C$121,C846)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SUMIFS(RAB!$F$14:$F$121,RAB!$C$14:$C$121,C847)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SUMIFS(RAB!$F$14:$F$121,RAB!$C$14:$C$121,C848)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SUMIFS(RAB!$F$14:$F$121,RAB!$C$14:$C$121,C849)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SUMIFS(RAB!$F$14:$F$121,RAB!$C$14:$C$121,C850)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SUMIFS(RAB!$F$14:$F$121,RAB!$C$14:$C$121,C851)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SUMIFS(RAB!$F$14:$F$121,RAB!$C$14:$C$121,C852)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SUMIFS(RAB!$F$14:$F$121,RAB!$C$14:$C$121,C853)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SUMIFS(RAB!$F$14:$F$121,RAB!$C$14:$C$121,C854)</f>
        <v>1</v>
      </c>
      <c r="E854" s="26">
        <f t="shared" ca="1" si="35"/>
        <v>1</v>
      </c>
      <c r="F854" s="26">
        <f ca="1">IF(D854=0,0,SUM($E$713:E854))</f>
        <v>8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SUMIFS(RAB!$F$14:$F$121,RAB!$C$14:$C$121,C855)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SUMIFS(RAB!$F$14:$F$121,RAB!$C$14:$C$121,C856)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SUMIFS(RAB!$F$14:$F$121,RAB!$C$14:$C$121,C857)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SUMIFS(RAB!$F$14:$F$121,RAB!$C$14:$C$121,C858)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SUMIFS(RAB!$F$14:$F$121,RAB!$C$14:$C$121,C859)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SUMIFS(RAB!$F$14:$F$121,RAB!$C$14:$C$121,C860)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SUMIFS(RAB!$F$14:$F$121,RAB!$C$14:$C$121,C861)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SUMIFS(RAB!$F$14:$F$121,RAB!$C$14:$C$121,C862)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SUMIFS(RAB!$F$14:$F$121,RAB!$C$14:$C$121,C863)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SUMIFS(RAB!$F$14:$F$121,RAB!$C$14:$C$121,C864)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SUMIFS(RAB!$F$14:$F$121,RAB!$C$14:$C$121,C865)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SUMIFS(RAB!$F$14:$F$121,RAB!$C$14:$C$121,C866)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SUMIFS(RAB!$F$14:$F$121,RAB!$C$14:$C$121,C867)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SUMIFS(RAB!$F$14:$F$121,RAB!$C$14:$C$121,C868)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SUMIFS(RAB!$F$14:$F$121,RAB!$C$14:$C$121,C869)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SUMIFS(RAB!$F$14:$F$121,RAB!$C$14:$C$121,C870)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SUMIFS(RAB!$F$14:$F$121,RAB!$C$14:$C$121,C871)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SUMIFS(RAB!$F$14:$F$121,RAB!$C$14:$C$121,C872)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SUMIFS(RAB!$F$14:$F$121,RAB!$C$14:$C$121,C873)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SUMIFS(RAB!$F$14:$F$121,RAB!$C$14:$C$121,C874)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SUMIFS(RAB!$F$14:$F$121,RAB!$C$14:$C$121,C875)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SUMIFS(RAB!$F$14:$F$121,RAB!$C$14:$C$121,C876)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SUMIFS(RAB!$F$14:$F$121,RAB!$C$14:$C$121,C877)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SUMIFS(RAB!$F$14:$F$121,RAB!$C$14:$C$121,C878)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SUMIFS(RAB!$F$14:$F$121,RAB!$C$14:$C$121,C879)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SUMIFS(RAB!$F$14:$F$121,RAB!$C$14:$C$121,C880)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SUMIFS(RAB!$F$14:$F$121,RAB!$C$14:$C$121,C881)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SUMIFS(RAB!$F$14:$F$121,RAB!$C$14:$C$121,C882)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SUMIFS(RAB!$F$14:$F$121,RAB!$C$14:$C$121,C883)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SUMIFS(RAB!$F$14:$F$121,RAB!$C$14:$C$121,C884)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SUMIFS(RAB!$F$14:$F$121,RAB!$C$14:$C$121,C885)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SUMIFS(RAB!$F$14:$F$121,RAB!$C$14:$C$121,C886)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SUMIFS(RAB!$F$14:$F$121,RAB!$C$14:$C$121,C887)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SUMIFS(RAB!$F$14:$F$121,RAB!$C$14:$C$121,C888)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SUMIFS(RAB!$F$14:$F$121,RAB!$C$14:$C$121,C889)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SUMIFS(RAB!$F$14:$F$121,RAB!$C$14:$C$121,C890)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SUMIFS(RAB!$F$14:$F$121,RAB!$C$14:$C$121,C891)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SUMIFS(RAB!$F$14:$F$121,RAB!$C$14:$C$121,C892)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SUMIFS(RAB!$F$14:$F$121,RAB!$C$14:$C$121,C893)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SUMIFS(RAB!$F$14:$F$121,RAB!$C$14:$C$121,C894)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SUMIFS(RAB!$F$14:$F$121,RAB!$C$14:$C$121,C895)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SUMIFS(RAB!$F$14:$F$121,RAB!$C$14:$C$121,C896)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SUMIFS(RAB!$F$14:$F$121,RAB!$C$14:$C$121,C897)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SUMIFS(RAB!$F$14:$F$121,RAB!$C$14:$C$121,C898)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SUMIFS(RAB!$F$14:$F$121,RAB!$C$14:$C$121,C899)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SUMIFS(RAB!$F$14:$F$121,RAB!$C$14:$C$121,C900)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SUMIFS(RAB!$F$14:$F$121,RAB!$C$14:$C$121,C901)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SUMIFS(RAB!$F$14:$F$121,RAB!$C$14:$C$121,C902)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SUMIFS(RAB!$F$14:$F$121,RAB!$C$14:$C$121,C903)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SUMIFS(RAB!$F$14:$F$121,RAB!$C$14:$C$121,C904)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SUMIFS(RAB!$F$14:$F$121,RAB!$C$14:$C$121,C905)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SUMIFS(RAB!$F$14:$F$121,RAB!$C$14:$C$121,C906)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SUMIFS(RAB!$F$14:$F$121,RAB!$C$14:$C$121,C907)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SUMIFS(RAB!$F$14:$F$121,RAB!$C$14:$C$121,C908)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SUMIFS(RAB!$F$14:$F$121,RAB!$C$14:$C$121,C909)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SUMIFS(RAB!$F$14:$F$121,RAB!$C$14:$C$121,C910)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SUMIFS(RAB!$F$14:$F$121,RAB!$C$14:$C$121,C911)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SUMIFS(RAB!$F$14:$F$121,RAB!$C$14:$C$121,C912)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SUMIFS(RAB!$F$14:$F$121,RAB!$C$14:$C$121,C913)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SUMIFS(RAB!$F$14:$F$121,RAB!$C$14:$C$121,C914)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SUMIFS(RAB!$F$14:$F$121,RAB!$C$14:$C$121,C915)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SUMIFS(RAB!$F$14:$F$121,RAB!$C$14:$C$121,C916)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SUMIFS(RAB!$F$14:$F$121,RAB!$C$14:$C$121,C917)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SUMIFS(RAB!$F$14:$F$121,RAB!$C$14:$C$121,C918)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SUMIFS(RAB!$F$14:$F$121,RAB!$C$14:$C$121,C919)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SUMIFS(RAB!$F$14:$F$121,RAB!$C$14:$C$121,C920)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SUMIFS(RAB!$F$14:$F$121,RAB!$C$14:$C$121,C921)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SUMIFS(RAB!$F$14:$F$121,RAB!$C$14:$C$121,C922)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SUMIFS(RAB!$F$14:$F$121,RAB!$C$14:$C$121,C923)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SUMIFS(RAB!$F$14:$F$121,RAB!$C$14:$C$121,C924)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SUMIFS(RAB!$F$14:$F$121,RAB!$C$14:$C$121,C925)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SUMIFS(RAB!$F$14:$F$121,RAB!$C$14:$C$121,C926)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SUMIFS(RAB!$F$14:$F$121,RAB!$C$14:$C$121,C927)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SUMIFS(RAB!$F$14:$F$121,RAB!$C$14:$C$121,C928)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SUMIFS(RAB!$F$14:$F$121,RAB!$C$14:$C$121,C929)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SUMIFS(RAB!$F$14:$F$121,RAB!$C$14:$C$121,C930)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SUMIFS(RAB!$F$14:$F$121,RAB!$C$14:$C$121,C931)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SUMIFS(RAB!$F$14:$F$121,RAB!$C$14:$C$121,C932)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SUMIFS(RAB!$F$14:$F$121,RAB!$C$14:$C$121,C933)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SUMIFS(RAB!$F$14:$F$121,RAB!$C$14:$C$121,C934)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SUMIFS(RAB!$F$14:$F$121,RAB!$C$14:$C$121,C935)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SUMIFS(RAB!$F$14:$F$121,RAB!$C$14:$C$121,C936)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SUMIFS(RAB!$F$14:$F$121,RAB!$C$14:$C$121,C937)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SUMIFS(RAB!$F$14:$F$121,RAB!$C$14:$C$121,C938)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SUMIFS(RAB!$F$14:$F$121,RAB!$C$14:$C$121,C939)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SUMIFS(RAB!$F$14:$F$121,RAB!$C$14:$C$121,C940)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SUMIFS(RAB!$F$14:$F$121,RAB!$C$14:$C$121,C941)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SUMIFS(RAB!$F$14:$F$121,RAB!$C$14:$C$121,C942)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SUMIFS(RAB!$F$14:$F$121,RAB!$C$14:$C$121,C943)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SUMIFS(RAB!$F$14:$F$121,RAB!$C$14:$C$121,C944)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SUMIFS(RAB!$F$14:$F$121,RAB!$C$14:$C$121,C945)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SUMIFS(RAB!$F$14:$F$121,RAB!$C$14:$C$121,C946)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SUMIFS(RAB!$F$14:$F$121,RAB!$C$14:$C$121,C947)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SUMIFS(RAB!$F$14:$F$121,RAB!$C$14:$C$121,C948)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SUMIFS(RAB!$F$14:$F$121,RAB!$C$14:$C$121,C949)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SUMIFS(RAB!$F$14:$F$121,RAB!$C$14:$C$121,C950)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SUMIFS(RAB!$F$14:$F$121,RAB!$C$14:$C$121,C951)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SUMIFS(RAB!$F$14:$F$121,RAB!$C$14:$C$121,C952)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SUMIFS(RAB!$F$14:$F$121,RAB!$C$14:$C$121,C953)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SUMIFS(RAB!$F$14:$F$121,RAB!$C$14:$C$121,C954)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SUMIFS(RAB!$F$14:$F$121,RAB!$C$14:$C$121,C955)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SUMIFS(RAB!$F$14:$F$121,RAB!$C$14:$C$121,C956)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SUMIFS(RAB!$F$14:$F$121,RAB!$C$14:$C$121,C957)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SUMIFS(RAB!$F$14:$F$121,RAB!$C$14:$C$121,C958)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SUMIFS(RAB!$F$14:$F$121,RAB!$C$14:$C$121,C959)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SUMIFS(RAB!$F$14:$F$121,RAB!$C$14:$C$121,C960)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SUMIFS(RAB!$F$14:$F$121,RAB!$C$14:$C$121,C961)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SUMIFS(RAB!$F$14:$F$121,RAB!$C$14:$C$121,C962)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SUMIFS(RAB!$F$14:$F$121,RAB!$C$14:$C$121,C963)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SUMIFS(RAB!$F$14:$F$121,RAB!$C$14:$C$121,C964)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SUMIFS(RAB!$F$14:$F$121,RAB!$C$14:$C$121,C965)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SUMIFS(RAB!$F$14:$F$121,RAB!$C$14:$C$121,C966)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SUMIFS(RAB!$F$14:$F$121,RAB!$C$14:$C$121,C967)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SUMIFS(RAB!$F$14:$F$121,RAB!$C$14:$C$121,C968)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SUMIFS(RAB!$F$14:$F$121,RAB!$C$14:$C$121,C969)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SUMIFS(RAB!$F$14:$F$121,RAB!$C$14:$C$121,C970)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SUMIFS(RAB!$F$14:$F$121,RAB!$C$14:$C$121,C971)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SUMIFS(RAB!$F$14:$F$121,RAB!$C$14:$C$121,C972)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SUMIFS(RAB!$F$14:$F$121,RAB!$C$14:$C$121,C973)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SUMIFS(RAB!$F$14:$F$121,RAB!$C$14:$C$121,C974)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SUMIFS(RAB!$F$14:$F$121,RAB!$C$14:$C$121,C975)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SUMIFS(RAB!$F$14:$F$121,RAB!$C$14:$C$121,C976)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SUMIFS(RAB!$F$14:$F$121,RAB!$C$14:$C$121,C977)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SUMIFS(RAB!$F$14:$F$121,RAB!$C$14:$C$121,C978)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SUMIFS(RAB!$F$14:$F$121,RAB!$C$14:$C$121,C979)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SUMIFS(RAB!$F$14:$F$121,RAB!$C$14:$C$121,C980)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SUMIFS(RAB!$F$14:$F$121,RAB!$C$14:$C$121,C981)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SUMIFS(RAB!$F$14:$F$121,RAB!$C$14:$C$121,C982)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SUMIFS(RAB!$F$14:$F$121,RAB!$C$14:$C$121,C983)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SUMIFS(RAB!$F$14:$F$121,RAB!$C$14:$C$121,C984)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SUMIFS(RAB!$F$14:$F$121,RAB!$C$14:$C$121,C985)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SUMIFS(RAB!$F$14:$F$121,RAB!$C$14:$C$121,C986)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SUMIFS(RAB!$F$14:$F$121,RAB!$C$14:$C$121,C987)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SUMIFS(RAB!$F$14:$F$121,RAB!$C$14:$C$121,C988)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SUMIFS(RAB!$F$14:$F$121,RAB!$C$14:$C$121,C989)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SUMIFS(RAB!$F$14:$F$121,RAB!$C$14:$C$121,C990)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SUMIFS(RAB!$F$14:$F$121,RAB!$C$14:$C$121,C991)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SUMIFS(RAB!$F$14:$F$121,RAB!$C$14:$C$121,C992)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SUMIFS(RAB!$F$14:$F$121,RAB!$C$14:$C$121,C993)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SUMIFS(RAB!$F$14:$F$121,RAB!$C$14:$C$121,C994)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SUMIFS(RAB!$F$14:$F$121,RAB!$C$14:$C$121,C995)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SUMIFS(RAB!$F$14:$F$121,RAB!$C$14:$C$121,C996)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SUMIFS(RAB!$F$14:$F$121,RAB!$C$14:$C$121,C997)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SUMIFS(RAB!$F$14:$F$121,RAB!$C$14:$C$121,C998)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SUMIFS(RAB!$F$14:$F$121,RAB!$C$14:$C$121,C999)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SUMIFS(RAB!$F$14:$F$121,RAB!$C$14:$C$121,C1000)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SUMIFS(RAB!$F$14:$F$121,RAB!$C$14:$C$121,C1001)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SUMIFS(RAB!$F$14:$F$121,RAB!$C$14:$C$121,C1002)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SUMIFS(RAB!$F$14:$F$121,RAB!$C$14:$C$121,C1003)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SUMIFS(RAB!$F$14:$F$121,RAB!$C$14:$C$121,C1004)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SUMIFS(RAB!$F$14:$F$121,RAB!$C$14:$C$121,C1005)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SUMIFS(RAB!$F$14:$F$121,RAB!$C$14:$C$121,C1006)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SUMIFS(RAB!$F$14:$F$121,RAB!$C$14:$C$121,C1007)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SUMIFS(RAB!$F$14:$F$121,RAB!$C$14:$C$121,C1008)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SUMIFS(RAB!$F$14:$F$121,RAB!$C$14:$C$121,C1009)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SUMIFS(RAB!$F$14:$F$121,RAB!$C$14:$C$121,C1010)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SUMIFS(RAB!$F$14:$F$121,RAB!$C$14:$C$121,C1011)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SUMIFS(RAB!$F$14:$F$121,RAB!$C$14:$C$121,C1012)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SUMIFS(RAB!$F$14:$F$121,RAB!$C$14:$C$121,C1013)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SUMIFS(RAB!$F$14:$F$121,RAB!$C$14:$C$121,C1014)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SUMIFS(RAB!$F$14:$F$121,RAB!$C$14:$C$121,C1015)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SUMIFS(RAB!$F$14:$F$121,RAB!$C$14:$C$121,C1016)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SUMIFS(RAB!$F$14:$F$121,RAB!$C$14:$C$121,C1017)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SUMIFS(RAB!$F$14:$F$121,RAB!$C$14:$C$121,C1018)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SUMIFS(RAB!$F$14:$F$121,RAB!$C$14:$C$121,C1019)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SUMIFS(RAB!$F$14:$F$121,RAB!$C$14:$C$121,C1020)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SUMIFS(RAB!$F$14:$F$121,RAB!$C$14:$C$121,C1021)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SUMIFS(RAB!$F$14:$F$121,RAB!$C$14:$C$121,C1022)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SUMIFS(RAB!$F$14:$F$121,RAB!$C$14:$C$121,C1023)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SUMIFS(RAB!$F$14:$F$121,RAB!$C$14:$C$121,C1024)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SUMIFS(RAB!$F$14:$F$121,RAB!$C$14:$C$121,C1025)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SUMIFS(RAB!$F$14:$F$121,RAB!$C$14:$C$121,C1026)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SUMIFS(RAB!$F$14:$F$121,RAB!$C$14:$C$121,C1027)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SUMIFS(RAB!$F$14:$F$121,RAB!$C$14:$C$121,C1028)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SUMIFS(RAB!$F$14:$F$121,RAB!$C$14:$C$121,C1029)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SUMIFS(RAB!$F$14:$F$121,RAB!$C$14:$C$121,C1030)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SUMIFS(RAB!$F$14:$F$121,RAB!$C$14:$C$121,C1031)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SUMIFS(RAB!$F$14:$F$121,RAB!$C$14:$C$121,C1032)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SUMIFS(RAB!$F$14:$F$121,RAB!$C$14:$C$121,C1033)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SUMIFS(RAB!$F$14:$F$121,RAB!$C$14:$C$121,C1034)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SUMIFS(RAB!$F$14:$F$121,RAB!$C$14:$C$121,C1035)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SUMIFS(RAB!$F$14:$F$121,RAB!$C$14:$C$121,C1036)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SUMIFS(RAB!$F$14:$F$121,RAB!$C$14:$C$121,C1037)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SUMIFS(RAB!$F$14:$F$121,RAB!$C$14:$C$121,C1038)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SUMIFS(RAB!$F$14:$F$121,RAB!$C$14:$C$121,C1039)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SUMIFS(RAB!$F$14:$F$121,RAB!$C$14:$C$121,C1040)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SUMIFS(RAB!$F$14:$F$121,RAB!$C$14:$C$121,C1041)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SUMIFS(RAB!$F$14:$F$121,RAB!$C$14:$C$121,C1042)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SUMIFS(RAB!$F$14:$F$121,RAB!$C$14:$C$121,C1043)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SUMIFS(RAB!$F$14:$F$121,RAB!$C$14:$C$121,C1044)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SUMIFS(RAB!$F$14:$F$121,RAB!$C$14:$C$121,C1045)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SUMIFS(RAB!$F$14:$F$121,RAB!$C$14:$C$121,C1046)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SUMIFS(RAB!$F$14:$F$121,RAB!$C$14:$C$121,C1047)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SUMIFS(RAB!$F$14:$F$121,RAB!$C$14:$C$121,C1048)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SUMIFS(RAB!$F$14:$F$121,RAB!$C$14:$C$121,C1049)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SUMIFS(RAB!$F$14:$F$121,RAB!$C$14:$C$121,C1050)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SUMIFS(RAB!$F$14:$F$121,RAB!$C$14:$C$121,C1051)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SUMIFS(RAB!$F$14:$F$121,RAB!$C$14:$C$121,C1052)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SUMIFS(RAB!$F$14:$F$121,RAB!$C$14:$C$121,C1053)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SUMIFS(RAB!$F$14:$F$121,RAB!$C$14:$C$121,C1054)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SUMIFS(RAB!$F$14:$F$121,RAB!$C$14:$C$121,C1055)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SUMIFS(RAB!$F$14:$F$121,RAB!$C$14:$C$121,C1056)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SUMIFS(RAB!$F$14:$F$121,RAB!$C$14:$C$121,C1057)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SUMIFS(RAB!$F$14:$F$121,RAB!$C$14:$C$121,C1058)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SUMIFS(RAB!$F$14:$F$121,RAB!$C$14:$C$121,C1059)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SUMIFS(RAB!$F$14:$F$121,RAB!$C$14:$C$121,C1060)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SUMIFS(RAB!$F$14:$F$121,RAB!$C$14:$C$121,C1061)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SUMIFS(RAB!$F$14:$F$121,RAB!$C$14:$C$121,C1062)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SUMIFS(RAB!$F$14:$F$121,RAB!$C$14:$C$121,C1063)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SUMIFS(RAB!$F$14:$F$121,RAB!$C$14:$C$121,C1064)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SUMIFS(RAB!$F$14:$F$121,RAB!$C$14:$C$121,C1065)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SUMIFS(RAB!$F$14:$F$121,RAB!$C$14:$C$121,C1066)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SUMIFS(RAB!$F$14:$F$121,RAB!$C$14:$C$121,C1067)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SUMIFS(RAB!$F$14:$F$121,RAB!$C$14:$C$121,C1068)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SUMIFS(RAB!$F$14:$F$121,RAB!$C$14:$C$121,C1069)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SUMIFS(RAB!$F$14:$F$121,RAB!$C$14:$C$121,C1070)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SUMIFS(RAB!$F$14:$F$121,RAB!$C$14:$C$121,C1071)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SUMIFS(RAB!$F$14:$F$121,RAB!$C$14:$C$121,C1072)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SUMIFS(RAB!$F$14:$F$121,RAB!$C$14:$C$121,C1073)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SUMIFS(RAB!$F$14:$F$121,RAB!$C$14:$C$121,C1074)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SUMIFS(RAB!$F$14:$F$121,RAB!$C$14:$C$121,C1075)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SUMIFS(RAB!$F$14:$F$121,RAB!$C$14:$C$121,C1076)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SUMIFS(RAB!$F$14:$F$121,RAB!$C$14:$C$121,C1077)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SUMIFS(RAB!$F$14:$F$121,RAB!$C$14:$C$121,C1078)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SUMIFS(RAB!$F$14:$F$121,RAB!$C$14:$C$121,C1079)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SUMIFS(RAB!$F$14:$F$121,RAB!$C$14:$C$121,C1080)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SUMIFS(RAB!$F$14:$F$121,RAB!$C$14:$C$121,C1081)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SUMIFS(RAB!$F$14:$F$121,RAB!$C$14:$C$121,C1082)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SUMIFS(RAB!$F$14:$F$121,RAB!$C$14:$C$121,C1083)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SUMIFS(RAB!$F$14:$F$121,RAB!$C$14:$C$121,C1084)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SUMIFS(RAB!$F$14:$F$121,RAB!$C$14:$C$121,C1085)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SUMIFS(RAB!$F$14:$F$121,RAB!$C$14:$C$121,C1086)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SUMIFS(RAB!$F$14:$F$121,RAB!$C$14:$C$121,C1087)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SUMIFS(RAB!$F$14:$F$121,RAB!$C$14:$C$121,C1088)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SUMIFS(RAB!$F$14:$F$121,RAB!$C$14:$C$121,C1089)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SUMIFS(RAB!$F$14:$F$121,RAB!$C$14:$C$121,C1090)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SUMIFS(RAB!$F$14:$F$121,RAB!$C$14:$C$121,C1091)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SUMIFS(RAB!$F$14:$F$121,RAB!$C$14:$C$121,C1092)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SUMIFS(RAB!$F$14:$F$121,RAB!$C$14:$C$121,C1093)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SUMIFS(RAB!$F$14:$F$121,RAB!$C$14:$C$121,C1094)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SUMIFS(RAB!$F$14:$F$121,RAB!$C$14:$C$121,C1095)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SUMIFS(RAB!$F$14:$F$121,RAB!$C$14:$C$121,C1096)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SUMIFS(RAB!$F$14:$F$121,RAB!$C$14:$C$121,C1097)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SUMIFS(RAB!$F$14:$F$121,RAB!$C$14:$C$121,C1098)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SUMIFS(RAB!$F$14:$F$121,RAB!$C$14:$C$121,C1099)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SUMIFS(RAB!$F$14:$F$121,RAB!$C$14:$C$121,C1100)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SUMIFS(RAB!$F$14:$F$121,RAB!$C$14:$C$121,C1101)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SUMIFS(RAB!$F$14:$F$121,RAB!$C$14:$C$121,C1102)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SUMIFS(RAB!$F$14:$F$121,RAB!$C$14:$C$121,C1103)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SUMIFS(RAB!$F$14:$F$121,RAB!$C$14:$C$121,C1104)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SUMIFS(RAB!$F$14:$F$121,RAB!$C$14:$C$121,C1105)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SUMIFS(RAB!$F$14:$F$121,RAB!$C$14:$C$121,C1106)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SUMIFS(RAB!$F$14:$F$121,RAB!$C$14:$C$121,C1107)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SUMIFS(RAB!$F$14:$F$121,RAB!$C$14:$C$121,C1108)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SUMIFS(RAB!$F$14:$F$121,RAB!$C$14:$C$121,C1109)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SUMIFS(RAB!$F$14:$F$121,RAB!$C$14:$C$121,C1110)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SUMIFS(RAB!$F$14:$F$121,RAB!$C$14:$C$121,C1111)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SUMIFS(RAB!$F$14:$F$121,RAB!$C$14:$C$121,C1112)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SUMIFS(RAB!$F$14:$F$121,RAB!$C$14:$C$121,C1113)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SUMIFS(RAB!$F$14:$F$121,RAB!$C$14:$C$121,C1114)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SUMIFS(RAB!$F$14:$F$121,RAB!$C$14:$C$121,C1115)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SUMIFS(RAB!$F$14:$F$121,RAB!$C$14:$C$121,C1116)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SUMIFS(RAB!$F$14:$F$121,RAB!$C$14:$C$121,C1117)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SUMIFS(RAB!$F$14:$F$121,RAB!$C$14:$C$121,C1118)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SUMIFS(RAB!$F$14:$F$121,RAB!$C$14:$C$121,C1119)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SUMIFS(RAB!$F$14:$F$121,RAB!$C$14:$C$121,C1120)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SUMIFS(RAB!$F$14:$F$121,RAB!$C$14:$C$121,C1121)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SUMIFS(RAB!$F$14:$F$121,RAB!$C$14:$C$121,C1122)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SUMIFS(RAB!$F$14:$F$121,RAB!$C$14:$C$121,C1123)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SUMIFS(RAB!$F$14:$F$121,RAB!$C$14:$C$121,C1124)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SUMIFS(RAB!$F$14:$F$121,RAB!$C$14:$C$121,C1125)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SUMIFS(RAB!$F$14:$F$121,RAB!$C$14:$C$121,C1126)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SUMIFS(RAB!$F$14:$F$121,RAB!$C$14:$C$121,C1127)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SUMIFS(RAB!$F$14:$F$121,RAB!$C$14:$C$121,C1128)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SUMIFS(RAB!$F$14:$F$121,RAB!$C$14:$C$121,C1129)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SUMIFS(RAB!$F$14:$F$121,RAB!$C$14:$C$121,C1130)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SUMIFS(RAB!$F$14:$F$121,RAB!$C$14:$C$121,C1131)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SUMIFS(RAB!$F$14:$F$121,RAB!$C$14:$C$121,C1132)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SUMIFS(RAB!$F$14:$F$121,RAB!$C$14:$C$121,C1133)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SUMIFS(RAB!$F$14:$F$121,RAB!$C$14:$C$121,C1134)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SUMIFS(RAB!$F$14:$F$121,RAB!$C$14:$C$121,C1135)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SUMIFS(RAB!$F$14:$F$121,RAB!$C$14:$C$121,C1136)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SUMIFS(RAB!$F$14:$F$121,RAB!$C$14:$C$121,C1137)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SUMIFS(RAB!$F$14:$F$121,RAB!$C$14:$C$121,C1138)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SUMIFS(RAB!$F$14:$F$121,RAB!$C$14:$C$121,C1139)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SUMIFS(RAB!$F$14:$F$121,RAB!$C$14:$C$121,C1140)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SUMIFS(RAB!$F$14:$F$121,RAB!$C$14:$C$121,C1141)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SUMIFS(RAB!$F$14:$F$121,RAB!$C$14:$C$121,C1142)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SUMIFS(RAB!$F$14:$F$121,RAB!$C$14:$C$121,C1143)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SUMIFS(RAB!$F$14:$F$121,RAB!$C$14:$C$121,C1144)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SUMIFS(RAB!$F$14:$F$121,RAB!$C$14:$C$121,C1145)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SUMIFS(RAB!$F$14:$F$121,RAB!$C$14:$C$121,C1146)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SUMIFS(RAB!$F$14:$F$121,RAB!$C$14:$C$121,C1147)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SUMIFS(RAB!$F$14:$F$121,RAB!$C$14:$C$121,C1148)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SUMIFS(RAB!$F$14:$F$121,RAB!$C$14:$C$121,C1149)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SUMIFS(RAB!$F$14:$F$121,RAB!$C$14:$C$121,C1150)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SUMIFS(RAB!$F$14:$F$121,RAB!$C$14:$C$121,C1151)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SUMIFS(RAB!$F$14:$F$121,RAB!$C$14:$C$121,C1152)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SUMIFS(RAB!$F$14:$F$121,RAB!$C$14:$C$121,C1153)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SUMIFS(RAB!$F$14:$F$121,RAB!$C$14:$C$121,C1154)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SUMIFS(RAB!$F$14:$F$121,RAB!$C$14:$C$121,C1155)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SUMIFS(RAB!$F$14:$F$121,RAB!$C$14:$C$121,C1156)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SUMIFS(RAB!$F$14:$F$121,RAB!$C$14:$C$121,C1157)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SUMIFS(RAB!$F$14:$F$121,RAB!$C$14:$C$121,C1158)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SUMIFS(RAB!$F$14:$F$121,RAB!$C$14:$C$121,C1159)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SUMIFS(RAB!$F$14:$F$121,RAB!$C$14:$C$121,C1160)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SUMIFS(RAB!$F$14:$F$121,RAB!$C$14:$C$121,C1161)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SUMIFS(RAB!$F$14:$F$121,RAB!$C$14:$C$121,C1162)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SUMIFS(RAB!$F$14:$F$121,RAB!$C$14:$C$121,C1163)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SUMIFS(RAB!$F$14:$F$121,RAB!$C$14:$C$121,C1164)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SUMIFS(RAB!$F$14:$F$121,RAB!$C$14:$C$121,C1165)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SUMIFS(RAB!$F$14:$F$121,RAB!$C$14:$C$121,C1166)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SUMIFS(RAB!$F$14:$F$121,RAB!$C$14:$C$121,C1167)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SUMIFS(RAB!$F$14:$F$121,RAB!$C$14:$C$121,C1168)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SUMIFS(RAB!$F$14:$F$121,RAB!$C$14:$C$121,C1169)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SUMIFS(RAB!$F$14:$F$121,RAB!$C$14:$C$121,C1170)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SUMIFS(RAB!$F$14:$F$121,RAB!$C$14:$C$121,C1171)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SUMIFS(RAB!$F$14:$F$121,RAB!$C$14:$C$121,C1172)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SUMIFS(RAB!$F$14:$F$121,RAB!$C$14:$C$121,C1173)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SUMIFS(RAB!$F$14:$F$121,RAB!$C$14:$C$121,C1174)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SUMIFS(RAB!$F$14:$F$121,RAB!$C$14:$C$121,C1175)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SUMIFS(RAB!$F$14:$F$121,RAB!$C$14:$C$121,C1176)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SUMIFS(RAB!$F$14:$F$121,RAB!$C$14:$C$121,C1177)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SUMIFS(RAB!$F$14:$F$121,RAB!$C$14:$C$121,C1178)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SUMIFS(RAB!$F$14:$F$121,RAB!$C$14:$C$121,C1179)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SUMIFS(RAB!$F$14:$F$121,RAB!$C$14:$C$121,C1180)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SUMIFS(RAB!$F$14:$F$121,RAB!$C$14:$C$121,C1181)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SUMIFS(RAB!$F$14:$F$121,RAB!$C$14:$C$121,C1182)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SUMIFS(RAB!$F$14:$F$121,RAB!$C$14:$C$121,C1183)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SUMIFS(RAB!$F$14:$F$121,RAB!$C$14:$C$121,C1184)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SUMIFS(RAB!$F$14:$F$121,RAB!$C$14:$C$121,C1185)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SUMIFS(RAB!$F$14:$F$121,RAB!$C$14:$C$121,C1186)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SUMIFS(RAB!$F$14:$F$121,RAB!$C$14:$C$121,C1187)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SUMIFS(RAB!$F$14:$F$121,RAB!$C$14:$C$121,C1188)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SUMIFS(RAB!$F$14:$F$121,RAB!$C$14:$C$121,C1189)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SUMIFS(RAB!$F$14:$F$121,RAB!$C$14:$C$121,C1190)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SUMIFS(RAB!$F$14:$F$121,RAB!$C$14:$C$121,C1191)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SUMIFS(RAB!$F$14:$F$121,RAB!$C$14:$C$121,C1192)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SUMIFS(RAB!$F$14:$F$121,RAB!$C$14:$C$121,C1193)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SUMIFS(RAB!$F$14:$F$121,RAB!$C$14:$C$121,C1194)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SUMIFS(RAB!$F$14:$F$121,RAB!$C$14:$C$121,C1195)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SUMIFS(RAB!$F$14:$F$121,RAB!$C$14:$C$121,C1196)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SUMIFS(RAB!$F$14:$F$121,RAB!$C$14:$C$121,C1197)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SUMIFS(RAB!$F$14:$F$121,RAB!$C$14:$C$121,C1198)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SUMIFS(RAB!$F$14:$F$121,RAB!$C$14:$C$121,C1199)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SUMIFS(RAB!$F$14:$F$121,RAB!$C$14:$C$121,C1200)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SUMIFS(RAB!$F$14:$F$121,RAB!$C$14:$C$121,C1201)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SUMIFS(RAB!$F$14:$F$121,RAB!$C$14:$C$121,C1202)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SUMIFS(RAB!$F$14:$F$121,RAB!$C$14:$C$121,C1203)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SUMIFS(RAB!$F$14:$F$121,RAB!$C$14:$C$121,C1204)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SUMIFS(RAB!$F$14:$F$121,RAB!$C$14:$C$121,C1205)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SUMIFS(RAB!$F$14:$F$121,RAB!$C$14:$C$121,C1206)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SUMIFS(RAB!$F$14:$F$121,RAB!$C$14:$C$121,C1207)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SUMIFS(RAB!$F$14:$F$121,RAB!$C$14:$C$121,C1208)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SUMIFS(RAB!$F$14:$F$121,RAB!$C$14:$C$121,C1209)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SUMIFS(RAB!$F$14:$F$121,RAB!$C$14:$C$121,C1210)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SUMIFS(RAB!$F$14:$F$121,RAB!$C$14:$C$121,C1211)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SUMIFS(RAB!$F$14:$F$121,RAB!$C$14:$C$121,C1212)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SUMIFS(RAB!$F$14:$F$121,RAB!$C$14:$C$121,C1213)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SUMIFS(RAB!$F$14:$F$121,RAB!$C$14:$C$121,C1214)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SUMIFS(RAB!$F$14:$F$121,RAB!$C$14:$C$121,C1215)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SUMIFS(RAB!$F$14:$F$121,RAB!$C$14:$C$121,C1216)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SUMIFS(RAB!$F$14:$F$121,RAB!$C$14:$C$121,C1217)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SUMIFS(RAB!$F$14:$F$121,RAB!$C$14:$C$121,C1218)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SUMIFS(RAB!$F$14:$F$121,RAB!$C$14:$C$121,C1219)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SUMIFS(RAB!$F$14:$F$121,RAB!$C$14:$C$121,C1220)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SUMIFS(RAB!$F$14:$F$121,RAB!$C$14:$C$121,C1221)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SUMIFS(RAB!$F$14:$F$121,RAB!$C$14:$C$121,C1222)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SUMIFS(RAB!$F$14:$F$121,RAB!$C$14:$C$121,C1223)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SUMIFS(RAB!$F$14:$F$121,RAB!$C$14:$C$121,C1224)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SUMIFS(RAB!$F$14:$F$121,RAB!$C$14:$C$121,C1225)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SUMIFS(RAB!$F$14:$F$121,RAB!$C$14:$C$121,C1226)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SUMIFS(RAB!$F$14:$F$121,RAB!$C$14:$C$121,C1227)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SUMIFS(RAB!$F$14:$F$121,RAB!$C$14:$C$121,C1228)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SUMIFS(RAB!$F$14:$F$121,RAB!$C$14:$C$121,C1229)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SUMIFS(RAB!$F$14:$F$121,RAB!$C$14:$C$121,C1230)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SUMIFS(RAB!$F$14:$F$121,RAB!$C$14:$C$121,C1231)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SUMIFS(RAB!$F$14:$F$121,RAB!$C$14:$C$121,C1232)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SUMIFS(RAB!$F$14:$F$121,RAB!$C$14:$C$121,C1233)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SUMIFS(RAB!$F$14:$F$121,RAB!$C$14:$C$121,C1234)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SUMIFS(RAB!$F$14:$F$121,RAB!$C$14:$C$121,C1235)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SUMIFS(RAB!$F$14:$F$121,RAB!$C$14:$C$121,C1236)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SUMIFS(RAB!$F$14:$F$121,RAB!$C$14:$C$121,C1237)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SUMIFS(RAB!$F$14:$F$121,RAB!$C$14:$C$121,C1238)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SUMIFS(RAB!$F$14:$F$121,RAB!$C$14:$C$121,C1239)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SUMIFS(RAB!$F$14:$F$121,RAB!$C$14:$C$121,C1240)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SUMIFS(RAB!$F$14:$F$121,RAB!$C$14:$C$121,C1241)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SUMIFS(RAB!$F$14:$F$121,RAB!$C$14:$C$121,C1242)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SUMIFS(RAB!$F$14:$F$121,RAB!$C$14:$C$121,C1243)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SUMIFS(RAB!$F$14:$F$121,RAB!$C$14:$C$121,C1244)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SUMIFS(RAB!$F$14:$F$121,RAB!$C$14:$C$121,C1245)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SUMIFS(RAB!$F$14:$F$121,RAB!$C$14:$C$121,C1246)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SUMIFS(RAB!$F$14:$F$121,RAB!$C$14:$C$121,C1247)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SUMIFS(RAB!$F$14:$F$121,RAB!$C$14:$C$121,C1248)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SUMIFS(RAB!$F$14:$F$121,RAB!$C$14:$C$121,C1249)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SUMIFS(RAB!$F$14:$F$121,RAB!$C$14:$C$121,C1250)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SUMIFS(RAB!$F$14:$F$121,RAB!$C$14:$C$121,C1251)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SUMIFS(RAB!$F$14:$F$121,RAB!$C$14:$C$121,C1252)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SUMIFS(RAB!$F$14:$F$121,RAB!$C$14:$C$121,C1253)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SUMIFS(RAB!$F$14:$F$121,RAB!$C$14:$C$121,C1254)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SUMIFS(RAB!$F$14:$F$121,RAB!$C$14:$C$121,C1255)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SUMIFS(RAB!$F$14:$F$121,RAB!$C$14:$C$121,C1256)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SUMIFS(RAB!$F$14:$F$121,RAB!$C$14:$C$121,C1257)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SUMIFS(RAB!$F$14:$F$121,RAB!$C$14:$C$121,C1258)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SUMIFS(RAB!$F$14:$F$121,RAB!$C$14:$C$121,C1259)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SUMIFS(RAB!$F$14:$F$121,RAB!$C$14:$C$121,C1260)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SUMIFS(RAB!$F$14:$F$121,RAB!$C$14:$C$121,C1261)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SUMIFS(RAB!$F$14:$F$121,RAB!$C$14:$C$121,C1262)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SUMIFS(RAB!$F$14:$F$121,RAB!$C$14:$C$121,C1263)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SUMIFS(RAB!$F$14:$F$121,RAB!$C$14:$C$121,C1264)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SUMIFS(RAB!$F$14:$F$121,RAB!$C$14:$C$121,C1265)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SUMIFS(RAB!$F$14:$F$121,RAB!$C$14:$C$121,C1266)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SUMIFS(RAB!$F$14:$F$121,RAB!$C$14:$C$121,C1267)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SUMIFS(RAB!$F$14:$F$121,RAB!$C$14:$C$121,C1268)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SUMIFS(RAB!$F$14:$F$121,RAB!$C$14:$C$121,C1269)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SUMIFS(RAB!$F$14:$F$121,RAB!$C$14:$C$121,C1270)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SUMIFS(RAB!$F$14:$F$121,RAB!$C$14:$C$121,C1271)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SUMIFS(RAB!$F$14:$F$121,RAB!$C$14:$C$121,C1272)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SUMIFS(RAB!$F$14:$F$121,RAB!$C$14:$C$121,C1273)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SUMIFS(RAB!$F$14:$F$121,RAB!$C$14:$C$121,C1274)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SUMIFS(RAB!$F$14:$F$121,RAB!$C$14:$C$121,C1275)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SUMIFS(RAB!$F$14:$F$121,RAB!$C$14:$C$121,C1276)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SUMIFS(RAB!$F$14:$F$121,RAB!$C$14:$C$121,C1277)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SUMIFS(RAB!$F$14:$F$121,RAB!$C$14:$C$121,C1278)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SUMIFS(RAB!$F$14:$F$121,RAB!$C$14:$C$121,C1279)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SUMIFS(RAB!$F$14:$F$121,RAB!$C$14:$C$121,C1280)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SUMIFS(RAB!$F$14:$F$121,RAB!$C$14:$C$121,C1281)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SUMIFS(RAB!$F$14:$F$121,RAB!$C$14:$C$121,C1282)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SUMIFS(RAB!$F$14:$F$121,RAB!$C$14:$C$121,C1283)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SUMIFS(RAB!$F$14:$F$121,RAB!$C$14:$C$121,C1284)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SUMIFS(RAB!$F$14:$F$121,RAB!$C$14:$C$121,C1285)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SUMIFS(RAB!$F$14:$F$121,RAB!$C$14:$C$121,C1286)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SUMIFS(RAB!$F$14:$F$121,RAB!$C$14:$C$121,C1287)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SUMIFS(RAB!$F$14:$F$121,RAB!$C$14:$C$121,C1288)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SUMIFS(RAB!$F$14:$F$121,RAB!$C$14:$C$121,C1289)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SUMIFS(RAB!$F$14:$F$121,RAB!$C$14:$C$121,C1290)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SUMIFS(RAB!$F$14:$F$121,RAB!$C$14:$C$121,C1291)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SUMIFS(RAB!$F$14:$F$121,RAB!$C$14:$C$121,C1292)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SUMIFS(RAB!$F$14:$F$121,RAB!$C$14:$C$121,C1293)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SUMIFS(RAB!$F$14:$F$121,RAB!$C$14:$C$121,C1294)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SUMIFS(RAB!$F$14:$F$121,RAB!$C$14:$C$121,C1295)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SUMIFS(RAB!$F$14:$F$121,RAB!$C$14:$C$121,C1296)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SUMIFS(RAB!$F$14:$F$121,RAB!$C$14:$C$121,C1297)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SUMIFS(RAB!$F$14:$F$121,RAB!$C$14:$C$121,C1298)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SUMIFS(RAB!$F$14:$F$121,RAB!$C$14:$C$121,C1299)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SUMIFS(RAB!$F$14:$F$121,RAB!$C$14:$C$121,C1300)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SUMIFS(RAB!$F$14:$F$121,RAB!$C$14:$C$121,C1301)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SUMIFS(RAB!$F$14:$F$121,RAB!$C$14:$C$121,C1302)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SUMIFS(RAB!$F$14:$F$121,RAB!$C$14:$C$121,C1303)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SUMIFS(RAB!$F$14:$F$121,RAB!$C$14:$C$121,C1304)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SUMIFS(RAB!$F$14:$F$121,RAB!$C$14:$C$121,C1305)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SUMIFS(RAB!$F$14:$F$121,RAB!$C$14:$C$121,C1306)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SUMIFS(RAB!$F$14:$F$121,RAB!$C$14:$C$121,C1307)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SUMIFS(RAB!$F$14:$F$121,RAB!$C$14:$C$121,C1308)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SUMIFS(RAB!$F$14:$F$121,RAB!$C$14:$C$121,C1309)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SUMIFS(RAB!$F$14:$F$121,RAB!$C$14:$C$121,C1310)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SUMIFS(RAB!$F$14:$F$121,RAB!$C$14:$C$121,C1311)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SUMIFS(RAB!$F$14:$F$121,RAB!$C$14:$C$121,C1312)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SUMIFS(RAB!$F$14:$F$121,RAB!$C$14:$C$121,C1313)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SUMIFS(RAB!$F$14:$F$121,RAB!$C$14:$C$121,C1314)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SUMIFS(RAB!$F$14:$F$121,RAB!$C$14:$C$121,C1315)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SUMIFS(RAB!$F$14:$F$121,RAB!$C$14:$C$121,C1316)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SUMIFS(RAB!$F$14:$F$121,RAB!$C$14:$C$121,C1317)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SUMIFS(RAB!$F$14:$F$121,RAB!$C$14:$C$121,C1318)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SUMIFS(RAB!$F$14:$F$121,RAB!$C$14:$C$121,C1319)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SUMIFS(RAB!$F$14:$F$121,RAB!$C$14:$C$121,C1320)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4" priority="5" operator="equal">
      <formula>0</formula>
    </cfRule>
  </conditionalFormatting>
  <conditionalFormatting sqref="A10:L65536">
    <cfRule type="cellIs" dxfId="63" priority="1" operator="equal">
      <formula>0</formula>
    </cfRule>
  </conditionalFormatting>
  <conditionalFormatting sqref="C12:C711">
    <cfRule type="cellIs" dxfId="62" priority="66" stopIfTrue="1" operator="equal">
      <formula>0</formula>
    </cfRule>
  </conditionalFormatting>
  <conditionalFormatting sqref="E712:E65536">
    <cfRule type="cellIs" dxfId="61" priority="16" stopIfTrue="1" operator="equal">
      <formula>0</formula>
    </cfRule>
  </conditionalFormatting>
  <conditionalFormatting sqref="G1:G11 E6:E11 E1:E3 H7 H10:H11 F10:F711 G712:G65536">
    <cfRule type="cellIs" dxfId="60" priority="69" stopIfTrue="1" operator="equal">
      <formula>0</formula>
    </cfRule>
  </conditionalFormatting>
  <conditionalFormatting sqref="G12:H711">
    <cfRule type="cellIs" dxfId="59" priority="12" stopIfTrue="1" operator="equal">
      <formula>0</formula>
    </cfRule>
  </conditionalFormatting>
  <conditionalFormatting sqref="I7:K7">
    <cfRule type="cellIs" dxfId="58" priority="4" stopIfTrue="1" operator="equal">
      <formula>0</formula>
    </cfRule>
  </conditionalFormatting>
  <conditionalFormatting sqref="I10:L711">
    <cfRule type="cellIs" dxfId="57" priority="2" stopIfTrue="1" operator="equal">
      <formula>0</formula>
    </cfRule>
  </conditionalFormatting>
  <conditionalFormatting sqref="L1:L6">
    <cfRule type="cellIs" dxfId="56" priority="10" operator="equal">
      <formula>0</formula>
    </cfRule>
  </conditionalFormatting>
  <conditionalFormatting sqref="M1:IV1048576 A8:G9">
    <cfRule type="cellIs" dxfId="55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2" t="s">
        <v>1127</v>
      </c>
      <c r="C4" s="522"/>
      <c r="D4" s="522"/>
      <c r="E4" s="522"/>
      <c r="F4" s="522"/>
      <c r="G4" s="522"/>
      <c r="H4" s="522"/>
      <c r="I4" s="522"/>
      <c r="J4" s="522"/>
      <c r="K4" s="52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6" t="str">
        <f>RAB!G6</f>
        <v>EKO NUGROHO</v>
      </c>
      <c r="H6" s="546"/>
      <c r="I6" s="546"/>
      <c r="J6" s="546"/>
      <c r="K6" s="54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BUGEL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3" t="s">
        <v>0</v>
      </c>
      <c r="C11" s="525" t="s">
        <v>1</v>
      </c>
      <c r="D11" s="528" t="s">
        <v>42</v>
      </c>
      <c r="E11" s="528" t="s">
        <v>43</v>
      </c>
      <c r="F11" s="528" t="s">
        <v>2</v>
      </c>
      <c r="G11" s="530" t="s">
        <v>41</v>
      </c>
      <c r="H11" s="528" t="s">
        <v>3</v>
      </c>
      <c r="I11" s="528"/>
      <c r="J11" s="528"/>
      <c r="K11" s="533"/>
      <c r="M11" s="33"/>
      <c r="N11" s="33"/>
      <c r="O11" s="33"/>
      <c r="P11" s="33"/>
      <c r="R11" s="34"/>
      <c r="S11" s="74"/>
      <c r="T11" s="74"/>
    </row>
    <row r="12" spans="1:21" ht="15" customHeight="1">
      <c r="B12" s="524"/>
      <c r="C12" s="526"/>
      <c r="D12" s="529"/>
      <c r="E12" s="529"/>
      <c r="F12" s="529"/>
      <c r="G12" s="531"/>
      <c r="H12" s="537" t="s">
        <v>46</v>
      </c>
      <c r="I12" s="537" t="s">
        <v>5</v>
      </c>
      <c r="J12" s="529" t="s">
        <v>47</v>
      </c>
      <c r="K12" s="53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4"/>
      <c r="C13" s="527"/>
      <c r="D13" s="529"/>
      <c r="E13" s="529"/>
      <c r="F13" s="529"/>
      <c r="G13" s="532"/>
      <c r="H13" s="538"/>
      <c r="I13" s="538"/>
      <c r="J13" s="529"/>
      <c r="K13" s="53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SATUAN'!$C$7:$C$1495,0),0)),"",OFFSET('HARGA SATUAN'!$I$6,MATCH(C16,'HARGA SATUAN'!$C$7:$C$1495,0),0))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7" t="s">
        <v>1008</v>
      </c>
      <c r="D38" s="547"/>
      <c r="E38" s="547"/>
      <c r="F38" s="547"/>
      <c r="G38" s="77" t="s">
        <v>9</v>
      </c>
      <c r="H38" s="55">
        <f ca="1">SUM(H14:H37)</f>
        <v>0</v>
      </c>
      <c r="I38" s="55">
        <f ca="1">SUM(I14:I37)</f>
        <v>3382600</v>
      </c>
      <c r="J38" s="55">
        <f ca="1">SUM(J14:J37)</f>
        <v>0</v>
      </c>
      <c r="K38" s="55">
        <f ca="1">SUM(K14:K37)</f>
        <v>3382600</v>
      </c>
      <c r="L38" s="44"/>
      <c r="R38" s="99"/>
      <c r="S38" s="99"/>
      <c r="T38" s="99"/>
    </row>
    <row r="39" spans="1:20" s="36" customFormat="1">
      <c r="A39" s="30"/>
      <c r="B39" s="56"/>
      <c r="C39" s="548" t="s">
        <v>462</v>
      </c>
      <c r="D39" s="548"/>
      <c r="E39" s="548"/>
      <c r="F39" s="548"/>
      <c r="G39" s="59" t="s">
        <v>9</v>
      </c>
      <c r="H39" s="60">
        <f ca="1">H38*0.1</f>
        <v>0</v>
      </c>
      <c r="I39" s="60">
        <f ca="1">I38*0.1</f>
        <v>338260</v>
      </c>
      <c r="J39" s="60">
        <f ca="1">J38*0.1</f>
        <v>0</v>
      </c>
      <c r="K39" s="60">
        <f ca="1">K38*0.1</f>
        <v>338260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9" t="s">
        <v>463</v>
      </c>
      <c r="D40" s="539"/>
      <c r="E40" s="539"/>
      <c r="F40" s="539"/>
      <c r="G40" s="61" t="s">
        <v>9</v>
      </c>
      <c r="H40" s="78">
        <f ca="1">SUM(H38:H39)</f>
        <v>0</v>
      </c>
      <c r="I40" s="78">
        <f ca="1">SUM(I38:I39)</f>
        <v>3720860</v>
      </c>
      <c r="J40" s="61">
        <f ca="1">SUM(J38:J39)</f>
        <v>0</v>
      </c>
      <c r="K40" s="61">
        <f ca="1">SUM(K38:K39)</f>
        <v>3720860</v>
      </c>
      <c r="L40" s="44"/>
      <c r="R40" s="99"/>
      <c r="S40" s="99"/>
      <c r="T40" s="99"/>
    </row>
    <row r="41" spans="1:20" s="36" customFormat="1">
      <c r="A41" s="30"/>
      <c r="B41" s="540" t="e">
        <f ca="1">"Terbilang : ( "&amp;L42&amp;" Rupiah )"</f>
        <v>#NAME?</v>
      </c>
      <c r="C41" s="541"/>
      <c r="D41" s="541"/>
      <c r="E41" s="541"/>
      <c r="F41" s="541"/>
      <c r="G41" s="541"/>
      <c r="H41" s="541"/>
      <c r="I41" s="541"/>
      <c r="J41" s="541"/>
      <c r="K41" s="542"/>
      <c r="L41" s="44"/>
      <c r="R41" s="58"/>
      <c r="S41" s="58"/>
      <c r="T41" s="58"/>
    </row>
    <row r="42" spans="1:20" s="36" customFormat="1">
      <c r="A42" s="30"/>
      <c r="B42" s="543"/>
      <c r="C42" s="544"/>
      <c r="D42" s="544"/>
      <c r="E42" s="544"/>
      <c r="F42" s="544"/>
      <c r="G42" s="544"/>
      <c r="H42" s="544"/>
      <c r="I42" s="544"/>
      <c r="J42" s="544"/>
      <c r="K42" s="545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4"/>
      <c r="I45" s="534"/>
      <c r="J45" s="535"/>
      <c r="K45" s="53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4"/>
      <c r="I46" s="534"/>
      <c r="J46" s="535"/>
      <c r="K46" s="53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4"/>
      <c r="I47" s="534"/>
      <c r="J47" s="535"/>
      <c r="K47" s="53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4"/>
      <c r="I52" s="534"/>
      <c r="J52" s="535"/>
      <c r="K52" s="53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SUMIFS(RAB!$F$14:$F$121,RAB!$C$14:$C$121,'REKAP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SUMIFS(RAB!$F$14:$F$121,RAB!$C$14:$C$121,'REKAP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SUMIFS(RAB!$F$14:$F$121,RAB!$C$14:$C$121,'REKAP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SUMIFS(RAB!$F$14:$F$121,RAB!$C$14:$C$121,'REKAP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SUMIFS(RAB!$F$14:$F$121,RAB!$C$14:$C$121,'REKAP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SUMIFS(RAB!$F$14:$F$121,RAB!$C$14:$C$121,'REKAP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SUMIFS(RAB!$F$14:$F$121,RAB!$C$14:$C$121,'REKAP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SUMIFS(RAB!$F$14:$F$121,RAB!$C$14:$C$121,'REKAP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SUMIFS(RAB!$F$14:$F$121,RAB!$C$14:$C$121,'REKAP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SUMIFS(RAB!$F$14:$F$121,RAB!$C$14:$C$121,'REKAP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SUMIFS(RAB!$F$14:$F$121,RAB!$C$14:$C$121,'REKAP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SUMIFS(RAB!$F$14:$F$121,RAB!$C$14:$C$121,'REKAP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SUMIFS(RAB!$F$14:$F$121,RAB!$C$14:$C$121,'REKAP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SUMIFS(RAB!$F$14:$F$121,RAB!$C$14:$C$121,'REKAP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SUMIFS(RAB!$F$14:$F$121,RAB!$C$14:$C$121,'REKAP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SUMIFS(RAB!$F$14:$F$121,RAB!$C$14:$C$121,'REKAP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SUMIFS(RAB!$F$14:$F$121,RAB!$C$14:$C$121,'REKAP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SUMIFS(RAB!$F$14:$F$121,RAB!$C$14:$C$121,'REKAP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SUMIFS(RAB!$F$14:$F$121,RAB!$C$14:$C$121,'REKAP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SUMIFS(RAB!$F$14:$F$121,RAB!$C$14:$C$121,'REKAP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5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C17" sqref="C17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2" t="s">
        <v>1034</v>
      </c>
      <c r="C4" s="522"/>
      <c r="D4" s="522"/>
      <c r="E4" s="522"/>
      <c r="F4" s="522"/>
      <c r="G4" s="522"/>
      <c r="H4" s="522"/>
      <c r="I4" s="522"/>
      <c r="J4" s="522"/>
      <c r="K4" s="52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6" t="str">
        <f>RAB!G6</f>
        <v>EKO NUGROHO</v>
      </c>
      <c r="H6" s="546"/>
      <c r="I6" s="546"/>
      <c r="J6" s="546"/>
      <c r="K6" s="54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BUGEL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3" t="s">
        <v>0</v>
      </c>
      <c r="C11" s="525" t="s">
        <v>1</v>
      </c>
      <c r="D11" s="528" t="s">
        <v>42</v>
      </c>
      <c r="E11" s="528" t="s">
        <v>43</v>
      </c>
      <c r="F11" s="528" t="s">
        <v>2</v>
      </c>
      <c r="G11" s="530" t="s">
        <v>41</v>
      </c>
      <c r="H11" s="528" t="s">
        <v>3</v>
      </c>
      <c r="I11" s="528"/>
      <c r="J11" s="528"/>
      <c r="K11" s="533"/>
      <c r="M11" s="33"/>
      <c r="N11" s="33"/>
      <c r="O11" s="33"/>
      <c r="P11" s="33"/>
      <c r="R11" s="34"/>
      <c r="S11" s="74"/>
      <c r="T11" s="74"/>
    </row>
    <row r="12" spans="1:21" ht="15" customHeight="1">
      <c r="B12" s="524"/>
      <c r="C12" s="526"/>
      <c r="D12" s="529"/>
      <c r="E12" s="529"/>
      <c r="F12" s="529"/>
      <c r="G12" s="531"/>
      <c r="H12" s="537" t="s">
        <v>46</v>
      </c>
      <c r="I12" s="537" t="s">
        <v>5</v>
      </c>
      <c r="J12" s="529" t="s">
        <v>47</v>
      </c>
      <c r="K12" s="53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4"/>
      <c r="C13" s="527"/>
      <c r="D13" s="529"/>
      <c r="E13" s="529"/>
      <c r="F13" s="529"/>
      <c r="G13" s="532"/>
      <c r="H13" s="538"/>
      <c r="I13" s="538"/>
      <c r="J13" s="529"/>
      <c r="K13" s="53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53 kVA MCCB 80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9</v>
      </c>
      <c r="G21" s="41">
        <f ca="1">IF(ISERROR(OFFSET('HARGA SATUAN'!$I$6,MATCH(C21,'HARGA SATUAN'!$C$7:$C$1495,0),0)),"",OFFSET('HARGA SATUAN'!$I$6,MATCH(C21,'HARGA SATUAN'!$C$7:$C$1495,0),0))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360</v>
      </c>
      <c r="G22" s="41">
        <f ca="1">IF(ISERROR(OFFSET('HARGA SATUAN'!$I$6,MATCH(C22,'HARGA SATUAN'!$C$7:$C$1495,0),0)),"",OFFSET('HARGA SATUAN'!$I$6,MATCH(C22,'HARGA SATUAN'!$C$7:$C$1495,0),0))</f>
        <v>54500</v>
      </c>
      <c r="H22" s="42">
        <f t="shared" ca="1" si="1"/>
        <v>19620000</v>
      </c>
      <c r="I22" s="42">
        <f t="shared" ca="1" si="2"/>
        <v>0</v>
      </c>
      <c r="J22" s="42">
        <f t="shared" ca="1" si="3"/>
        <v>0</v>
      </c>
      <c r="K22" s="43">
        <f t="shared" ca="1" si="0"/>
        <v>19620000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7" t="s">
        <v>1008</v>
      </c>
      <c r="D168" s="547"/>
      <c r="E168" s="547"/>
      <c r="F168" s="547"/>
      <c r="G168" s="77" t="s">
        <v>9</v>
      </c>
      <c r="H168" s="55">
        <f ca="1">SUM(H14:H167)</f>
        <v>96457350</v>
      </c>
      <c r="I168" s="55">
        <f ca="1">SUM(I14:I167)</f>
        <v>0</v>
      </c>
      <c r="J168" s="55">
        <f ca="1">SUM(J14:J167)</f>
        <v>0</v>
      </c>
      <c r="K168" s="55">
        <f ca="1">SUM(K14:K167)</f>
        <v>96457350</v>
      </c>
      <c r="L168" s="44"/>
      <c r="R168" s="99"/>
      <c r="S168" s="99"/>
      <c r="T168" s="99"/>
    </row>
    <row r="169" spans="1:20" s="36" customFormat="1">
      <c r="A169" s="30"/>
      <c r="B169" s="56"/>
      <c r="C169" s="548" t="s">
        <v>462</v>
      </c>
      <c r="D169" s="548"/>
      <c r="E169" s="548"/>
      <c r="F169" s="548"/>
      <c r="G169" s="59" t="s">
        <v>9</v>
      </c>
      <c r="H169" s="60">
        <f ca="1">H168*0.1</f>
        <v>9645735</v>
      </c>
      <c r="I169" s="60">
        <f ca="1">I168*0.1</f>
        <v>0</v>
      </c>
      <c r="J169" s="60">
        <f ca="1">J168*0.1</f>
        <v>0</v>
      </c>
      <c r="K169" s="60">
        <f ca="1">K168*0.1</f>
        <v>9645735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9" t="s">
        <v>463</v>
      </c>
      <c r="D170" s="539"/>
      <c r="E170" s="539"/>
      <c r="F170" s="539"/>
      <c r="G170" s="61" t="s">
        <v>9</v>
      </c>
      <c r="H170" s="78">
        <f ca="1">SUM(H168:H169)</f>
        <v>106103085</v>
      </c>
      <c r="I170" s="78">
        <f ca="1">SUM(I168:I169)</f>
        <v>0</v>
      </c>
      <c r="J170" s="61">
        <f ca="1">SUM(J168:J169)</f>
        <v>0</v>
      </c>
      <c r="K170" s="61">
        <f ca="1">SUM(K168:K169)</f>
        <v>106103085</v>
      </c>
      <c r="L170" s="44"/>
      <c r="R170" s="99"/>
      <c r="S170" s="99"/>
      <c r="T170" s="99"/>
    </row>
    <row r="171" spans="1:20" s="36" customFormat="1">
      <c r="A171" s="30"/>
      <c r="B171" s="540" t="e">
        <f ca="1">"Terbilang : ( "&amp;L172&amp;" Rupiah )"</f>
        <v>#NAME?</v>
      </c>
      <c r="C171" s="541"/>
      <c r="D171" s="541"/>
      <c r="E171" s="541"/>
      <c r="F171" s="541"/>
      <c r="G171" s="541"/>
      <c r="H171" s="541"/>
      <c r="I171" s="541"/>
      <c r="J171" s="541"/>
      <c r="K171" s="542"/>
      <c r="L171" s="44"/>
      <c r="R171" s="58"/>
      <c r="S171" s="58"/>
      <c r="T171" s="58"/>
    </row>
    <row r="172" spans="1:20" s="36" customFormat="1">
      <c r="A172" s="30"/>
      <c r="B172" s="543"/>
      <c r="C172" s="544"/>
      <c r="D172" s="544"/>
      <c r="E172" s="544"/>
      <c r="F172" s="544"/>
      <c r="G172" s="544"/>
      <c r="H172" s="544"/>
      <c r="I172" s="544"/>
      <c r="J172" s="544"/>
      <c r="K172" s="545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4"/>
      <c r="I175" s="534"/>
      <c r="J175" s="535"/>
      <c r="K175" s="53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4"/>
      <c r="I176" s="534"/>
      <c r="J176" s="535"/>
      <c r="K176" s="53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4"/>
      <c r="I177" s="534"/>
      <c r="J177" s="535"/>
      <c r="K177" s="53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4"/>
      <c r="I182" s="534"/>
      <c r="J182" s="535"/>
      <c r="K182" s="53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SUMIFS(RAB!$F$14:$F$121,RAB!$C$14:$C$121,C224)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SUMIFS(RAB!$F$14:$F$121,RAB!$C$14:$C$121,C225)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SUMIFS(RAB!$F$14:$F$121,RAB!$C$14:$C$121,C226)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SUMIFS(RAB!$F$14:$F$121,RAB!$C$14:$C$121,C227)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SUMIFS(RAB!$F$14:$F$121,RAB!$C$14:$C$121,C228)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SUMIFS(RAB!$F$14:$F$121,RAB!$C$14:$C$121,C229)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SUMIFS(RAB!$F$14:$F$121,RAB!$C$14:$C$121,C230)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SUMIFS(RAB!$F$14:$F$121,RAB!$C$14:$C$121,C231)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SUMIFS(RAB!$F$14:$F$121,RAB!$C$14:$C$121,C232)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SUMIFS(RAB!$F$14:$F$121,RAB!$C$14:$C$121,C233)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SUMIFS(RAB!$F$14:$F$121,RAB!$C$14:$C$121,C234)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SUMIFS(RAB!$F$14:$F$121,RAB!$C$14:$C$121,C235)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SUMIFS(RAB!$F$14:$F$121,RAB!$C$14:$C$121,C236)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SUMIFS(RAB!$F$14:$F$121,RAB!$C$14:$C$121,C237)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SUMIFS(RAB!$F$14:$F$121,RAB!$C$14:$C$121,C238)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SUMIFS(RAB!$F$14:$F$121,RAB!$C$14:$C$121,C239)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SUMIFS(RAB!$F$14:$F$121,RAB!$C$14:$C$121,C240)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SUMIFS(RAB!$F$14:$F$121,RAB!$C$14:$C$121,C241)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SUMIFS(RAB!$F$14:$F$121,RAB!$C$14:$C$121,C242)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SUMIFS(RAB!$F$14:$F$121,RAB!$C$14:$C$121,C243)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SUMIFS(RAB!$F$14:$F$121,RAB!$C$14:$C$121,C244)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SUMIFS(RAB!$F$14:$F$121,RAB!$C$14:$C$121,C245)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SUMIFS(RAB!$F$14:$F$121,RAB!$C$14:$C$121,C246)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SUMIFS(RAB!$F$14:$F$121,RAB!$C$14:$C$121,C247)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SUMIFS(RAB!$F$14:$F$121,RAB!$C$14:$C$121,C248)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SUMIFS(RAB!$F$14:$F$121,RAB!$C$14:$C$121,C249)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SUMIFS(RAB!$F$14:$F$121,RAB!$C$14:$C$121,C250)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SUMIFS(RAB!$F$14:$F$121,RAB!$C$14:$C$121,C251)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SUMIFS(RAB!$F$14:$F$121,RAB!$C$14:$C$121,C252)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SUMIFS(RAB!$F$14:$F$121,RAB!$C$14:$C$121,C253)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SUMIFS(RAB!$F$14:$F$121,RAB!$C$14:$C$121,C254)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SUMIFS(RAB!$F$14:$F$121,RAB!$C$14:$C$121,C255)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SUMIFS(RAB!$F$14:$F$121,RAB!$C$14:$C$121,C256)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SUMIFS(RAB!$F$14:$F$121,RAB!$C$14:$C$121,C257)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SUMIFS(RAB!$F$14:$F$121,RAB!$C$14:$C$121,C258)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SUMIFS(RAB!$F$14:$F$121,RAB!$C$14:$C$121,C259)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SUMIFS(RAB!$F$14:$F$121,RAB!$C$14:$C$121,C260)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SUMIFS(RAB!$F$14:$F$121,RAB!$C$14:$C$121,C261)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SUMIFS(RAB!$F$14:$F$121,RAB!$C$14:$C$121,C262)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SUMIFS(RAB!$F$14:$F$121,RAB!$C$14:$C$121,C263)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SUMIFS(RAB!$F$14:$F$121,RAB!$C$14:$C$121,C264)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SUMIFS(RAB!$F$14:$F$121,RAB!$C$14:$C$121,C265)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SUMIFS(RAB!$F$14:$F$121,RAB!$C$14:$C$121,C266)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SUMIFS(RAB!$F$14:$F$121,RAB!$C$14:$C$121,C267)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SUMIFS(RAB!$F$14:$F$121,RAB!$C$14:$C$121,C268)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SUMIFS(RAB!$F$14:$F$121,RAB!$C$14:$C$121,C269)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SUMIFS(RAB!$F$14:$F$121,RAB!$C$14:$C$121,C270)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SUMIFS(RAB!$F$14:$F$121,RAB!$C$14:$C$121,C271)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SUMIFS(RAB!$F$14:$F$121,RAB!$C$14:$C$121,C272)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SUMIFS(RAB!$F$14:$F$121,RAB!$C$14:$C$121,C273)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SUMIFS(RAB!$F$14:$F$121,RAB!$C$14:$C$121,C274)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SUMIFS(RAB!$F$14:$F$121,RAB!$C$14:$C$121,C275)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SUMIFS(RAB!$F$14:$F$121,RAB!$C$14:$C$121,C276)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SUMIFS(RAB!$F$14:$F$121,RAB!$C$14:$C$121,C277)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SUMIFS(RAB!$F$14:$F$121,RAB!$C$14:$C$121,C278)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SUMIFS(RAB!$F$14:$F$121,RAB!$C$14:$C$121,C279)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SUMIFS(RAB!$F$14:$F$121,RAB!$C$14:$C$121,C280)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SUMIFS(RAB!$F$14:$F$121,RAB!$C$14:$C$121,C281)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SUMIFS(RAB!$F$14:$F$121,RAB!$C$14:$C$121,C282)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SUMIFS(RAB!$F$14:$F$121,RAB!$C$14:$C$121,C283)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SUMIFS(RAB!$F$14:$F$121,RAB!$C$14:$C$121,C284)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SUMIFS(RAB!$F$14:$F$121,RAB!$C$14:$C$121,C285)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SUMIFS(RAB!$F$14:$F$121,RAB!$C$14:$C$121,C286)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SUMIFS(RAB!$F$14:$F$121,RAB!$C$14:$C$121,C287)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SUMIFS(RAB!$F$14:$F$121,RAB!$C$14:$C$121,C288)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SUMIFS(RAB!$F$14:$F$121,RAB!$C$14:$C$121,C289)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SUMIFS(RAB!$F$14:$F$121,RAB!$C$14:$C$121,C290)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SUMIFS(RAB!$F$14:$F$121,RAB!$C$14:$C$121,C291)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SUMIFS(RAB!$F$14:$F$121,RAB!$C$14:$C$121,C292)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SUMIFS(RAB!$F$14:$F$121,RAB!$C$14:$C$121,C293)</f>
        <v>1</v>
      </c>
      <c r="E293" s="24">
        <f t="shared" ca="1" si="22"/>
        <v>1</v>
      </c>
      <c r="F293" s="24">
        <f ca="1">IF(D293=0,0,SUM($E$223:E293))</f>
        <v>2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SUMIFS(RAB!$F$14:$F$121,RAB!$C$14:$C$121,C294)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SUMIFS(RAB!$F$14:$F$121,RAB!$C$14:$C$121,C295)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SUMIFS(RAB!$F$14:$F$121,RAB!$C$14:$C$121,C296)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SUMIFS(RAB!$F$14:$F$121,RAB!$C$14:$C$121,C297)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SUMIFS(RAB!$F$14:$F$121,RAB!$C$14:$C$121,C298)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SUMIFS(RAB!$F$14:$F$121,RAB!$C$14:$C$121,C299)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SUMIFS(RAB!$F$14:$F$121,RAB!$C$14:$C$121,C300)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SUMIFS(RAB!$F$14:$F$121,RAB!$C$14:$C$121,C301)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SUMIFS(RAB!$F$14:$F$121,RAB!$C$14:$C$121,C302)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SUMIFS(RAB!$F$14:$F$121,RAB!$C$14:$C$121,C303)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SUMIFS(RAB!$F$14:$F$121,RAB!$C$14:$C$121,C304)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SUMIFS(RAB!$F$14:$F$121,RAB!$C$14:$C$121,C305)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SUMIFS(RAB!$F$14:$F$121,RAB!$C$14:$C$121,C306)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SUMIFS(RAB!$F$14:$F$121,RAB!$C$14:$C$121,C307)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SUMIFS(RAB!$F$14:$F$121,RAB!$C$14:$C$121,C308)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SUMIFS(RAB!$F$14:$F$121,RAB!$C$14:$C$121,C309)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SUMIFS(RAB!$F$14:$F$121,RAB!$C$14:$C$121,C310)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SUMIFS(RAB!$F$14:$F$121,RAB!$C$14:$C$121,C311)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SUMIFS(RAB!$F$14:$F$121,RAB!$C$14:$C$121,C312)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SUMIFS(RAB!$F$14:$F$121,RAB!$C$14:$C$121,C313)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SUMIFS(RAB!$F$14:$F$121,RAB!$C$14:$C$121,C314)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SUMIFS(RAB!$F$14:$F$121,RAB!$C$14:$C$121,C315)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SUMIFS(RAB!$F$14:$F$121,RAB!$C$14:$C$121,C316)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SUMIFS(RAB!$F$14:$F$121,RAB!$C$14:$C$121,C317)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SUMIFS(RAB!$F$14:$F$121,RAB!$C$14:$C$121,C318)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SUMIFS(RAB!$F$14:$F$121,RAB!$C$14:$C$121,C319)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SUMIFS(RAB!$F$14:$F$121,RAB!$C$14:$C$121,C320)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SUMIFS(RAB!$F$14:$F$121,RAB!$C$14:$C$121,C321)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SUMIFS(RAB!$F$14:$F$121,RAB!$C$14:$C$121,C322)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SUMIFS(RAB!$F$14:$F$121,RAB!$C$14:$C$121,C323)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SUMIFS(RAB!$F$14:$F$121,RAB!$C$14:$C$121,C324)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SUMIFS(RAB!$F$14:$F$121,RAB!$C$14:$C$121,C325)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SUMIFS(RAB!$F$14:$F$121,RAB!$C$14:$C$121,C326)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SUMIFS(RAB!$F$14:$F$121,RAB!$C$14:$C$121,C327)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SUMIFS(RAB!$F$14:$F$121,RAB!$C$14:$C$121,C328)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SUMIFS(RAB!$F$14:$F$121,RAB!$C$14:$C$121,C329)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SUMIFS(RAB!$F$14:$F$121,RAB!$C$14:$C$121,C330)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SUMIFS(RAB!$F$14:$F$121,RAB!$C$14:$C$121,C331)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SUMIFS(RAB!$F$14:$F$121,RAB!$C$14:$C$121,C332)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SUMIFS(RAB!$F$14:$F$121,RAB!$C$14:$C$121,C333)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SUMIFS(RAB!$F$14:$F$121,RAB!$C$14:$C$121,C334)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SUMIFS(RAB!$F$14:$F$121,RAB!$C$14:$C$121,C335)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SUMIFS(RAB!$F$14:$F$121,RAB!$C$14:$C$121,C336)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SUMIFS(RAB!$F$14:$F$121,RAB!$C$14:$C$121,C337)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SUMIFS(RAB!$F$14:$F$121,RAB!$C$14:$C$121,C338)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SUMIFS(RAB!$F$14:$F$121,RAB!$C$14:$C$121,C339)</f>
        <v>9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SUMIFS(RAB!$F$14:$F$121,RAB!$C$14:$C$121,C340)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SUMIFS(RAB!$F$14:$F$121,RAB!$C$14:$C$121,C341)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SUMIFS(RAB!$F$14:$F$121,RAB!$C$14:$C$121,C342)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SUMIFS(RAB!$F$14:$F$121,RAB!$C$14:$C$121,C343)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SUMIFS(RAB!$F$14:$F$121,RAB!$C$14:$C$121,C344)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SUMIFS(RAB!$F$14:$F$121,RAB!$C$14:$C$121,C345)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SUMIFS(RAB!$F$14:$F$121,RAB!$C$14:$C$121,C346)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SUMIFS(RAB!$F$14:$F$121,RAB!$C$14:$C$121,C347)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SUMIFS(RAB!$F$14:$F$121,RAB!$C$14:$C$121,C348)</f>
        <v>360</v>
      </c>
      <c r="E348" s="24">
        <f t="shared" ca="1" si="22"/>
        <v>1</v>
      </c>
      <c r="F348" s="24">
        <f ca="1">IF(D348=0,0,SUM($E$223:E348))</f>
        <v>7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SUMIFS(RAB!$F$14:$F$121,RAB!$C$14:$C$121,C349)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SUMIFS(RAB!$F$14:$F$121,RAB!$C$14:$C$121,C350)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SUMIFS(RAB!$F$14:$F$121,RAB!$C$14:$C$121,C351)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SUMIFS(RAB!$F$14:$F$121,RAB!$C$14:$C$121,C352)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SUMIFS(RAB!$F$14:$F$121,RAB!$C$14:$C$121,C353)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SUMIFS(RAB!$F$14:$F$121,RAB!$C$14:$C$121,C354)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SUMIFS(RAB!$F$14:$F$121,RAB!$C$14:$C$121,C355)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SUMIFS(RAB!$F$14:$F$121,RAB!$C$14:$C$121,C356)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SUMIFS(RAB!$F$14:$F$121,RAB!$C$14:$C$121,C357)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SUMIFS(RAB!$F$14:$F$121,RAB!$C$14:$C$121,C358)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SUMIFS(RAB!$F$14:$F$121,RAB!$C$14:$C$121,C359)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SUMIFS(RAB!$F$14:$F$121,RAB!$C$14:$C$121,C360)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SUMIFS(RAB!$F$14:$F$121,RAB!$C$14:$C$121,C361)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SUMIFS(RAB!$F$14:$F$121,RAB!$C$14:$C$121,C362)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SUMIFS(RAB!$F$14:$F$121,RAB!$C$14:$C$121,C363)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SUMIFS(RAB!$F$14:$F$121,RAB!$C$14:$C$121,C364)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SUMIFS(RAB!$F$14:$F$121,RAB!$C$14:$C$121,C365)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SUMIFS(RAB!$F$14:$F$121,RAB!$C$14:$C$121,C366)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SUMIFS(RAB!$F$14:$F$121,RAB!$C$14:$C$121,C367)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SUMIFS(RAB!$F$14:$F$121,RAB!$C$14:$C$121,C368)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SUMIFS(RAB!$F$14:$F$121,RAB!$C$14:$C$121,C369)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SUMIFS(RAB!$F$14:$F$121,RAB!$C$14:$C$121,C370)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SUMIFS(RAB!$F$14:$F$121,RAB!$C$14:$C$121,C371)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SUMIFS(RAB!$F$14:$F$121,RAB!$C$14:$C$121,C372)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SUMIFS(RAB!$F$14:$F$121,RAB!$C$14:$C$121,C373)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52" priority="5" operator="equal">
      <formula>0</formula>
    </cfRule>
  </conditionalFormatting>
  <conditionalFormatting sqref="C16:C165">
    <cfRule type="cellIs" dxfId="51" priority="4" stopIfTrue="1" operator="equal">
      <formula>0</formula>
    </cfRule>
  </conditionalFormatting>
  <conditionalFormatting sqref="C16:E165">
    <cfRule type="cellIs" dxfId="50" priority="1" operator="equal">
      <formula>0</formula>
    </cfRule>
  </conditionalFormatting>
  <conditionalFormatting sqref="D224:F373">
    <cfRule type="cellIs" dxfId="49" priority="8" operator="equal">
      <formula>0</formula>
    </cfRule>
  </conditionalFormatting>
  <conditionalFormatting sqref="E1:E3 G1:G115 E6:E15 H12:I12 N13 F14:F15 H14:K115 E166:K166 G166:G223 E167:F167 H167:K167">
    <cfRule type="cellIs" dxfId="48" priority="43" stopIfTrue="1" operator="equal">
      <formula>0</formula>
    </cfRule>
  </conditionalFormatting>
  <conditionalFormatting sqref="E171:E65536">
    <cfRule type="cellIs" dxfId="47" priority="9" stopIfTrue="1" operator="equal">
      <formula>0</formula>
    </cfRule>
  </conditionalFormatting>
  <conditionalFormatting sqref="G224">
    <cfRule type="cellIs" dxfId="46" priority="10" operator="equal">
      <formula>0</formula>
    </cfRule>
  </conditionalFormatting>
  <conditionalFormatting sqref="G225:G65536">
    <cfRule type="cellIs" dxfId="45" priority="14" stopIfTrue="1" operator="equal">
      <formula>0</formula>
    </cfRule>
  </conditionalFormatting>
  <conditionalFormatting sqref="R14:T166 G116:K165">
    <cfRule type="cellIs" dxfId="4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917" activePane="bottomRight" state="frozen"/>
      <selection activeCell="D209" sqref="D209"/>
      <selection pane="topRight" activeCell="D209" sqref="D209"/>
      <selection pane="bottomLeft" activeCell="D209" sqref="D209"/>
      <selection pane="bottomRight" activeCell="C926" sqref="C926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0" t="s">
        <v>41</v>
      </c>
      <c r="C2" s="55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1" t="s">
        <v>23</v>
      </c>
      <c r="C4" s="552" t="s">
        <v>1012</v>
      </c>
      <c r="D4" s="552" t="s">
        <v>42</v>
      </c>
      <c r="E4" s="551" t="s">
        <v>43</v>
      </c>
      <c r="F4" s="108" t="s">
        <v>1599</v>
      </c>
      <c r="G4" s="108" t="s">
        <v>1598</v>
      </c>
      <c r="H4" s="549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1"/>
      <c r="C5" s="552"/>
      <c r="D5" s="552"/>
      <c r="E5" s="551"/>
      <c r="F5" s="93"/>
      <c r="G5" s="93"/>
      <c r="H5" s="549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93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94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94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43" priority="4" operator="equal">
      <formula>0</formula>
    </cfRule>
  </conditionalFormatting>
  <conditionalFormatting sqref="B217 D217:G217">
    <cfRule type="cellIs" dxfId="42" priority="11" operator="equal">
      <formula>0</formula>
    </cfRule>
  </conditionalFormatting>
  <conditionalFormatting sqref="B8:C135">
    <cfRule type="cellIs" dxfId="41" priority="66" operator="equal">
      <formula>0</formula>
    </cfRule>
  </conditionalFormatting>
  <conditionalFormatting sqref="B216:G216">
    <cfRule type="cellIs" dxfId="40" priority="16" operator="equal">
      <formula>0</formula>
    </cfRule>
  </conditionalFormatting>
  <conditionalFormatting sqref="B218:G1496">
    <cfRule type="cellIs" dxfId="39" priority="1" operator="equal">
      <formula>0</formula>
    </cfRule>
  </conditionalFormatting>
  <conditionalFormatting sqref="C143:G149">
    <cfRule type="cellIs" dxfId="38" priority="20" operator="equal">
      <formula>0</formula>
    </cfRule>
  </conditionalFormatting>
  <conditionalFormatting sqref="D9:G142">
    <cfRule type="cellIs" dxfId="37" priority="26" operator="equal">
      <formula>0</formula>
    </cfRule>
  </conditionalFormatting>
  <conditionalFormatting sqref="D1:IV5 A1:C7 D6:K6 H1458:IV1460 H1461:XFD1488 H1489:H1496 I1489:XFD1497 A1497:H1497 A1498:XFD65539">
    <cfRule type="cellIs" dxfId="36" priority="178" operator="equal">
      <formula>0</formula>
    </cfRule>
  </conditionalFormatting>
  <conditionalFormatting sqref="D7:IV8 C136:C142 B136:B149 B150:G213 B214:B215 D214:G215">
    <cfRule type="cellIs" dxfId="35" priority="77" operator="equal">
      <formula>0</formula>
    </cfRule>
  </conditionalFormatting>
  <conditionalFormatting sqref="H9:H1421">
    <cfRule type="cellIs" dxfId="34" priority="3" operator="equal">
      <formula>0</formula>
    </cfRule>
  </conditionalFormatting>
  <conditionalFormatting sqref="H1422:I1457">
    <cfRule type="cellIs" dxfId="33" priority="143" operator="equal">
      <formula>0</formula>
    </cfRule>
  </conditionalFormatting>
  <conditionalFormatting sqref="I108:I1421">
    <cfRule type="cellIs" dxfId="32" priority="2" operator="equal">
      <formula>0</formula>
    </cfRule>
  </conditionalFormatting>
  <conditionalFormatting sqref="I9:IV107">
    <cfRule type="cellIs" dxfId="31" priority="153" operator="equal">
      <formula>0</formula>
    </cfRule>
  </conditionalFormatting>
  <conditionalFormatting sqref="J108:IV1457">
    <cfRule type="cellIs" dxfId="30" priority="5" operator="equal">
      <formula>0</formula>
    </cfRule>
  </conditionalFormatting>
  <conditionalFormatting sqref="M6:IV6">
    <cfRule type="cellIs" dxfId="29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55" zoomScaleNormal="55" zoomScaleSheetLayoutView="85" workbookViewId="0">
      <selection activeCell="N9" sqref="N9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84" t="s">
        <v>1453</v>
      </c>
      <c r="C2" s="584"/>
      <c r="D2" s="584"/>
      <c r="E2" s="584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89" t="s">
        <v>1528</v>
      </c>
      <c r="C4" s="590"/>
      <c r="D4" s="590"/>
      <c r="E4" s="591"/>
      <c r="F4" s="372"/>
      <c r="G4" s="372"/>
      <c r="H4" s="373"/>
      <c r="I4" s="553" t="s">
        <v>1529</v>
      </c>
      <c r="J4" s="554"/>
      <c r="K4" s="554"/>
      <c r="L4" s="555"/>
    </row>
    <row r="5" spans="1:12" ht="34.5" customHeight="1">
      <c r="A5" s="193"/>
      <c r="B5" s="375" t="s">
        <v>1378</v>
      </c>
      <c r="C5" s="224" t="s">
        <v>9</v>
      </c>
      <c r="D5" s="585" t="str">
        <f>DATA!D14</f>
        <v>EKO NUGROHO</v>
      </c>
      <c r="E5" s="586"/>
      <c r="F5" s="197"/>
      <c r="G5" s="197"/>
      <c r="I5" s="376" t="s">
        <v>1378</v>
      </c>
      <c r="J5" s="224" t="s">
        <v>9</v>
      </c>
      <c r="K5" s="556" t="str">
        <f>D5</f>
        <v>EKO NUGROHO</v>
      </c>
      <c r="L5" s="557"/>
    </row>
    <row r="6" spans="1:12" ht="31.5" customHeight="1">
      <c r="A6" s="193"/>
      <c r="B6" s="375" t="s">
        <v>1525</v>
      </c>
      <c r="C6" s="224" t="s">
        <v>9</v>
      </c>
      <c r="D6" s="594">
        <f>DATA!D17*1000</f>
        <v>0</v>
      </c>
      <c r="E6" s="595"/>
      <c r="F6" s="197"/>
      <c r="G6" s="197"/>
      <c r="I6" s="376" t="s">
        <v>1526</v>
      </c>
      <c r="J6" s="224" t="s">
        <v>9</v>
      </c>
      <c r="K6" s="558">
        <f>DATA!D20*1000</f>
        <v>53000</v>
      </c>
      <c r="L6" s="559"/>
    </row>
    <row r="7" spans="1:12" ht="30.75" customHeight="1">
      <c r="A7" s="193"/>
      <c r="B7" s="375" t="s">
        <v>1440</v>
      </c>
      <c r="C7" s="224" t="s">
        <v>9</v>
      </c>
      <c r="D7" s="592">
        <f>DATA!D18</f>
        <v>1</v>
      </c>
      <c r="E7" s="593"/>
      <c r="F7" s="374" t="s">
        <v>1452</v>
      </c>
      <c r="I7" s="376" t="s">
        <v>1440</v>
      </c>
      <c r="J7" s="224" t="s">
        <v>9</v>
      </c>
      <c r="K7" s="560">
        <f>DATA!D21</f>
        <v>3</v>
      </c>
      <c r="L7" s="561"/>
    </row>
    <row r="8" spans="1:12" ht="51" customHeight="1">
      <c r="A8" s="193"/>
      <c r="B8" s="375" t="s">
        <v>1441</v>
      </c>
      <c r="C8" s="224" t="s">
        <v>9</v>
      </c>
      <c r="D8" s="592">
        <f>DATA!D19</f>
        <v>220</v>
      </c>
      <c r="E8" s="593"/>
      <c r="F8" s="374" t="s">
        <v>1452</v>
      </c>
      <c r="G8" s="369">
        <v>220</v>
      </c>
      <c r="I8" s="376" t="s">
        <v>1441</v>
      </c>
      <c r="J8" s="224" t="s">
        <v>9</v>
      </c>
      <c r="K8" s="560">
        <f>DATA!D22</f>
        <v>380</v>
      </c>
      <c r="L8" s="561"/>
    </row>
    <row r="9" spans="1:12" ht="30" customHeight="1" thickBot="1">
      <c r="A9" s="193"/>
      <c r="B9" s="381" t="s">
        <v>1537</v>
      </c>
      <c r="C9" s="371" t="s">
        <v>9</v>
      </c>
      <c r="D9" s="587">
        <f>IF(D7=1,D6/(380/3^0.5),(D6/(380*3^0.5)))</f>
        <v>0</v>
      </c>
      <c r="E9" s="588"/>
      <c r="F9" s="196"/>
      <c r="G9" s="370">
        <v>380</v>
      </c>
      <c r="I9" s="382" t="s">
        <v>1537</v>
      </c>
      <c r="J9" s="371" t="s">
        <v>9</v>
      </c>
      <c r="K9" s="564">
        <f>IF(K7=1,K6/(380/3^0.5),(K6/(380*3^0.5)))</f>
        <v>80.525169123816227</v>
      </c>
      <c r="L9" s="565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596" t="s">
        <v>1647</v>
      </c>
      <c r="E12" s="597"/>
      <c r="F12" s="197"/>
      <c r="G12" s="197"/>
      <c r="I12" s="398" t="s">
        <v>1530</v>
      </c>
      <c r="J12" s="399" t="s">
        <v>9</v>
      </c>
      <c r="K12" s="596" t="s">
        <v>1647</v>
      </c>
      <c r="L12" s="597"/>
    </row>
    <row r="13" spans="1:12" ht="31.5" customHeight="1">
      <c r="A13" s="193"/>
      <c r="B13" s="406" t="s">
        <v>1379</v>
      </c>
      <c r="C13" s="386" t="s">
        <v>9</v>
      </c>
      <c r="D13" s="562" t="s">
        <v>1646</v>
      </c>
      <c r="E13" s="563"/>
      <c r="F13" s="197"/>
      <c r="G13" s="197"/>
      <c r="I13" s="400" t="s">
        <v>1379</v>
      </c>
      <c r="J13" s="386" t="s">
        <v>9</v>
      </c>
      <c r="K13" s="562" t="s">
        <v>1646</v>
      </c>
      <c r="L13" s="563"/>
    </row>
    <row r="14" spans="1:12" ht="30.75" customHeight="1">
      <c r="A14" s="193"/>
      <c r="B14" s="406" t="s">
        <v>1531</v>
      </c>
      <c r="C14" s="386" t="s">
        <v>9</v>
      </c>
      <c r="D14" s="566">
        <v>50</v>
      </c>
      <c r="E14" s="567"/>
      <c r="F14" s="374" t="s">
        <v>1452</v>
      </c>
      <c r="G14" s="378">
        <v>50</v>
      </c>
      <c r="I14" s="400" t="s">
        <v>1531</v>
      </c>
      <c r="J14" s="386" t="s">
        <v>9</v>
      </c>
      <c r="K14" s="568">
        <v>100</v>
      </c>
      <c r="L14" s="569"/>
    </row>
    <row r="15" spans="1:12" ht="57" customHeight="1">
      <c r="A15" s="193"/>
      <c r="B15" s="406" t="s">
        <v>1440</v>
      </c>
      <c r="C15" s="386" t="s">
        <v>9</v>
      </c>
      <c r="D15" s="392">
        <v>3</v>
      </c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1541</v>
      </c>
      <c r="C16" s="386"/>
      <c r="D16" s="570">
        <v>0</v>
      </c>
      <c r="E16" s="571"/>
      <c r="F16" s="374"/>
      <c r="G16" s="378">
        <v>160</v>
      </c>
      <c r="I16" s="400" t="s">
        <v>1533</v>
      </c>
      <c r="J16" s="386" t="s">
        <v>9</v>
      </c>
      <c r="K16" s="574">
        <f>K9</f>
        <v>80.525169123816227</v>
      </c>
      <c r="L16" s="575"/>
    </row>
    <row r="17" spans="1:12" ht="34.5" customHeight="1">
      <c r="A17" s="193"/>
      <c r="B17" s="406" t="s">
        <v>1534</v>
      </c>
      <c r="C17" s="386" t="s">
        <v>9</v>
      </c>
      <c r="D17" s="572">
        <f>IF(D15=1,D14/(20/3^0.5),(D14/(20*3^0.5)))</f>
        <v>1.4433756729740645</v>
      </c>
      <c r="E17" s="573"/>
      <c r="F17" s="374" t="s">
        <v>1452</v>
      </c>
      <c r="G17" s="379">
        <v>200</v>
      </c>
      <c r="I17" s="400" t="s">
        <v>1534</v>
      </c>
      <c r="J17" s="386" t="s">
        <v>9</v>
      </c>
      <c r="K17" s="578">
        <f>IF(K15=1,K14/(20/3^0.5),(K14/(20*3^0.5)))</f>
        <v>2.8867513459481291</v>
      </c>
      <c r="L17" s="579"/>
    </row>
    <row r="18" spans="1:12" ht="34.5" customHeight="1">
      <c r="A18" s="193"/>
      <c r="B18" s="406" t="s">
        <v>1535</v>
      </c>
      <c r="C18" s="386" t="s">
        <v>9</v>
      </c>
      <c r="D18" s="572">
        <f>IF(D15=1,D14/(380/3^0.5),(D14/(380*3^0.5)))*1000</f>
        <v>75.96714068284551</v>
      </c>
      <c r="E18" s="573"/>
      <c r="F18" s="374" t="s">
        <v>1452</v>
      </c>
      <c r="G18" s="379">
        <v>250</v>
      </c>
      <c r="I18" s="400" t="s">
        <v>1535</v>
      </c>
      <c r="J18" s="386" t="s">
        <v>9</v>
      </c>
      <c r="K18" s="578">
        <f>IF(K15=1,K14/(380/3^0.5),(K14/(380*3^0.5)))*1000</f>
        <v>151.93428136569102</v>
      </c>
      <c r="L18" s="579"/>
    </row>
    <row r="19" spans="1:12" ht="30" customHeight="1">
      <c r="A19" s="193"/>
      <c r="B19" s="407" t="s">
        <v>1527</v>
      </c>
      <c r="C19" s="385" t="s">
        <v>9</v>
      </c>
      <c r="D19" s="572">
        <f>IF(D15=1,D14/(380/3^0.5),(D14/(380*3^0.5)))</f>
        <v>7.5967140682845505E-2</v>
      </c>
      <c r="E19" s="573"/>
      <c r="F19" s="196"/>
      <c r="G19" s="370"/>
      <c r="I19" s="402" t="s">
        <v>1527</v>
      </c>
      <c r="J19" s="385" t="s">
        <v>9</v>
      </c>
      <c r="K19" s="578">
        <f>IF(K15=1,K14/(380/3^0.5),(K14/(380*3^0.5)))</f>
        <v>0.15193428136569101</v>
      </c>
      <c r="L19" s="579"/>
    </row>
    <row r="20" spans="1:12" ht="30" customHeight="1" thickBot="1">
      <c r="A20" s="193"/>
      <c r="B20" s="408" t="s">
        <v>1536</v>
      </c>
      <c r="C20" s="404" t="s">
        <v>9</v>
      </c>
      <c r="D20" s="598">
        <f>D16/D18</f>
        <v>0</v>
      </c>
      <c r="E20" s="599"/>
      <c r="F20" s="196"/>
      <c r="G20" s="370"/>
      <c r="I20" s="403" t="s">
        <v>1527</v>
      </c>
      <c r="J20" s="404" t="s">
        <v>9</v>
      </c>
      <c r="K20" s="576">
        <f>K16/K18</f>
        <v>0.52999999999999992</v>
      </c>
      <c r="L20" s="577"/>
    </row>
    <row r="21" spans="1:12" ht="9.75" customHeight="1">
      <c r="A21" s="193"/>
      <c r="B21" s="393" t="s">
        <v>1536</v>
      </c>
      <c r="C21" s="394" t="s">
        <v>9</v>
      </c>
      <c r="D21" s="583">
        <v>1</v>
      </c>
      <c r="E21" s="583"/>
      <c r="F21" s="395"/>
      <c r="G21" s="396"/>
      <c r="H21" s="397"/>
      <c r="I21" s="393" t="s">
        <v>1527</v>
      </c>
      <c r="J21" s="394" t="s">
        <v>9</v>
      </c>
      <c r="K21" s="583">
        <v>1</v>
      </c>
      <c r="L21" s="583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80"/>
      <c r="C24" s="581"/>
      <c r="D24" s="581"/>
      <c r="E24" s="582"/>
      <c r="I24" s="580"/>
      <c r="J24" s="581"/>
      <c r="K24" s="581"/>
      <c r="L24" s="582"/>
    </row>
    <row r="26" spans="1:12">
      <c r="D26" s="388"/>
    </row>
    <row r="27" spans="1:12">
      <c r="D27" s="38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8" priority="5" stopIfTrue="1" operator="greaterThan">
      <formula>0.89</formula>
    </cfRule>
    <cfRule type="cellIs" dxfId="2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0"/>
      <c r="C1" s="600"/>
      <c r="D1" s="600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53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51357000</v>
      </c>
    </row>
    <row r="10" spans="2:11" ht="20.100000000000001" customHeight="1">
      <c r="B10" s="238" t="s">
        <v>1445</v>
      </c>
      <c r="C10" s="239" t="s">
        <v>9</v>
      </c>
      <c r="D10" s="245">
        <f ca="1">RAB!K127</f>
        <v>117008676.26274998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2340173.5252549998</v>
      </c>
    </row>
    <row r="12" spans="2:11" ht="9" customHeight="1">
      <c r="B12" s="601"/>
      <c r="C12" s="601"/>
      <c r="D12" s="601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EKO NUGROHO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1624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/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1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220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53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08" t="s">
        <v>1356</v>
      </c>
      <c r="C3" s="608"/>
      <c r="D3" s="608"/>
      <c r="E3" s="608"/>
      <c r="F3" s="252" t="str">
        <f>DATA!D14</f>
        <v>EKO NUGROHO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02" t="s">
        <v>1348</v>
      </c>
      <c r="C5" s="602" t="s">
        <v>1357</v>
      </c>
      <c r="D5" s="607" t="s">
        <v>1358</v>
      </c>
      <c r="E5" s="607" t="s">
        <v>1359</v>
      </c>
      <c r="F5" s="602" t="s">
        <v>1360</v>
      </c>
      <c r="G5" s="602"/>
      <c r="H5" s="602"/>
      <c r="I5" s="602"/>
      <c r="J5" s="602"/>
      <c r="K5" s="602" t="s">
        <v>1361</v>
      </c>
      <c r="L5" s="602"/>
      <c r="M5" s="254"/>
      <c r="N5" s="605" t="s">
        <v>1362</v>
      </c>
      <c r="O5" s="607" t="s">
        <v>1363</v>
      </c>
      <c r="P5" s="607" t="s">
        <v>1364</v>
      </c>
      <c r="Q5" s="607" t="s">
        <v>1365</v>
      </c>
      <c r="R5" s="255"/>
      <c r="S5" s="256"/>
      <c r="T5" s="603" t="s">
        <v>1366</v>
      </c>
      <c r="U5" s="257"/>
    </row>
    <row r="6" spans="1:21" ht="20.100000000000001" customHeight="1">
      <c r="B6" s="602"/>
      <c r="C6" s="602"/>
      <c r="D6" s="602"/>
      <c r="E6" s="602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06"/>
      <c r="O6" s="602"/>
      <c r="P6" s="602"/>
      <c r="Q6" s="602"/>
      <c r="R6" s="255"/>
      <c r="S6" s="256"/>
      <c r="T6" s="602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8480</v>
      </c>
      <c r="D7" s="263">
        <f>C7*4/24</f>
        <v>1413.3333333333333</v>
      </c>
      <c r="E7" s="263">
        <f>C7-D7</f>
        <v>7066.666666666667</v>
      </c>
      <c r="F7" s="264">
        <f ca="1">DATA!D10/1000000</f>
        <v>117.00867626274999</v>
      </c>
      <c r="G7" s="265">
        <f ca="1">DATA!$D$11/1000000</f>
        <v>2.3401735252549996</v>
      </c>
      <c r="H7" s="265">
        <f>C7*DATA!$D$5/1000000</f>
        <v>9.193380389118234</v>
      </c>
      <c r="I7" s="265">
        <f>(C7*DATA!$D$5*DATA!$D$7)/1000000</f>
        <v>0.20685105875516024</v>
      </c>
      <c r="J7" s="263">
        <f ca="1">SUM(F7:I7)</f>
        <v>128.74908123587838</v>
      </c>
      <c r="K7" s="266">
        <f>DATA!D9/1000000</f>
        <v>51.356999999999999</v>
      </c>
      <c r="L7" s="263">
        <f>((D7*DATA!$D$23)/1000000)+((E7*DATA!$D$24)/1000000)</f>
        <v>12.251056000000002</v>
      </c>
      <c r="M7" s="263">
        <f>K7+L7</f>
        <v>63.608056000000005</v>
      </c>
      <c r="N7" s="263">
        <f ca="1">M7-J7</f>
        <v>-65.141025235878374</v>
      </c>
      <c r="O7" s="261">
        <v>1</v>
      </c>
      <c r="P7" s="263">
        <f ca="1">O7*N7</f>
        <v>-65.141025235878374</v>
      </c>
      <c r="Q7" s="263">
        <f ca="1">P7</f>
        <v>-65.141025235878374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25440</v>
      </c>
      <c r="D8" s="263">
        <f>C8*4/24</f>
        <v>4240</v>
      </c>
      <c r="E8" s="263">
        <f t="shared" ref="E8:E32" si="0">C8-D8</f>
        <v>21200</v>
      </c>
      <c r="F8" s="261"/>
      <c r="G8" s="265">
        <f ca="1">DATA!$D$11/1000000</f>
        <v>2.3401735252549996</v>
      </c>
      <c r="H8" s="265">
        <f>C8*DATA!$D$5/1000000</f>
        <v>27.5801411673547</v>
      </c>
      <c r="I8" s="265">
        <f>(C8*DATA!$D$5*DATA!$D$7)/1000000</f>
        <v>0.62055317626548068</v>
      </c>
      <c r="J8" s="263">
        <f t="shared" ref="J8:J32" ca="1" si="1">SUM(F8:I8)</f>
        <v>30.540867868875182</v>
      </c>
      <c r="K8" s="268"/>
      <c r="L8" s="263">
        <f>((D8*DATA!$D$23)/1000000)+((E8*DATA!$D$24)/1000000)</f>
        <v>36.753168000000002</v>
      </c>
      <c r="M8" s="263">
        <f t="shared" ref="M8:M32" si="2">K8+L8</f>
        <v>36.753168000000002</v>
      </c>
      <c r="N8" s="263">
        <f ca="1">M8-J8</f>
        <v>6.2123001311248203</v>
      </c>
      <c r="O8" s="262">
        <f>1/(1+'[93]Asumsi I'!$C$3)^(KKF!A8)</f>
        <v>0.89285714285714279</v>
      </c>
      <c r="P8" s="263">
        <f ca="1">O8*N8</f>
        <v>5.5466965456471602</v>
      </c>
      <c r="Q8" s="263">
        <f ca="1">Q7+P8</f>
        <v>-59.594328690231215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25440</v>
      </c>
      <c r="D9" s="263">
        <f t="shared" ref="D9:D32" si="5">C9*4/24</f>
        <v>4240</v>
      </c>
      <c r="E9" s="263">
        <f t="shared" si="0"/>
        <v>21200</v>
      </c>
      <c r="F9" s="261"/>
      <c r="G9" s="265">
        <f ca="1">DATA!$D$11/1000000</f>
        <v>2.3401735252549996</v>
      </c>
      <c r="H9" s="265">
        <f>C9*DATA!$D$5/1000000</f>
        <v>27.5801411673547</v>
      </c>
      <c r="I9" s="265">
        <f>(C9*DATA!$D$5*DATA!$D$7)/1000000</f>
        <v>0.62055317626548068</v>
      </c>
      <c r="J9" s="263">
        <f t="shared" ca="1" si="1"/>
        <v>30.540867868875182</v>
      </c>
      <c r="K9" s="263"/>
      <c r="L9" s="263">
        <f>((D9*DATA!$D$23)/1000000)+((E9*DATA!$D$24)/1000000)</f>
        <v>36.753168000000002</v>
      </c>
      <c r="M9" s="263">
        <f t="shared" si="2"/>
        <v>36.753168000000002</v>
      </c>
      <c r="N9" s="263">
        <f t="shared" ref="N9:N32" ca="1" si="6">M9-J9</f>
        <v>6.2123001311248203</v>
      </c>
      <c r="O9" s="269">
        <f>1/(1+'[93]Asumsi I'!$C$3)^(KKF!A9)</f>
        <v>0.79719387755102034</v>
      </c>
      <c r="P9" s="263">
        <f t="shared" ref="P9:P32" ca="1" si="7">O9*N9</f>
        <v>4.9524076300421074</v>
      </c>
      <c r="Q9" s="263">
        <f ca="1">Q8+P9</f>
        <v>-54.641921060189105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25440</v>
      </c>
      <c r="D10" s="263">
        <f t="shared" si="5"/>
        <v>4240</v>
      </c>
      <c r="E10" s="263">
        <f t="shared" si="0"/>
        <v>21200</v>
      </c>
      <c r="F10" s="261"/>
      <c r="G10" s="265">
        <f ca="1">DATA!$D$11/1000000</f>
        <v>2.3401735252549996</v>
      </c>
      <c r="H10" s="265">
        <f>C10*DATA!$D$5/1000000</f>
        <v>27.5801411673547</v>
      </c>
      <c r="I10" s="265">
        <f>(C10*DATA!$D$5*DATA!$D$7)/1000000</f>
        <v>0.62055317626548068</v>
      </c>
      <c r="J10" s="263">
        <f t="shared" ca="1" si="1"/>
        <v>30.540867868875182</v>
      </c>
      <c r="K10" s="261"/>
      <c r="L10" s="263">
        <f>((D10*DATA!$D$23)/1000000)+((E10*DATA!$D$24)/1000000)</f>
        <v>36.753168000000002</v>
      </c>
      <c r="M10" s="263">
        <f t="shared" si="2"/>
        <v>36.753168000000002</v>
      </c>
      <c r="N10" s="263">
        <f t="shared" ca="1" si="6"/>
        <v>6.2123001311248203</v>
      </c>
      <c r="O10" s="262">
        <f>1/(1+'[93]Asumsi I'!$C$3)^(KKF!A10)</f>
        <v>0.71178024781341087</v>
      </c>
      <c r="P10" s="263">
        <f t="shared" ca="1" si="7"/>
        <v>4.4217925268233094</v>
      </c>
      <c r="Q10" s="263">
        <f t="shared" ref="Q10:Q30" ca="1" si="9">Q9+P10</f>
        <v>-50.220128533365795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25440</v>
      </c>
      <c r="D11" s="263">
        <f t="shared" si="5"/>
        <v>4240</v>
      </c>
      <c r="E11" s="263">
        <f t="shared" si="0"/>
        <v>21200</v>
      </c>
      <c r="F11" s="261"/>
      <c r="G11" s="265">
        <f ca="1">DATA!$D$11/1000000</f>
        <v>2.3401735252549996</v>
      </c>
      <c r="H11" s="265">
        <f>C11*DATA!$D$5/1000000</f>
        <v>27.5801411673547</v>
      </c>
      <c r="I11" s="265">
        <f>(C11*DATA!$D$5*DATA!$D$7)/1000000</f>
        <v>0.62055317626548068</v>
      </c>
      <c r="J11" s="263">
        <f t="shared" ca="1" si="1"/>
        <v>30.540867868875182</v>
      </c>
      <c r="K11" s="261"/>
      <c r="L11" s="263">
        <f>((D11*DATA!$D$23)/1000000)+((E11*DATA!$D$24)/1000000)</f>
        <v>36.753168000000002</v>
      </c>
      <c r="M11" s="263">
        <f t="shared" si="2"/>
        <v>36.753168000000002</v>
      </c>
      <c r="N11" s="263">
        <f t="shared" ca="1" si="6"/>
        <v>6.2123001311248203</v>
      </c>
      <c r="O11" s="262">
        <f>1/(1+'[93]Asumsi I'!$C$3)^(KKF!A11)</f>
        <v>0.63551807840483121</v>
      </c>
      <c r="P11" s="263">
        <f t="shared" ca="1" si="7"/>
        <v>3.9480290418065267</v>
      </c>
      <c r="Q11" s="263">
        <f t="shared" ca="1" si="9"/>
        <v>-46.272099491559267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25440</v>
      </c>
      <c r="D12" s="263">
        <f t="shared" si="5"/>
        <v>4240</v>
      </c>
      <c r="E12" s="263">
        <f t="shared" si="0"/>
        <v>21200</v>
      </c>
      <c r="F12" s="261"/>
      <c r="G12" s="265">
        <f ca="1">DATA!$D$11/1000000</f>
        <v>2.3401735252549996</v>
      </c>
      <c r="H12" s="265">
        <f>C12*DATA!$D$5/1000000</f>
        <v>27.5801411673547</v>
      </c>
      <c r="I12" s="265">
        <f>(C12*DATA!$D$5*DATA!$D$7)/1000000</f>
        <v>0.62055317626548068</v>
      </c>
      <c r="J12" s="263">
        <f t="shared" ca="1" si="1"/>
        <v>30.540867868875182</v>
      </c>
      <c r="K12" s="261"/>
      <c r="L12" s="263">
        <f>((D12*DATA!$D$23)/1000000)+((E12*DATA!$D$24)/1000000)</f>
        <v>36.753168000000002</v>
      </c>
      <c r="M12" s="263">
        <f t="shared" si="2"/>
        <v>36.753168000000002</v>
      </c>
      <c r="N12" s="263">
        <f t="shared" ca="1" si="6"/>
        <v>6.2123001311248203</v>
      </c>
      <c r="O12" s="262">
        <f>1/(1+'[93]Asumsi I'!$C$3)^(KKF!A12)</f>
        <v>0.56742685571859919</v>
      </c>
      <c r="P12" s="263">
        <f t="shared" ca="1" si="7"/>
        <v>3.5250259301843982</v>
      </c>
      <c r="Q12" s="263">
        <f t="shared" ca="1" si="9"/>
        <v>-42.747073561374869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25440</v>
      </c>
      <c r="D13" s="263">
        <f t="shared" si="5"/>
        <v>4240</v>
      </c>
      <c r="E13" s="263">
        <f t="shared" si="0"/>
        <v>21200</v>
      </c>
      <c r="F13" s="261"/>
      <c r="G13" s="265">
        <f ca="1">DATA!$D$11/1000000</f>
        <v>2.3401735252549996</v>
      </c>
      <c r="H13" s="265">
        <f>C13*DATA!$D$5/1000000</f>
        <v>27.5801411673547</v>
      </c>
      <c r="I13" s="265">
        <f>(C13*DATA!$D$5*DATA!$D$7)/1000000</f>
        <v>0.62055317626548068</v>
      </c>
      <c r="J13" s="263">
        <f t="shared" ca="1" si="1"/>
        <v>30.540867868875182</v>
      </c>
      <c r="K13" s="261"/>
      <c r="L13" s="263">
        <f>((D13*DATA!$D$23)/1000000)+((E13*DATA!$D$24)/1000000)</f>
        <v>36.753168000000002</v>
      </c>
      <c r="M13" s="263">
        <f t="shared" si="2"/>
        <v>36.753168000000002</v>
      </c>
      <c r="N13" s="263">
        <f t="shared" ca="1" si="6"/>
        <v>6.2123001311248203</v>
      </c>
      <c r="O13" s="262">
        <f>1/(1+'[93]Asumsi I'!$C$3)^(KKF!A13)</f>
        <v>0.50663112117732068</v>
      </c>
      <c r="P13" s="263">
        <f t="shared" ca="1" si="7"/>
        <v>3.1473445805217839</v>
      </c>
      <c r="Q13" s="263">
        <f t="shared" ca="1" si="9"/>
        <v>-39.599728980853087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25440</v>
      </c>
      <c r="D14" s="263">
        <f t="shared" si="5"/>
        <v>4240</v>
      </c>
      <c r="E14" s="263">
        <f t="shared" si="0"/>
        <v>21200</v>
      </c>
      <c r="F14" s="261"/>
      <c r="G14" s="265">
        <f ca="1">DATA!$D$11/1000000</f>
        <v>2.3401735252549996</v>
      </c>
      <c r="H14" s="265">
        <f>C14*DATA!$D$5/1000000</f>
        <v>27.5801411673547</v>
      </c>
      <c r="I14" s="265">
        <f>(C14*DATA!$D$5*DATA!$D$7)/1000000</f>
        <v>0.62055317626548068</v>
      </c>
      <c r="J14" s="263">
        <f t="shared" ca="1" si="1"/>
        <v>30.540867868875182</v>
      </c>
      <c r="K14" s="261"/>
      <c r="L14" s="263">
        <f>((D14*DATA!$D$23)/1000000)+((E14*DATA!$D$24)/1000000)</f>
        <v>36.753168000000002</v>
      </c>
      <c r="M14" s="263">
        <f t="shared" si="2"/>
        <v>36.753168000000002</v>
      </c>
      <c r="N14" s="263">
        <f t="shared" ca="1" si="6"/>
        <v>6.2123001311248203</v>
      </c>
      <c r="O14" s="262">
        <f>1/(1+'[93]Asumsi I'!$C$3)^(KKF!A14)</f>
        <v>0.45234921533689343</v>
      </c>
      <c r="P14" s="263">
        <f t="shared" ca="1" si="7"/>
        <v>2.8101290897515927</v>
      </c>
      <c r="Q14" s="263">
        <f t="shared" ca="1" si="9"/>
        <v>-36.789599891101496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25440</v>
      </c>
      <c r="D15" s="263">
        <f t="shared" si="5"/>
        <v>4240</v>
      </c>
      <c r="E15" s="263">
        <f t="shared" si="0"/>
        <v>21200</v>
      </c>
      <c r="F15" s="261"/>
      <c r="G15" s="265">
        <f ca="1">DATA!$D$11/1000000</f>
        <v>2.3401735252549996</v>
      </c>
      <c r="H15" s="265">
        <f>C15*DATA!$D$5/1000000</f>
        <v>27.5801411673547</v>
      </c>
      <c r="I15" s="265">
        <f>(C15*DATA!$D$5*DATA!$D$7)/1000000</f>
        <v>0.62055317626548068</v>
      </c>
      <c r="J15" s="263">
        <f t="shared" ca="1" si="1"/>
        <v>30.540867868875182</v>
      </c>
      <c r="K15" s="261"/>
      <c r="L15" s="263">
        <f>((D15*DATA!$D$23)/1000000)+((E15*DATA!$D$24)/1000000)</f>
        <v>36.753168000000002</v>
      </c>
      <c r="M15" s="263">
        <f t="shared" si="2"/>
        <v>36.753168000000002</v>
      </c>
      <c r="N15" s="263">
        <f t="shared" ca="1" si="6"/>
        <v>6.2123001311248203</v>
      </c>
      <c r="O15" s="262">
        <f>1/(1+'[93]Asumsi I'!$C$3)^(KKF!A15)</f>
        <v>0.4038832279793691</v>
      </c>
      <c r="P15" s="263">
        <f t="shared" ca="1" si="7"/>
        <v>2.5090438301353504</v>
      </c>
      <c r="Q15" s="263">
        <f t="shared" ca="1" si="9"/>
        <v>-34.280556060966148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25440</v>
      </c>
      <c r="D16" s="263">
        <f t="shared" si="5"/>
        <v>4240</v>
      </c>
      <c r="E16" s="263">
        <f t="shared" si="0"/>
        <v>21200</v>
      </c>
      <c r="F16" s="261"/>
      <c r="G16" s="265">
        <f ca="1">DATA!$D$11/1000000</f>
        <v>2.3401735252549996</v>
      </c>
      <c r="H16" s="265">
        <f>C16*DATA!$D$5/1000000</f>
        <v>27.5801411673547</v>
      </c>
      <c r="I16" s="265">
        <f>(C16*DATA!$D$5*DATA!$D$7)/1000000</f>
        <v>0.62055317626548068</v>
      </c>
      <c r="J16" s="263">
        <f t="shared" ca="1" si="1"/>
        <v>30.540867868875182</v>
      </c>
      <c r="K16" s="261"/>
      <c r="L16" s="263">
        <f>((D16*DATA!$D$23)/1000000)+((E16*DATA!$D$24)/1000000)</f>
        <v>36.753168000000002</v>
      </c>
      <c r="M16" s="263">
        <f t="shared" si="2"/>
        <v>36.753168000000002</v>
      </c>
      <c r="N16" s="263">
        <f t="shared" ca="1" si="6"/>
        <v>6.2123001311248203</v>
      </c>
      <c r="O16" s="262">
        <f>1/(1+'[93]Asumsi I'!$C$3)^(KKF!A16)</f>
        <v>0.36061002498157957</v>
      </c>
      <c r="P16" s="263">
        <f t="shared" ca="1" si="7"/>
        <v>2.2402177054779915</v>
      </c>
      <c r="Q16" s="263">
        <f t="shared" ca="1" si="9"/>
        <v>-32.04033835548816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25440</v>
      </c>
      <c r="D17" s="263">
        <f t="shared" si="5"/>
        <v>4240</v>
      </c>
      <c r="E17" s="263">
        <f t="shared" si="0"/>
        <v>21200</v>
      </c>
      <c r="F17" s="261"/>
      <c r="G17" s="265">
        <f ca="1">DATA!$D$11/1000000</f>
        <v>2.3401735252549996</v>
      </c>
      <c r="H17" s="265">
        <f>C17*DATA!$D$5/1000000</f>
        <v>27.5801411673547</v>
      </c>
      <c r="I17" s="265">
        <f>(C17*DATA!$D$5*DATA!$D$7)/1000000</f>
        <v>0.62055317626548068</v>
      </c>
      <c r="J17" s="263">
        <f t="shared" ca="1" si="1"/>
        <v>30.540867868875182</v>
      </c>
      <c r="K17" s="261"/>
      <c r="L17" s="263">
        <f>((D17*DATA!$D$23)/1000000)+((E17*DATA!$D$24)/1000000)</f>
        <v>36.753168000000002</v>
      </c>
      <c r="M17" s="263">
        <f t="shared" si="2"/>
        <v>36.753168000000002</v>
      </c>
      <c r="N17" s="263">
        <f t="shared" ca="1" si="6"/>
        <v>6.2123001311248203</v>
      </c>
      <c r="O17" s="262">
        <f>1/(1+'[93]Asumsi I'!$C$3)^(KKF!A17)</f>
        <v>0.32197323659069599</v>
      </c>
      <c r="P17" s="263">
        <f t="shared" ca="1" si="7"/>
        <v>2.0001943798910635</v>
      </c>
      <c r="Q17" s="263">
        <f t="shared" ca="1" si="9"/>
        <v>-30.040143975597097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25440</v>
      </c>
      <c r="D18" s="263">
        <f t="shared" si="5"/>
        <v>4240</v>
      </c>
      <c r="E18" s="263">
        <f t="shared" si="0"/>
        <v>21200</v>
      </c>
      <c r="F18" s="261"/>
      <c r="G18" s="265">
        <f ca="1">DATA!$D$11/1000000</f>
        <v>2.3401735252549996</v>
      </c>
      <c r="H18" s="265">
        <f>C18*DATA!$D$5/1000000</f>
        <v>27.5801411673547</v>
      </c>
      <c r="I18" s="265">
        <f>(C18*DATA!$D$5*DATA!$D$7)/1000000</f>
        <v>0.62055317626548068</v>
      </c>
      <c r="J18" s="263">
        <f t="shared" ca="1" si="1"/>
        <v>30.540867868875182</v>
      </c>
      <c r="K18" s="261"/>
      <c r="L18" s="263">
        <f>((D18*DATA!$D$23)/1000000)+((E18*DATA!$D$24)/1000000)</f>
        <v>36.753168000000002</v>
      </c>
      <c r="M18" s="263">
        <f t="shared" si="2"/>
        <v>36.753168000000002</v>
      </c>
      <c r="N18" s="263">
        <f t="shared" ca="1" si="6"/>
        <v>6.2123001311248203</v>
      </c>
      <c r="O18" s="262">
        <f>1/(1+'[93]Asumsi I'!$C$3)^(KKF!A18)</f>
        <v>0.28747610409883567</v>
      </c>
      <c r="P18" s="263">
        <f t="shared" ca="1" si="7"/>
        <v>1.7858878391884494</v>
      </c>
      <c r="Q18" s="263">
        <f t="shared" ca="1" si="9"/>
        <v>-28.254256136408646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25440</v>
      </c>
      <c r="D19" s="263">
        <f t="shared" si="5"/>
        <v>4240</v>
      </c>
      <c r="E19" s="263">
        <f t="shared" si="0"/>
        <v>21200</v>
      </c>
      <c r="F19" s="261"/>
      <c r="G19" s="265">
        <f ca="1">DATA!$D$11/1000000</f>
        <v>2.3401735252549996</v>
      </c>
      <c r="H19" s="265">
        <f>C19*DATA!$D$5/1000000</f>
        <v>27.5801411673547</v>
      </c>
      <c r="I19" s="265">
        <f>(C19*DATA!$D$5*DATA!$D$7)/1000000</f>
        <v>0.62055317626548068</v>
      </c>
      <c r="J19" s="263">
        <f t="shared" ca="1" si="1"/>
        <v>30.540867868875182</v>
      </c>
      <c r="K19" s="261"/>
      <c r="L19" s="263">
        <f>((D19*DATA!$D$23)/1000000)+((E19*DATA!$D$24)/1000000)</f>
        <v>36.753168000000002</v>
      </c>
      <c r="M19" s="263">
        <f t="shared" si="2"/>
        <v>36.753168000000002</v>
      </c>
      <c r="N19" s="263">
        <f t="shared" ca="1" si="6"/>
        <v>6.2123001311248203</v>
      </c>
      <c r="O19" s="262">
        <f>1/(1+'[93]Asumsi I'!$C$3)^(KKF!A19)</f>
        <v>0.25667509294538904</v>
      </c>
      <c r="P19" s="263">
        <f t="shared" ca="1" si="7"/>
        <v>1.5945427135611157</v>
      </c>
      <c r="Q19" s="263">
        <f t="shared" ca="1" si="9"/>
        <v>-26.659713422847531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25440</v>
      </c>
      <c r="D20" s="263">
        <f t="shared" si="5"/>
        <v>4240</v>
      </c>
      <c r="E20" s="263">
        <f t="shared" si="0"/>
        <v>21200</v>
      </c>
      <c r="F20" s="261"/>
      <c r="G20" s="265">
        <f ca="1">DATA!$D$11/1000000</f>
        <v>2.3401735252549996</v>
      </c>
      <c r="H20" s="265">
        <f>C20*DATA!$D$5/1000000</f>
        <v>27.5801411673547</v>
      </c>
      <c r="I20" s="265">
        <f>(C20*DATA!$D$5*DATA!$D$7)/1000000</f>
        <v>0.62055317626548068</v>
      </c>
      <c r="J20" s="263">
        <f t="shared" ca="1" si="1"/>
        <v>30.540867868875182</v>
      </c>
      <c r="K20" s="261"/>
      <c r="L20" s="263">
        <f>((D20*DATA!$D$23)/1000000)+((E20*DATA!$D$24)/1000000)</f>
        <v>36.753168000000002</v>
      </c>
      <c r="M20" s="263">
        <f t="shared" si="2"/>
        <v>36.753168000000002</v>
      </c>
      <c r="N20" s="263">
        <f t="shared" ca="1" si="6"/>
        <v>6.2123001311248203</v>
      </c>
      <c r="O20" s="262">
        <f>1/(1+'[93]Asumsi I'!$C$3)^(KKF!A20)</f>
        <v>0.22917419012981158</v>
      </c>
      <c r="P20" s="263">
        <f t="shared" ca="1" si="7"/>
        <v>1.4236988513938529</v>
      </c>
      <c r="Q20" s="263">
        <f t="shared" ca="1" si="9"/>
        <v>-25.23601457145368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25440</v>
      </c>
      <c r="D21" s="263">
        <f t="shared" si="5"/>
        <v>4240</v>
      </c>
      <c r="E21" s="263">
        <f t="shared" si="0"/>
        <v>21200</v>
      </c>
      <c r="F21" s="261"/>
      <c r="G21" s="265">
        <f ca="1">DATA!$D$11/1000000</f>
        <v>2.3401735252549996</v>
      </c>
      <c r="H21" s="265">
        <f>C21*DATA!$D$5/1000000</f>
        <v>27.5801411673547</v>
      </c>
      <c r="I21" s="265">
        <f>(C21*DATA!$D$5*DATA!$D$7)/1000000</f>
        <v>0.62055317626548068</v>
      </c>
      <c r="J21" s="263">
        <f t="shared" ca="1" si="1"/>
        <v>30.540867868875182</v>
      </c>
      <c r="K21" s="261"/>
      <c r="L21" s="263">
        <f>((D21*DATA!$D$23)/1000000)+((E21*DATA!$D$24)/1000000)</f>
        <v>36.753168000000002</v>
      </c>
      <c r="M21" s="263">
        <f t="shared" si="2"/>
        <v>36.753168000000002</v>
      </c>
      <c r="N21" s="263">
        <f t="shared" ca="1" si="6"/>
        <v>6.2123001311248203</v>
      </c>
      <c r="O21" s="262">
        <f>1/(1+'[93]Asumsi I'!$C$3)^(KKF!A21)</f>
        <v>0.20461981261590317</v>
      </c>
      <c r="P21" s="263">
        <f t="shared" ca="1" si="7"/>
        <v>1.2711596887445114</v>
      </c>
      <c r="Q21" s="263">
        <f t="shared" ca="1" si="9"/>
        <v>-23.964854882709169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25440</v>
      </c>
      <c r="D22" s="263">
        <f t="shared" si="5"/>
        <v>4240</v>
      </c>
      <c r="E22" s="263">
        <f t="shared" si="0"/>
        <v>21200</v>
      </c>
      <c r="F22" s="261"/>
      <c r="G22" s="265">
        <f ca="1">DATA!$D$11/1000000</f>
        <v>2.3401735252549996</v>
      </c>
      <c r="H22" s="265">
        <f>C22*DATA!$D$5/1000000</f>
        <v>27.5801411673547</v>
      </c>
      <c r="I22" s="265">
        <f>(C22*DATA!$D$5*DATA!$D$7)/1000000</f>
        <v>0.62055317626548068</v>
      </c>
      <c r="J22" s="263">
        <f t="shared" ca="1" si="1"/>
        <v>30.540867868875182</v>
      </c>
      <c r="K22" s="261"/>
      <c r="L22" s="263">
        <f>((D22*DATA!$D$23)/1000000)+((E22*DATA!$D$24)/1000000)</f>
        <v>36.753168000000002</v>
      </c>
      <c r="M22" s="263">
        <f t="shared" si="2"/>
        <v>36.753168000000002</v>
      </c>
      <c r="N22" s="263">
        <f t="shared" ca="1" si="6"/>
        <v>6.2123001311248203</v>
      </c>
      <c r="O22" s="262">
        <f>1/(1+'[93]Asumsi I'!$C$3)^(KKF!A22)</f>
        <v>0.18269626126419927</v>
      </c>
      <c r="P22" s="263">
        <f t="shared" ca="1" si="7"/>
        <v>1.1349640078075995</v>
      </c>
      <c r="Q22" s="263">
        <f t="shared" ca="1" si="9"/>
        <v>-22.829890874901569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25440</v>
      </c>
      <c r="D23" s="263">
        <f t="shared" si="5"/>
        <v>4240</v>
      </c>
      <c r="E23" s="263">
        <f t="shared" si="0"/>
        <v>21200</v>
      </c>
      <c r="F23" s="261"/>
      <c r="G23" s="265">
        <f ca="1">DATA!$D$11/1000000</f>
        <v>2.3401735252549996</v>
      </c>
      <c r="H23" s="265">
        <f>C23*DATA!$D$5/1000000</f>
        <v>27.5801411673547</v>
      </c>
      <c r="I23" s="265">
        <f>(C23*DATA!$D$5*DATA!$D$7)/1000000</f>
        <v>0.62055317626548068</v>
      </c>
      <c r="J23" s="263">
        <f t="shared" ca="1" si="1"/>
        <v>30.540867868875182</v>
      </c>
      <c r="K23" s="261"/>
      <c r="L23" s="263">
        <f>((D23*DATA!$D$23)/1000000)+((E23*DATA!$D$24)/1000000)</f>
        <v>36.753168000000002</v>
      </c>
      <c r="M23" s="263">
        <f t="shared" si="2"/>
        <v>36.753168000000002</v>
      </c>
      <c r="N23" s="263">
        <f t="shared" ca="1" si="6"/>
        <v>6.2123001311248203</v>
      </c>
      <c r="O23" s="262">
        <f>1/(1+'[93]Asumsi I'!$C$3)^(KKF!A23)</f>
        <v>0.16312166184303503</v>
      </c>
      <c r="P23" s="263">
        <f t="shared" ca="1" si="7"/>
        <v>1.0133607212567852</v>
      </c>
      <c r="Q23" s="263">
        <f t="shared" ca="1" si="9"/>
        <v>-21.816530153644784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25440</v>
      </c>
      <c r="D24" s="263">
        <f t="shared" si="5"/>
        <v>4240</v>
      </c>
      <c r="E24" s="263">
        <f t="shared" si="0"/>
        <v>21200</v>
      </c>
      <c r="F24" s="261"/>
      <c r="G24" s="265">
        <f ca="1">DATA!$D$11/1000000</f>
        <v>2.3401735252549996</v>
      </c>
      <c r="H24" s="265">
        <f>C24*DATA!$D$5/1000000</f>
        <v>27.5801411673547</v>
      </c>
      <c r="I24" s="265">
        <f>(C24*DATA!$D$5*DATA!$D$7)/1000000</f>
        <v>0.62055317626548068</v>
      </c>
      <c r="J24" s="263">
        <f t="shared" ca="1" si="1"/>
        <v>30.540867868875182</v>
      </c>
      <c r="K24" s="261"/>
      <c r="L24" s="263">
        <f>((D24*DATA!$D$23)/1000000)+((E24*DATA!$D$24)/1000000)</f>
        <v>36.753168000000002</v>
      </c>
      <c r="M24" s="263">
        <f t="shared" si="2"/>
        <v>36.753168000000002</v>
      </c>
      <c r="N24" s="263">
        <f t="shared" ca="1" si="6"/>
        <v>6.2123001311248203</v>
      </c>
      <c r="O24" s="262">
        <f>1/(1+'[93]Asumsi I'!$C$3)^(KKF!A24)</f>
        <v>0.14564434093128129</v>
      </c>
      <c r="P24" s="263">
        <f t="shared" ca="1" si="7"/>
        <v>0.90478635826498677</v>
      </c>
      <c r="Q24" s="263">
        <f t="shared" ca="1" si="9"/>
        <v>-20.911743795379799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25440</v>
      </c>
      <c r="D25" s="263">
        <f t="shared" si="5"/>
        <v>4240</v>
      </c>
      <c r="E25" s="263">
        <f t="shared" si="0"/>
        <v>21200</v>
      </c>
      <c r="F25" s="261"/>
      <c r="G25" s="265">
        <f ca="1">DATA!$D$11/1000000</f>
        <v>2.3401735252549996</v>
      </c>
      <c r="H25" s="265">
        <f>C25*DATA!$D$5/1000000</f>
        <v>27.5801411673547</v>
      </c>
      <c r="I25" s="265">
        <f>(C25*DATA!$D$5*DATA!$D$7)/1000000</f>
        <v>0.62055317626548068</v>
      </c>
      <c r="J25" s="263">
        <f t="shared" ca="1" si="1"/>
        <v>30.540867868875182</v>
      </c>
      <c r="K25" s="261"/>
      <c r="L25" s="263">
        <f>((D25*DATA!$D$23)/1000000)+((E25*DATA!$D$24)/1000000)</f>
        <v>36.753168000000002</v>
      </c>
      <c r="M25" s="263">
        <f t="shared" si="2"/>
        <v>36.753168000000002</v>
      </c>
      <c r="N25" s="263">
        <f t="shared" ca="1" si="6"/>
        <v>6.2123001311248203</v>
      </c>
      <c r="O25" s="262">
        <f>1/(1+'[93]Asumsi I'!$C$3)^(KKF!A25)</f>
        <v>0.13003959011721541</v>
      </c>
      <c r="P25" s="263">
        <f t="shared" ca="1" si="7"/>
        <v>0.80784496273659523</v>
      </c>
      <c r="Q25" s="263">
        <f t="shared" ca="1" si="9"/>
        <v>-20.103898832643203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25440</v>
      </c>
      <c r="D26" s="263">
        <f t="shared" si="5"/>
        <v>4240</v>
      </c>
      <c r="E26" s="263">
        <f t="shared" si="0"/>
        <v>21200</v>
      </c>
      <c r="F26" s="261"/>
      <c r="G26" s="265">
        <f ca="1">DATA!$D$11/1000000</f>
        <v>2.3401735252549996</v>
      </c>
      <c r="H26" s="265">
        <f>C26*DATA!$D$5/1000000</f>
        <v>27.5801411673547</v>
      </c>
      <c r="I26" s="265">
        <f>(C26*DATA!$D$5*DATA!$D$7)/1000000</f>
        <v>0.62055317626548068</v>
      </c>
      <c r="J26" s="263">
        <f t="shared" ca="1" si="1"/>
        <v>30.540867868875182</v>
      </c>
      <c r="K26" s="261"/>
      <c r="L26" s="263">
        <f>((D26*DATA!$D$23)/1000000)+((E26*DATA!$D$24)/1000000)</f>
        <v>36.753168000000002</v>
      </c>
      <c r="M26" s="263">
        <f t="shared" si="2"/>
        <v>36.753168000000002</v>
      </c>
      <c r="N26" s="263">
        <f t="shared" ca="1" si="6"/>
        <v>6.2123001311248203</v>
      </c>
      <c r="O26" s="262">
        <f>1/(1+'[93]Asumsi I'!$C$3)^(KKF!A26)</f>
        <v>0.1161067768903709</v>
      </c>
      <c r="P26" s="263">
        <f t="shared" ca="1" si="7"/>
        <v>0.72129014530053137</v>
      </c>
      <c r="Q26" s="263">
        <f t="shared" ca="1" si="9"/>
        <v>-19.382608687342671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25440</v>
      </c>
      <c r="D27" s="263">
        <f t="shared" si="5"/>
        <v>4240</v>
      </c>
      <c r="E27" s="263">
        <f t="shared" si="0"/>
        <v>21200</v>
      </c>
      <c r="F27" s="261"/>
      <c r="G27" s="265">
        <f ca="1">DATA!$D$11/1000000</f>
        <v>2.3401735252549996</v>
      </c>
      <c r="H27" s="265">
        <f>C27*DATA!$D$5/1000000</f>
        <v>27.5801411673547</v>
      </c>
      <c r="I27" s="265">
        <f>(C27*DATA!$D$5*DATA!$D$7)/1000000</f>
        <v>0.62055317626548068</v>
      </c>
      <c r="J27" s="263">
        <f t="shared" ca="1" si="1"/>
        <v>30.540867868875182</v>
      </c>
      <c r="K27" s="261"/>
      <c r="L27" s="263">
        <f>((D27*DATA!$D$23)/1000000)+((E27*DATA!$D$24)/1000000)</f>
        <v>36.753168000000002</v>
      </c>
      <c r="M27" s="263">
        <f t="shared" si="2"/>
        <v>36.753168000000002</v>
      </c>
      <c r="N27" s="263">
        <f t="shared" ca="1" si="6"/>
        <v>6.2123001311248203</v>
      </c>
      <c r="O27" s="262">
        <f>1/(1+'[93]Asumsi I'!$C$3)^(KKF!A27)</f>
        <v>0.1036667650806883</v>
      </c>
      <c r="P27" s="263">
        <f t="shared" ca="1" si="7"/>
        <v>0.64400905830404587</v>
      </c>
      <c r="Q27" s="263">
        <f t="shared" ca="1" si="9"/>
        <v>-18.738599629038625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25440</v>
      </c>
      <c r="D28" s="263">
        <f t="shared" si="5"/>
        <v>4240</v>
      </c>
      <c r="E28" s="263">
        <f t="shared" si="0"/>
        <v>21200</v>
      </c>
      <c r="F28" s="261"/>
      <c r="G28" s="265">
        <f ca="1">DATA!$D$11/1000000</f>
        <v>2.3401735252549996</v>
      </c>
      <c r="H28" s="265">
        <f>C28*DATA!$D$5/1000000</f>
        <v>27.5801411673547</v>
      </c>
      <c r="I28" s="265">
        <f>(C28*DATA!$D$5*DATA!$D$7)/1000000</f>
        <v>0.62055317626548068</v>
      </c>
      <c r="J28" s="263">
        <f t="shared" ca="1" si="1"/>
        <v>30.540867868875182</v>
      </c>
      <c r="K28" s="261"/>
      <c r="L28" s="263">
        <f>((D28*DATA!$D$23)/1000000)+((E28*DATA!$D$24)/1000000)</f>
        <v>36.753168000000002</v>
      </c>
      <c r="M28" s="263">
        <f t="shared" si="2"/>
        <v>36.753168000000002</v>
      </c>
      <c r="N28" s="263">
        <f t="shared" ca="1" si="6"/>
        <v>6.2123001311248203</v>
      </c>
      <c r="O28" s="262">
        <f>1/(1+'[93]Asumsi I'!$C$3)^(KKF!A28)</f>
        <v>9.2559611679185971E-2</v>
      </c>
      <c r="P28" s="263">
        <f t="shared" ca="1" si="7"/>
        <v>0.5750080877714695</v>
      </c>
      <c r="Q28" s="263">
        <f t="shared" ca="1" si="9"/>
        <v>-18.163591541267156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25440</v>
      </c>
      <c r="D29" s="263">
        <f t="shared" si="5"/>
        <v>4240</v>
      </c>
      <c r="E29" s="263">
        <f t="shared" si="0"/>
        <v>21200</v>
      </c>
      <c r="F29" s="261"/>
      <c r="G29" s="265">
        <f ca="1">DATA!$D$11/1000000</f>
        <v>2.3401735252549996</v>
      </c>
      <c r="H29" s="265">
        <f>C29*DATA!$D$5/1000000</f>
        <v>27.5801411673547</v>
      </c>
      <c r="I29" s="265">
        <f>(C29*DATA!$D$5*DATA!$D$7)/1000000</f>
        <v>0.62055317626548068</v>
      </c>
      <c r="J29" s="263">
        <f t="shared" ca="1" si="1"/>
        <v>30.540867868875182</v>
      </c>
      <c r="K29" s="261"/>
      <c r="L29" s="263">
        <f>((D29*DATA!$D$23)/1000000)+((E29*DATA!$D$24)/1000000)</f>
        <v>36.753168000000002</v>
      </c>
      <c r="M29" s="263">
        <f t="shared" si="2"/>
        <v>36.753168000000002</v>
      </c>
      <c r="N29" s="263">
        <f t="shared" ca="1" si="6"/>
        <v>6.2123001311248203</v>
      </c>
      <c r="O29" s="262">
        <f>1/(1+'[93]Asumsi I'!$C$3)^(KKF!A29)</f>
        <v>8.2642510427844609E-2</v>
      </c>
      <c r="P29" s="263">
        <f t="shared" ca="1" si="7"/>
        <v>0.51340007836738344</v>
      </c>
      <c r="Q29" s="263">
        <f t="shared" ca="1" si="9"/>
        <v>-17.650191462899773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25440</v>
      </c>
      <c r="D30" s="263">
        <f t="shared" si="5"/>
        <v>4240</v>
      </c>
      <c r="E30" s="263">
        <f t="shared" si="0"/>
        <v>21200</v>
      </c>
      <c r="F30" s="261"/>
      <c r="G30" s="265">
        <f ca="1">DATA!$D$11/1000000</f>
        <v>2.3401735252549996</v>
      </c>
      <c r="H30" s="265">
        <f>C30*DATA!$D$5/1000000</f>
        <v>27.5801411673547</v>
      </c>
      <c r="I30" s="265">
        <f>(C30*DATA!$D$5*DATA!$D$7)/1000000</f>
        <v>0.62055317626548068</v>
      </c>
      <c r="J30" s="263">
        <f t="shared" ca="1" si="1"/>
        <v>30.540867868875182</v>
      </c>
      <c r="K30" s="261"/>
      <c r="L30" s="263">
        <f>((D30*DATA!$D$23)/1000000)+((E30*DATA!$D$24)/1000000)</f>
        <v>36.753168000000002</v>
      </c>
      <c r="M30" s="263">
        <f t="shared" si="2"/>
        <v>36.753168000000002</v>
      </c>
      <c r="N30" s="263">
        <f t="shared" ca="1" si="6"/>
        <v>6.2123001311248203</v>
      </c>
      <c r="O30" s="262">
        <f>1/(1+'[93]Asumsi I'!$C$3)^(KKF!A30)</f>
        <v>7.3787955739146982E-2</v>
      </c>
      <c r="P30" s="263">
        <f t="shared" ca="1" si="7"/>
        <v>0.45839292711373525</v>
      </c>
      <c r="Q30" s="263">
        <f t="shared" ca="1" si="9"/>
        <v>-17.191798535786038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25440</v>
      </c>
      <c r="D31" s="263">
        <f t="shared" si="5"/>
        <v>4240</v>
      </c>
      <c r="E31" s="263">
        <f t="shared" si="0"/>
        <v>21200</v>
      </c>
      <c r="F31" s="261"/>
      <c r="G31" s="265">
        <f ca="1">DATA!$D$11/1000000</f>
        <v>2.3401735252549996</v>
      </c>
      <c r="H31" s="265">
        <f>C31*DATA!$D$5/1000000</f>
        <v>27.5801411673547</v>
      </c>
      <c r="I31" s="265">
        <f>(C31*DATA!$D$5*DATA!$D$7)/1000000</f>
        <v>0.62055317626548068</v>
      </c>
      <c r="J31" s="263">
        <f t="shared" ca="1" si="1"/>
        <v>30.540867868875182</v>
      </c>
      <c r="K31" s="261"/>
      <c r="L31" s="263">
        <f>((D31*DATA!$D$23)/1000000)+((E31*DATA!$D$24)/1000000)</f>
        <v>36.753168000000002</v>
      </c>
      <c r="M31" s="263">
        <f t="shared" si="2"/>
        <v>36.753168000000002</v>
      </c>
      <c r="N31" s="263">
        <f t="shared" ca="1" si="6"/>
        <v>6.2123001311248203</v>
      </c>
      <c r="O31" s="262">
        <f>1/(1+'[93]Asumsi I'!$C$3)^(KKF!A31)</f>
        <v>6.5882103338524081E-2</v>
      </c>
      <c r="P31" s="263">
        <f t="shared" ca="1" si="7"/>
        <v>0.40927939920869211</v>
      </c>
      <c r="Q31" s="263">
        <f ca="1">Q30+P31</f>
        <v>-16.782519136577346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25440</v>
      </c>
      <c r="D32" s="263">
        <f t="shared" si="5"/>
        <v>4240</v>
      </c>
      <c r="E32" s="263">
        <f t="shared" si="0"/>
        <v>21200</v>
      </c>
      <c r="F32" s="261"/>
      <c r="G32" s="265">
        <f ca="1">DATA!$D$11/1000000</f>
        <v>2.3401735252549996</v>
      </c>
      <c r="H32" s="265">
        <f>C32*DATA!$D$5/1000000</f>
        <v>27.5801411673547</v>
      </c>
      <c r="I32" s="265">
        <f>(C32*DATA!$D$5*DATA!$D$7)/1000000</f>
        <v>0.62055317626548068</v>
      </c>
      <c r="J32" s="263">
        <f t="shared" ca="1" si="1"/>
        <v>30.540867868875182</v>
      </c>
      <c r="K32" s="261"/>
      <c r="L32" s="263">
        <f>((D32*DATA!$D$23)/1000000)+((E32*DATA!$D$24)/1000000)</f>
        <v>36.753168000000002</v>
      </c>
      <c r="M32" s="263">
        <f t="shared" si="2"/>
        <v>36.753168000000002</v>
      </c>
      <c r="N32" s="263">
        <f t="shared" ca="1" si="6"/>
        <v>6.2123001311248203</v>
      </c>
      <c r="O32" s="262">
        <f>1/(1+'[93]Asumsi I'!$C$3)^(KKF!A32)</f>
        <v>5.8823306552253637E-2</v>
      </c>
      <c r="P32" s="263">
        <f t="shared" ca="1" si="7"/>
        <v>0.36542803500776078</v>
      </c>
      <c r="Q32" s="263">
        <f ca="1">Q31+P32</f>
        <v>-16.417091101569586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04" t="s">
        <v>1373</v>
      </c>
      <c r="G33" s="604"/>
      <c r="H33" s="604"/>
      <c r="I33" s="271"/>
      <c r="J33" s="272">
        <f ca="1">SUM(J7:J32)</f>
        <v>892.27077795775858</v>
      </c>
      <c r="K33" s="604" t="s">
        <v>1374</v>
      </c>
      <c r="L33" s="604"/>
      <c r="M33" s="272">
        <f>SUM(M7:M32)</f>
        <v>982.43725599999971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20.724864948301626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1.1010528196929361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-14.658117054972847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8.2102545461833598E-2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6" priority="1" stopIfTrue="1" operator="greaterThanOrEqual">
      <formula>$F$7</formula>
    </cfRule>
    <cfRule type="cellIs" dxfId="25" priority="2" stopIfTrue="1" operator="lessThan">
      <formula>$F$7</formula>
    </cfRule>
  </conditionalFormatting>
  <conditionalFormatting sqref="Q7:Q32">
    <cfRule type="cellIs" dxfId="24" priority="3" operator="lessThan">
      <formula>0</formula>
    </cfRule>
    <cfRule type="cellIs" dxfId="23" priority="4" operator="lessThan">
      <formula>0</formula>
    </cfRule>
    <cfRule type="cellIs" dxfId="22" priority="5" operator="lessThan">
      <formula>-6395.81</formula>
    </cfRule>
    <cfRule type="cellIs" dxfId="2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42"/>
  <sheetViews>
    <sheetView showGridLines="0" zoomScale="70" zoomScaleNormal="70" zoomScaleSheetLayoutView="70" workbookViewId="0">
      <pane ySplit="13" topLeftCell="A50" activePane="bottomLeft" state="frozen"/>
      <selection activeCell="H1093" sqref="H1093"/>
      <selection pane="bottomLeft" activeCell="G8" sqref="G8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28" t="s">
        <v>1036</v>
      </c>
      <c r="P3" s="628"/>
      <c r="Q3" s="293"/>
      <c r="T3" s="291"/>
      <c r="U3" s="292" t="s">
        <v>1041</v>
      </c>
      <c r="V3" s="291"/>
    </row>
    <row r="4" spans="1:22" ht="15.75" customHeight="1">
      <c r="B4" s="629" t="s">
        <v>1023</v>
      </c>
      <c r="C4" s="629"/>
      <c r="D4" s="629"/>
      <c r="E4" s="629"/>
      <c r="F4" s="629"/>
      <c r="G4" s="629"/>
      <c r="H4" s="629"/>
      <c r="I4" s="629"/>
      <c r="J4" s="629"/>
      <c r="K4" s="629"/>
      <c r="O4" s="628"/>
      <c r="P4" s="628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11" t="s">
        <v>1643</v>
      </c>
      <c r="H6" s="612"/>
      <c r="I6" s="612"/>
      <c r="J6" s="612"/>
      <c r="K6" s="612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1644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31" t="s">
        <v>0</v>
      </c>
      <c r="C11" s="633" t="s">
        <v>1</v>
      </c>
      <c r="D11" s="622" t="s">
        <v>42</v>
      </c>
      <c r="E11" s="622" t="s">
        <v>43</v>
      </c>
      <c r="F11" s="622" t="s">
        <v>2</v>
      </c>
      <c r="G11" s="636" t="s">
        <v>41</v>
      </c>
      <c r="H11" s="622" t="s">
        <v>3</v>
      </c>
      <c r="I11" s="622"/>
      <c r="J11" s="622"/>
      <c r="K11" s="623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32"/>
      <c r="C12" s="634"/>
      <c r="D12" s="626"/>
      <c r="E12" s="626"/>
      <c r="F12" s="626"/>
      <c r="G12" s="637"/>
      <c r="H12" s="624" t="s">
        <v>46</v>
      </c>
      <c r="I12" s="624" t="s">
        <v>5</v>
      </c>
      <c r="J12" s="626" t="s">
        <v>47</v>
      </c>
      <c r="K12" s="627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32"/>
      <c r="C13" s="635"/>
      <c r="D13" s="626"/>
      <c r="E13" s="626"/>
      <c r="F13" s="626"/>
      <c r="G13" s="638"/>
      <c r="H13" s="625"/>
      <c r="I13" s="625"/>
      <c r="J13" s="626"/>
      <c r="K13" s="627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79" ca="1" si="0">IF(OR(D14="MDU",D14="MDU-KD"),(IF($O$3="RAB NON MDU","PLN KD",G14*F14)),0)</f>
        <v>0</v>
      </c>
      <c r="I14" s="308">
        <f t="shared" ref="I14:I79" ca="1" si="1">IF(D14="HDW",G14*F14,0)</f>
        <v>0</v>
      </c>
      <c r="J14" s="308">
        <f t="shared" ref="J14:J79" ca="1" si="2">IF(D14="JASA",G14*F14,0)</f>
        <v>0</v>
      </c>
      <c r="K14" s="309">
        <f t="shared" ref="K14:K79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19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>
        <v>1</v>
      </c>
      <c r="C17" s="109" t="s">
        <v>101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19">
        <v>1</v>
      </c>
      <c r="G17" s="307">
        <f ca="1">IF(ISERROR(OFFSET('HARGA SATUAN'!$I$6,MATCH(RAB!C17,'HARGA SATUAN'!$C$7:$C$1495,0),0)),0,OFFSET('HARGA SATUAN'!$I$6,MATCH(RAB!C17,'HARGA SATUAN'!$C$7:$C$1495,0),0))</f>
        <v>3382600</v>
      </c>
      <c r="H17" s="308">
        <f t="shared" ref="H17" ca="1" si="5">IF(OR(D17="MDU",D17="MDU-KD"),(IF($O$3="RAB NON MDU","PLN KD",G17*F17)),0)</f>
        <v>0</v>
      </c>
      <c r="I17" s="308">
        <f t="shared" ref="I17" ca="1" si="6">IF(D17="HDW",G17*F17,0)</f>
        <v>3382600</v>
      </c>
      <c r="J17" s="308">
        <f t="shared" ref="J17" ca="1" si="7">IF(D17="JASA",G17*F17,0)</f>
        <v>0</v>
      </c>
      <c r="K17" s="309">
        <f t="shared" ref="K17" ca="1" si="8">SUM(H17:J17)</f>
        <v>3382600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303">
        <v>2</v>
      </c>
      <c r="C18" s="109" t="s">
        <v>6</v>
      </c>
      <c r="D18" s="305" t="str">
        <f ca="1">IF(ISERROR(OFFSET('HARGA SATUAN'!$D$6,MATCH(RAB!C18,'HARGA SATUAN'!$C$7:$C$1495,0),0)),"",OFFSET('HARGA SATUAN'!$D$6,MATCH(RAB!C18,'HARGA SATUAN'!$C$7:$C$1495,0),0))</f>
        <v>JASA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19">
        <v>1</v>
      </c>
      <c r="G18" s="307">
        <f ca="1">IF(ISERROR(OFFSET('HARGA SATUAN'!$I$6,MATCH(RAB!C18,'HARGA SATUAN'!$C$7:$C$1495,0),0)),0,OFFSET('HARGA SATUAN'!$I$6,MATCH(RAB!C18,'HARGA SATUAN'!$C$7:$C$1495,0),0))</f>
        <v>10066.666666666668</v>
      </c>
      <c r="H18" s="308">
        <f t="shared" ca="1" si="0"/>
        <v>0</v>
      </c>
      <c r="I18" s="308">
        <f t="shared" ca="1" si="1"/>
        <v>0</v>
      </c>
      <c r="J18" s="308">
        <f t="shared" ca="1" si="2"/>
        <v>10066.666666666668</v>
      </c>
      <c r="K18" s="309">
        <f t="shared" ca="1" si="3"/>
        <v>10066.666666666668</v>
      </c>
      <c r="L18" s="289"/>
      <c r="M18" s="289" t="str">
        <f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8" t="s">
        <v>1601</v>
      </c>
      <c r="C19" s="421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19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t="shared" ca="1" si="4"/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712" t="s">
        <v>1035</v>
      </c>
      <c r="C20" s="714" t="s">
        <v>1638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88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289"/>
      <c r="M20" s="289"/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712">
        <v>1</v>
      </c>
      <c r="C21" s="109" t="s">
        <v>1146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88">
        <f>F20*1</f>
        <v>1</v>
      </c>
      <c r="G21" s="307">
        <f ca="1">IF(ISERROR(OFFSET('HARGA SATUAN'!$I$6,MATCH(RAB!C21,'HARGA SATUAN'!$C$7:$C$1495,0),0)),0,OFFSET('HARGA SATUAN'!$I$6,MATCH(RAB!C21,'HARGA SATUAN'!$C$7:$C$1495,0),0))</f>
        <v>56838600</v>
      </c>
      <c r="H21" s="308">
        <f t="shared" ca="1" si="0"/>
        <v>56838600</v>
      </c>
      <c r="I21" s="308">
        <f t="shared" ca="1" si="1"/>
        <v>0</v>
      </c>
      <c r="J21" s="308">
        <f t="shared" ca="1" si="2"/>
        <v>0</v>
      </c>
      <c r="K21" s="309">
        <f t="shared" ca="1" si="3"/>
        <v>56838600</v>
      </c>
      <c r="L21" s="289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715">
        <v>2</v>
      </c>
      <c r="C22" s="716" t="s">
        <v>1639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90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0"/>
        <v>0</v>
      </c>
      <c r="I22" s="308">
        <f t="shared" ca="1" si="1"/>
        <v>0</v>
      </c>
      <c r="J22" s="308">
        <f t="shared" ca="1" si="2"/>
        <v>0</v>
      </c>
      <c r="K22" s="309">
        <f t="shared" ca="1" si="3"/>
        <v>0</v>
      </c>
      <c r="L22" s="289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712"/>
      <c r="C23" s="716" t="s">
        <v>65</v>
      </c>
      <c r="D23" s="719" t="s">
        <v>1625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88">
        <f>F20*(3*3)</f>
        <v>9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si="0"/>
        <v>0</v>
      </c>
      <c r="I23" s="308">
        <f t="shared" si="1"/>
        <v>0</v>
      </c>
      <c r="J23" s="308">
        <f t="shared" si="2"/>
        <v>0</v>
      </c>
      <c r="K23" s="309">
        <f t="shared" si="3"/>
        <v>0</v>
      </c>
      <c r="L23" s="289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712"/>
      <c r="C24" s="716" t="s">
        <v>1640</v>
      </c>
      <c r="D24" s="719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88">
        <f>F20*3</f>
        <v>3</v>
      </c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0"/>
        <v>0</v>
      </c>
      <c r="I24" s="308">
        <f t="shared" ca="1" si="1"/>
        <v>0</v>
      </c>
      <c r="J24" s="308">
        <f t="shared" ca="1" si="2"/>
        <v>0</v>
      </c>
      <c r="K24" s="309">
        <f t="shared" ca="1" si="3"/>
        <v>0</v>
      </c>
      <c r="L24" s="289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712">
        <v>3</v>
      </c>
      <c r="C25" s="109" t="s">
        <v>559</v>
      </c>
      <c r="D25" s="719" t="s">
        <v>1625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88">
        <f>F20*3</f>
        <v>3</v>
      </c>
      <c r="G25" s="307">
        <f ca="1">IF(ISERROR(OFFSET('HARGA SATUAN'!$I$6,MATCH(RAB!C25,'HARGA SATUAN'!$C$7:$C$1495,0),0)),0,OFFSET('HARGA SATUAN'!$I$6,MATCH(RAB!C25,'HARGA SATUAN'!$C$7:$C$1495,0),0))</f>
        <v>725900</v>
      </c>
      <c r="H25" s="308">
        <f t="shared" si="0"/>
        <v>0</v>
      </c>
      <c r="I25" s="308">
        <f t="shared" si="1"/>
        <v>0</v>
      </c>
      <c r="J25" s="308">
        <f t="shared" si="2"/>
        <v>0</v>
      </c>
      <c r="K25" s="309">
        <f t="shared" si="3"/>
        <v>0</v>
      </c>
      <c r="L25" s="289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712">
        <v>4</v>
      </c>
      <c r="C26" s="714" t="s">
        <v>535</v>
      </c>
      <c r="D26" s="719" t="s">
        <v>1625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88">
        <f>F20*3</f>
        <v>3</v>
      </c>
      <c r="G26" s="307">
        <f ca="1">IF(ISERROR(OFFSET('HARGA SATUAN'!$I$6,MATCH(RAB!C26,'HARGA SATUAN'!$C$7:$C$1495,0),0)),0,OFFSET('HARGA SATUAN'!$I$6,MATCH(RAB!C26,'HARGA SATUAN'!$C$7:$C$1495,0),0))</f>
        <v>848250</v>
      </c>
      <c r="H26" s="308">
        <f t="shared" si="0"/>
        <v>0</v>
      </c>
      <c r="I26" s="308">
        <f t="shared" si="1"/>
        <v>0</v>
      </c>
      <c r="J26" s="308">
        <f t="shared" si="2"/>
        <v>0</v>
      </c>
      <c r="K26" s="309">
        <f t="shared" si="3"/>
        <v>0</v>
      </c>
      <c r="L26" s="289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712">
        <v>5</v>
      </c>
      <c r="C27" s="714" t="s">
        <v>55</v>
      </c>
      <c r="D27" s="719" t="s">
        <v>1625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88">
        <f>F20*3</f>
        <v>3</v>
      </c>
      <c r="G27" s="307">
        <f ca="1">IF(ISERROR(OFFSET('HARGA SATUAN'!$I$6,MATCH(RAB!C27,'HARGA SATUAN'!$C$7:$C$1495,0),0)),0,OFFSET('HARGA SATUAN'!$I$6,MATCH(RAB!C27,'HARGA SATUAN'!$C$7:$C$1495,0),0))</f>
        <v>18000</v>
      </c>
      <c r="H27" s="308">
        <f t="shared" si="0"/>
        <v>0</v>
      </c>
      <c r="I27" s="308">
        <f t="shared" si="1"/>
        <v>0</v>
      </c>
      <c r="J27" s="308">
        <f t="shared" si="2"/>
        <v>0</v>
      </c>
      <c r="K27" s="309">
        <f t="shared" si="3"/>
        <v>0</v>
      </c>
      <c r="L27" s="289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712">
        <v>6</v>
      </c>
      <c r="C28" s="714" t="s">
        <v>1615</v>
      </c>
      <c r="D28" s="719" t="s">
        <v>1625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88">
        <f>F20*13</f>
        <v>13</v>
      </c>
      <c r="G28" s="307">
        <f ca="1">IF(ISERROR(OFFSET('HARGA SATUAN'!$I$6,MATCH(RAB!C28,'HARGA SATUAN'!$C$7:$C$1495,0),0)),0,OFFSET('HARGA SATUAN'!$I$6,MATCH(RAB!C28,'HARGA SATUAN'!$C$7:$C$1495,0),0))</f>
        <v>49000</v>
      </c>
      <c r="H28" s="308">
        <f t="shared" si="0"/>
        <v>0</v>
      </c>
      <c r="I28" s="308">
        <f t="shared" si="1"/>
        <v>0</v>
      </c>
      <c r="J28" s="308">
        <f t="shared" si="2"/>
        <v>0</v>
      </c>
      <c r="K28" s="309">
        <f t="shared" si="3"/>
        <v>0</v>
      </c>
      <c r="L28" s="289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712">
        <v>7</v>
      </c>
      <c r="C29" s="714" t="s">
        <v>163</v>
      </c>
      <c r="D29" s="719" t="s">
        <v>1625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88">
        <f>F20*22</f>
        <v>22</v>
      </c>
      <c r="G29" s="307">
        <f ca="1">IF(ISERROR(OFFSET('HARGA SATUAN'!$I$6,MATCH(RAB!C29,'HARGA SATUAN'!$C$7:$C$1495,0),0)),0,OFFSET('HARGA SATUAN'!$I$6,MATCH(RAB!C29,'HARGA SATUAN'!$C$7:$C$1495,0),0))</f>
        <v>7938</v>
      </c>
      <c r="H29" s="308">
        <f t="shared" si="0"/>
        <v>0</v>
      </c>
      <c r="I29" s="308">
        <f t="shared" si="1"/>
        <v>0</v>
      </c>
      <c r="J29" s="308">
        <f t="shared" si="2"/>
        <v>0</v>
      </c>
      <c r="K29" s="309">
        <f t="shared" si="3"/>
        <v>0</v>
      </c>
      <c r="L29" s="289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712">
        <v>8</v>
      </c>
      <c r="C30" s="714" t="s">
        <v>176</v>
      </c>
      <c r="D30" s="719" t="s">
        <v>1625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88">
        <f>F20*1</f>
        <v>1</v>
      </c>
      <c r="G30" s="307">
        <f ca="1">IF(ISERROR(OFFSET('HARGA SATUAN'!$I$6,MATCH(RAB!C30,'HARGA SATUAN'!$C$7:$C$1495,0),0)),0,OFFSET('HARGA SATUAN'!$I$6,MATCH(RAB!C30,'HARGA SATUAN'!$C$7:$C$1495,0),0))</f>
        <v>404600</v>
      </c>
      <c r="H30" s="308">
        <f t="shared" si="0"/>
        <v>0</v>
      </c>
      <c r="I30" s="308">
        <f t="shared" si="1"/>
        <v>0</v>
      </c>
      <c r="J30" s="308">
        <f t="shared" si="2"/>
        <v>0</v>
      </c>
      <c r="K30" s="309">
        <f t="shared" si="3"/>
        <v>0</v>
      </c>
      <c r="L30" s="289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712">
        <v>9</v>
      </c>
      <c r="C31" s="714" t="s">
        <v>184</v>
      </c>
      <c r="D31" s="719" t="s">
        <v>1625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88">
        <f>F20*3</f>
        <v>3</v>
      </c>
      <c r="G31" s="307">
        <f ca="1">IF(ISERROR(OFFSET('HARGA SATUAN'!$I$6,MATCH(RAB!C31,'HARGA SATUAN'!$C$7:$C$1495,0),0)),0,OFFSET('HARGA SATUAN'!$I$6,MATCH(RAB!C31,'HARGA SATUAN'!$C$7:$C$1495,0),0))</f>
        <v>15900</v>
      </c>
      <c r="H31" s="308">
        <f t="shared" si="0"/>
        <v>0</v>
      </c>
      <c r="I31" s="308">
        <f t="shared" si="1"/>
        <v>0</v>
      </c>
      <c r="J31" s="308">
        <f t="shared" si="2"/>
        <v>0</v>
      </c>
      <c r="K31" s="309">
        <f t="shared" si="3"/>
        <v>0</v>
      </c>
      <c r="L31" s="289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712">
        <v>10</v>
      </c>
      <c r="C32" s="714" t="s">
        <v>592</v>
      </c>
      <c r="D32" s="719" t="s">
        <v>1625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88">
        <f>F20*5</f>
        <v>5</v>
      </c>
      <c r="G32" s="307">
        <f ca="1">IF(ISERROR(OFFSET('HARGA SATUAN'!$I$6,MATCH(RAB!C32,'HARGA SATUAN'!$C$7:$C$1495,0),0)),0,OFFSET('HARGA SATUAN'!$I$6,MATCH(RAB!C32,'HARGA SATUAN'!$C$7:$C$1495,0),0))</f>
        <v>283100</v>
      </c>
      <c r="H32" s="308">
        <f t="shared" si="0"/>
        <v>0</v>
      </c>
      <c r="I32" s="308">
        <f t="shared" si="1"/>
        <v>0</v>
      </c>
      <c r="J32" s="308">
        <f t="shared" si="2"/>
        <v>0</v>
      </c>
      <c r="K32" s="309">
        <f t="shared" si="3"/>
        <v>0</v>
      </c>
      <c r="L32" s="289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712">
        <v>11</v>
      </c>
      <c r="C33" s="714" t="s">
        <v>593</v>
      </c>
      <c r="D33" s="719" t="s">
        <v>1625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88">
        <f>F20*4</f>
        <v>4</v>
      </c>
      <c r="G33" s="307">
        <f ca="1">IF(ISERROR(OFFSET('HARGA SATUAN'!$I$6,MATCH(RAB!C33,'HARGA SATUAN'!$C$7:$C$1495,0),0)),0,OFFSET('HARGA SATUAN'!$I$6,MATCH(RAB!C33,'HARGA SATUAN'!$C$7:$C$1495,0),0))</f>
        <v>380500</v>
      </c>
      <c r="H33" s="308">
        <f t="shared" si="0"/>
        <v>0</v>
      </c>
      <c r="I33" s="308">
        <f t="shared" si="1"/>
        <v>0</v>
      </c>
      <c r="J33" s="308">
        <f t="shared" si="2"/>
        <v>0</v>
      </c>
      <c r="K33" s="309">
        <f t="shared" si="3"/>
        <v>0</v>
      </c>
      <c r="L33" s="289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712">
        <v>12</v>
      </c>
      <c r="C34" s="714" t="s">
        <v>208</v>
      </c>
      <c r="D34" s="719" t="s">
        <v>1625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88">
        <f>F20*3</f>
        <v>3</v>
      </c>
      <c r="G34" s="307">
        <f ca="1">IF(ISERROR(OFFSET('HARGA SATUAN'!$I$6,MATCH(RAB!C34,'HARGA SATUAN'!$C$7:$C$1495,0),0)),0,OFFSET('HARGA SATUAN'!$I$6,MATCH(RAB!C34,'HARGA SATUAN'!$C$7:$C$1495,0),0))</f>
        <v>173400</v>
      </c>
      <c r="H34" s="308">
        <f>IF(OR(D34="MDU",D34="MDU-KD"),(IF($O$3="RAB NON MDU","PLN KD",G34*F34)),0)</f>
        <v>0</v>
      </c>
      <c r="I34" s="308">
        <f t="shared" si="1"/>
        <v>0</v>
      </c>
      <c r="J34" s="308">
        <f t="shared" si="2"/>
        <v>0</v>
      </c>
      <c r="K34" s="309">
        <f t="shared" si="3"/>
        <v>0</v>
      </c>
      <c r="L34" s="289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712">
        <v>13</v>
      </c>
      <c r="C35" s="714" t="s">
        <v>247</v>
      </c>
      <c r="D35" s="719" t="s">
        <v>1625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88">
        <f>F20*1</f>
        <v>1</v>
      </c>
      <c r="G35" s="307">
        <f ca="1">IF(ISERROR(OFFSET('HARGA SATUAN'!$I$6,MATCH(RAB!C35,'HARGA SATUAN'!$C$7:$C$1495,0),0)),0,OFFSET('HARGA SATUAN'!$I$6,MATCH(RAB!C35,'HARGA SATUAN'!$C$7:$C$1495,0),0))</f>
        <v>57690</v>
      </c>
      <c r="H35" s="308">
        <f t="shared" si="0"/>
        <v>0</v>
      </c>
      <c r="I35" s="308">
        <f t="shared" si="1"/>
        <v>0</v>
      </c>
      <c r="J35" s="308">
        <f t="shared" si="2"/>
        <v>0</v>
      </c>
      <c r="K35" s="309">
        <f t="shared" si="3"/>
        <v>0</v>
      </c>
      <c r="L35" s="289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712">
        <v>14</v>
      </c>
      <c r="C36" s="714" t="s">
        <v>234</v>
      </c>
      <c r="D36" s="719" t="s">
        <v>1625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88">
        <f>F20*2</f>
        <v>2</v>
      </c>
      <c r="G36" s="307">
        <f ca="1">IF(ISERROR(OFFSET('HARGA SATUAN'!$I$6,MATCH(RAB!C36,'HARGA SATUAN'!$C$7:$C$1495,0),0)),0,OFFSET('HARGA SATUAN'!$I$6,MATCH(RAB!C36,'HARGA SATUAN'!$C$7:$C$1495,0),0))</f>
        <v>67500</v>
      </c>
      <c r="H36" s="308">
        <f t="shared" si="0"/>
        <v>0</v>
      </c>
      <c r="I36" s="308">
        <f t="shared" si="1"/>
        <v>0</v>
      </c>
      <c r="J36" s="308">
        <f t="shared" si="2"/>
        <v>0</v>
      </c>
      <c r="K36" s="309">
        <f t="shared" si="3"/>
        <v>0</v>
      </c>
      <c r="L36" s="289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712">
        <v>15</v>
      </c>
      <c r="C37" s="714" t="s">
        <v>267</v>
      </c>
      <c r="D37" s="719" t="s">
        <v>1625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88">
        <f>F20*2</f>
        <v>2</v>
      </c>
      <c r="G37" s="307">
        <f ca="1">IF(ISERROR(OFFSET('HARGA SATUAN'!$I$6,MATCH(RAB!C37,'HARGA SATUAN'!$C$7:$C$1495,0),0)),0,OFFSET('HARGA SATUAN'!$I$6,MATCH(RAB!C37,'HARGA SATUAN'!$C$7:$C$1495,0),0))</f>
        <v>129000</v>
      </c>
      <c r="H37" s="308">
        <f t="shared" si="0"/>
        <v>0</v>
      </c>
      <c r="I37" s="308">
        <f t="shared" si="1"/>
        <v>0</v>
      </c>
      <c r="J37" s="308">
        <f t="shared" si="2"/>
        <v>0</v>
      </c>
      <c r="K37" s="309">
        <f t="shared" si="3"/>
        <v>0</v>
      </c>
      <c r="L37" s="289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712">
        <v>16</v>
      </c>
      <c r="C38" s="714" t="s">
        <v>607</v>
      </c>
      <c r="D38" s="719" t="s">
        <v>1625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88">
        <f>F20*4</f>
        <v>4</v>
      </c>
      <c r="G38" s="307">
        <f ca="1">IF(ISERROR(OFFSET('HARGA SATUAN'!$I$6,MATCH(RAB!C38,'HARGA SATUAN'!$C$7:$C$1495,0),0)),0,OFFSET('HARGA SATUAN'!$I$6,MATCH(RAB!C38,'HARGA SATUAN'!$C$7:$C$1495,0),0))</f>
        <v>250000</v>
      </c>
      <c r="H38" s="308">
        <f t="shared" si="0"/>
        <v>0</v>
      </c>
      <c r="I38" s="308">
        <f t="shared" si="1"/>
        <v>0</v>
      </c>
      <c r="J38" s="308">
        <f t="shared" si="2"/>
        <v>0</v>
      </c>
      <c r="K38" s="309">
        <f t="shared" si="3"/>
        <v>0</v>
      </c>
      <c r="L38" s="289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712">
        <v>17</v>
      </c>
      <c r="C39" s="714" t="s">
        <v>784</v>
      </c>
      <c r="D39" s="305" t="str">
        <f ca="1">IF(ISERROR(OFFSET('HARGA SATUAN'!$D$6,MATCH(RAB!C39,'HARGA SATUAN'!$C$7:$C$1495,0),0)),"",OFFSET('HARGA SATUAN'!$D$6,MATCH(RAB!C39,'HARGA SATUAN'!$C$7:$C$1495,0),0))</f>
        <v>JASA</v>
      </c>
      <c r="E39" s="306" t="str">
        <f ca="1">IF(B39="+","Unit",IF(ISERROR(OFFSET('HARGA SATUAN'!$E$6,MATCH(RAB!C39,'HARGA SATUAN'!$C$7:$C$1495,0),0)),"",OFFSET('HARGA SATUAN'!$E$6,MATCH(RAB!C39,'HARGA SATUAN'!$C$7:$C$1495,0),0)))</f>
        <v>Unit</v>
      </c>
      <c r="F39" s="488">
        <f>F20*1</f>
        <v>1</v>
      </c>
      <c r="G39" s="307">
        <f ca="1">IF(ISERROR(OFFSET('HARGA SATUAN'!$I$6,MATCH(RAB!C39,'HARGA SATUAN'!$C$7:$C$1495,0),0)),0,OFFSET('HARGA SATUAN'!$I$6,MATCH(RAB!C39,'HARGA SATUAN'!$C$7:$C$1495,0),0))</f>
        <v>2953300</v>
      </c>
      <c r="H39" s="308">
        <f t="shared" ca="1" si="0"/>
        <v>0</v>
      </c>
      <c r="I39" s="308">
        <f t="shared" ca="1" si="1"/>
        <v>0</v>
      </c>
      <c r="J39" s="308">
        <f t="shared" ca="1" si="2"/>
        <v>2953300</v>
      </c>
      <c r="K39" s="309">
        <f t="shared" ca="1" si="3"/>
        <v>2953300</v>
      </c>
      <c r="L39" s="289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18"/>
      <c r="C40" s="421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19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0"/>
        <v>0</v>
      </c>
      <c r="I40" s="308">
        <f t="shared" ca="1" si="1"/>
        <v>0</v>
      </c>
      <c r="J40" s="308">
        <f t="shared" ca="1" si="2"/>
        <v>0</v>
      </c>
      <c r="K40" s="309">
        <f t="shared" ca="1" si="3"/>
        <v>0</v>
      </c>
      <c r="L40" s="289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712" t="s">
        <v>1035</v>
      </c>
      <c r="C41" s="714" t="s">
        <v>1631</v>
      </c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>Unit</v>
      </c>
      <c r="F41" s="488">
        <v>1</v>
      </c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0"/>
        <v>0</v>
      </c>
      <c r="I41" s="308">
        <f t="shared" ca="1" si="1"/>
        <v>0</v>
      </c>
      <c r="J41" s="308">
        <f t="shared" ca="1" si="2"/>
        <v>0</v>
      </c>
      <c r="K41" s="309">
        <f t="shared" ca="1" si="3"/>
        <v>0</v>
      </c>
      <c r="L41" s="289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712">
        <v>1</v>
      </c>
      <c r="C42" s="714" t="s">
        <v>229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88">
        <f>F41*1</f>
        <v>1</v>
      </c>
      <c r="G42" s="307">
        <f ca="1">IF(ISERROR(OFFSET('HARGA SATUAN'!$I$6,MATCH(RAB!C42,'HARGA SATUAN'!$C$7:$C$1495,0),0)),0,OFFSET('HARGA SATUAN'!$I$6,MATCH(RAB!C42,'HARGA SATUAN'!$C$7:$C$1495,0),0))</f>
        <v>4212</v>
      </c>
      <c r="H42" s="308">
        <f t="shared" ca="1" si="0"/>
        <v>0</v>
      </c>
      <c r="I42" s="308">
        <f t="shared" ca="1" si="1"/>
        <v>4212</v>
      </c>
      <c r="J42" s="308">
        <f t="shared" ca="1" si="2"/>
        <v>0</v>
      </c>
      <c r="K42" s="309">
        <f t="shared" ca="1" si="3"/>
        <v>4212</v>
      </c>
      <c r="L42" s="289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712">
        <v>2</v>
      </c>
      <c r="C43" s="714" t="s">
        <v>266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Mtr</v>
      </c>
      <c r="F43" s="488">
        <f>F41*1</f>
        <v>1</v>
      </c>
      <c r="G43" s="307">
        <f ca="1">IF(ISERROR(OFFSET('HARGA SATUAN'!$I$6,MATCH(RAB!C43,'HARGA SATUAN'!$C$7:$C$1495,0),0)),0,OFFSET('HARGA SATUAN'!$I$6,MATCH(RAB!C43,'HARGA SATUAN'!$C$7:$C$1495,0),0))</f>
        <v>23310</v>
      </c>
      <c r="H43" s="308">
        <f t="shared" ca="1" si="0"/>
        <v>0</v>
      </c>
      <c r="I43" s="308">
        <f t="shared" ca="1" si="1"/>
        <v>23310</v>
      </c>
      <c r="J43" s="308">
        <f t="shared" ca="1" si="2"/>
        <v>0</v>
      </c>
      <c r="K43" s="309">
        <f t="shared" ca="1" si="3"/>
        <v>23310</v>
      </c>
      <c r="L43" s="289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712">
        <v>3</v>
      </c>
      <c r="C44" s="714" t="s">
        <v>35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88">
        <f>F41*1</f>
        <v>1</v>
      </c>
      <c r="G44" s="307">
        <f ca="1">IF(ISERROR(OFFSET('HARGA SATUAN'!$I$6,MATCH(RAB!C44,'HARGA SATUAN'!$C$7:$C$1495,0),0)),0,OFFSET('HARGA SATUAN'!$I$6,MATCH(RAB!C44,'HARGA SATUAN'!$C$7:$C$1495,0),0))</f>
        <v>2300</v>
      </c>
      <c r="H44" s="308">
        <f t="shared" ca="1" si="0"/>
        <v>0</v>
      </c>
      <c r="I44" s="308">
        <f t="shared" ca="1" si="1"/>
        <v>2300</v>
      </c>
      <c r="J44" s="308">
        <f t="shared" ca="1" si="2"/>
        <v>0</v>
      </c>
      <c r="K44" s="309">
        <f t="shared" ca="1" si="3"/>
        <v>2300</v>
      </c>
      <c r="L44" s="289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712">
        <v>4</v>
      </c>
      <c r="C45" s="714" t="s">
        <v>609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Bh</v>
      </c>
      <c r="F45" s="488">
        <f>F41*1</f>
        <v>1</v>
      </c>
      <c r="G45" s="307">
        <f ca="1">IF(ISERROR(OFFSET('HARGA SATUAN'!$I$6,MATCH(RAB!C45,'HARGA SATUAN'!$C$7:$C$1495,0),0)),0,OFFSET('HARGA SATUAN'!$I$6,MATCH(RAB!C45,'HARGA SATUAN'!$C$7:$C$1495,0),0))</f>
        <v>71000</v>
      </c>
      <c r="H45" s="308">
        <f t="shared" ca="1" si="0"/>
        <v>0</v>
      </c>
      <c r="I45" s="308">
        <f t="shared" ca="1" si="1"/>
        <v>71000</v>
      </c>
      <c r="J45" s="308">
        <f t="shared" ca="1" si="2"/>
        <v>0</v>
      </c>
      <c r="K45" s="309">
        <f t="shared" ca="1" si="3"/>
        <v>71000</v>
      </c>
      <c r="L45" s="289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712">
        <v>5</v>
      </c>
      <c r="C46" s="714" t="s">
        <v>629</v>
      </c>
      <c r="D46" s="305" t="str">
        <f ca="1">IF(ISERROR(OFFSET('HARGA SATUAN'!$D$6,MATCH(RAB!C46,'HARGA SATUAN'!$C$7:$C$1495,0),0)),"",OFFSET('HARGA SATUAN'!$D$6,MATCH(RAB!C46,'HARGA SATUAN'!$C$7:$C$1495,0),0))</f>
        <v>JASA</v>
      </c>
      <c r="E46" s="306" t="str">
        <f ca="1">IF(B46="+","Unit",IF(ISERROR(OFFSET('HARGA SATUAN'!$E$6,MATCH(RAB!C46,'HARGA SATUAN'!$C$7:$C$1495,0),0)),"",OFFSET('HARGA SATUAN'!$E$6,MATCH(RAB!C46,'HARGA SATUAN'!$C$7:$C$1495,0),0)))</f>
        <v>Unit</v>
      </c>
      <c r="F46" s="488">
        <f>F41*1</f>
        <v>1</v>
      </c>
      <c r="G46" s="307">
        <f ca="1">IF(ISERROR(OFFSET('HARGA SATUAN'!$I$6,MATCH(RAB!C46,'HARGA SATUAN'!$C$7:$C$1495,0),0)),0,OFFSET('HARGA SATUAN'!$I$6,MATCH(RAB!C46,'HARGA SATUAN'!$C$7:$C$1495,0),0))</f>
        <v>29400</v>
      </c>
      <c r="H46" s="308">
        <f t="shared" ca="1" si="0"/>
        <v>0</v>
      </c>
      <c r="I46" s="308">
        <f t="shared" ca="1" si="1"/>
        <v>0</v>
      </c>
      <c r="J46" s="308">
        <f t="shared" ca="1" si="2"/>
        <v>29400</v>
      </c>
      <c r="K46" s="309">
        <f t="shared" ca="1" si="3"/>
        <v>29400</v>
      </c>
      <c r="L46" s="289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418"/>
      <c r="C47" s="421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19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0"/>
        <v>0</v>
      </c>
      <c r="I47" s="308">
        <f t="shared" ca="1" si="1"/>
        <v>0</v>
      </c>
      <c r="J47" s="308">
        <f t="shared" ca="1" si="2"/>
        <v>0</v>
      </c>
      <c r="K47" s="309">
        <f t="shared" ca="1" si="3"/>
        <v>0</v>
      </c>
      <c r="L47" s="289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712" t="s">
        <v>1035</v>
      </c>
      <c r="C48" s="714" t="s">
        <v>1630</v>
      </c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>Unit</v>
      </c>
      <c r="F48" s="488">
        <v>1</v>
      </c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0"/>
        <v>0</v>
      </c>
      <c r="I48" s="308">
        <f t="shared" ca="1" si="1"/>
        <v>0</v>
      </c>
      <c r="J48" s="308">
        <f t="shared" ca="1" si="2"/>
        <v>0</v>
      </c>
      <c r="K48" s="309">
        <f t="shared" ca="1" si="3"/>
        <v>0</v>
      </c>
      <c r="L48" s="289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712">
        <v>1</v>
      </c>
      <c r="C49" s="714" t="s">
        <v>595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488">
        <f>F48*1</f>
        <v>1</v>
      </c>
      <c r="G49" s="307">
        <f ca="1">IF(ISERROR(OFFSET('HARGA SATUAN'!$I$6,MATCH(RAB!C49,'HARGA SATUAN'!$C$7:$C$1495,0),0)),0,OFFSET('HARGA SATUAN'!$I$6,MATCH(RAB!C49,'HARGA SATUAN'!$C$7:$C$1495,0),0))</f>
        <v>78500</v>
      </c>
      <c r="H49" s="308">
        <f t="shared" ca="1" si="0"/>
        <v>0</v>
      </c>
      <c r="I49" s="308">
        <f t="shared" ca="1" si="1"/>
        <v>78500</v>
      </c>
      <c r="J49" s="308">
        <f t="shared" ca="1" si="2"/>
        <v>0</v>
      </c>
      <c r="K49" s="309">
        <f t="shared" ca="1" si="3"/>
        <v>78500</v>
      </c>
      <c r="L49" s="289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712">
        <v>2</v>
      </c>
      <c r="C50" s="714" t="s">
        <v>229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Bh</v>
      </c>
      <c r="F50" s="488">
        <f>F48*1</f>
        <v>1</v>
      </c>
      <c r="G50" s="307">
        <f ca="1">IF(ISERROR(OFFSET('HARGA SATUAN'!$I$6,MATCH(RAB!C50,'HARGA SATUAN'!$C$7:$C$1495,0),0)),0,OFFSET('HARGA SATUAN'!$I$6,MATCH(RAB!C50,'HARGA SATUAN'!$C$7:$C$1495,0),0))</f>
        <v>4212</v>
      </c>
      <c r="H50" s="308">
        <f t="shared" ca="1" si="0"/>
        <v>0</v>
      </c>
      <c r="I50" s="308">
        <f t="shared" ca="1" si="1"/>
        <v>4212</v>
      </c>
      <c r="J50" s="308">
        <f t="shared" ca="1" si="2"/>
        <v>0</v>
      </c>
      <c r="K50" s="309">
        <f t="shared" ca="1" si="3"/>
        <v>4212</v>
      </c>
      <c r="L50" s="289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712">
        <v>3</v>
      </c>
      <c r="C51" s="714" t="s">
        <v>266</v>
      </c>
      <c r="D51" s="305" t="str">
        <f ca="1">IF(ISERROR(OFFSET('HARGA SATUAN'!$D$6,MATCH(RAB!C51,'HARGA SATUAN'!$C$7:$C$1495,0),0)),"",OFFSET('HARGA SATUAN'!$D$6,MATCH(RAB!C51,'HARGA SATUAN'!$C$7:$C$1495,0),0))</f>
        <v>HDW</v>
      </c>
      <c r="E51" s="306" t="str">
        <f ca="1">IF(B51="+","Unit",IF(ISERROR(OFFSET('HARGA SATUAN'!$E$6,MATCH(RAB!C51,'HARGA SATUAN'!$C$7:$C$1495,0),0)),"",OFFSET('HARGA SATUAN'!$E$6,MATCH(RAB!C51,'HARGA SATUAN'!$C$7:$C$1495,0),0)))</f>
        <v>Mtr</v>
      </c>
      <c r="F51" s="488">
        <f>F48*1</f>
        <v>1</v>
      </c>
      <c r="G51" s="307">
        <f ca="1">IF(ISERROR(OFFSET('HARGA SATUAN'!$I$6,MATCH(RAB!C51,'HARGA SATUAN'!$C$7:$C$1495,0),0)),0,OFFSET('HARGA SATUAN'!$I$6,MATCH(RAB!C51,'HARGA SATUAN'!$C$7:$C$1495,0),0))</f>
        <v>23310</v>
      </c>
      <c r="H51" s="308">
        <f t="shared" ca="1" si="0"/>
        <v>0</v>
      </c>
      <c r="I51" s="308">
        <f t="shared" ca="1" si="1"/>
        <v>23310</v>
      </c>
      <c r="J51" s="308">
        <f t="shared" ca="1" si="2"/>
        <v>0</v>
      </c>
      <c r="K51" s="309">
        <f t="shared" ca="1" si="3"/>
        <v>23310</v>
      </c>
      <c r="L51" s="289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712">
        <v>4</v>
      </c>
      <c r="C52" s="714" t="s">
        <v>35</v>
      </c>
      <c r="D52" s="305" t="str">
        <f ca="1">IF(ISERROR(OFFSET('HARGA SATUAN'!$D$6,MATCH(RAB!C52,'HARGA SATUAN'!$C$7:$C$1495,0),0)),"",OFFSET('HARGA SATUAN'!$D$6,MATCH(RAB!C52,'HARGA SATUAN'!$C$7:$C$1495,0),0))</f>
        <v>HDW</v>
      </c>
      <c r="E52" s="306" t="str">
        <f ca="1">IF(B52="+","Unit",IF(ISERROR(OFFSET('HARGA SATUAN'!$E$6,MATCH(RAB!C52,'HARGA SATUAN'!$C$7:$C$1495,0),0)),"",OFFSET('HARGA SATUAN'!$E$6,MATCH(RAB!C52,'HARGA SATUAN'!$C$7:$C$1495,0),0)))</f>
        <v>Bh</v>
      </c>
      <c r="F52" s="488">
        <f>F48*1</f>
        <v>1</v>
      </c>
      <c r="G52" s="307">
        <f ca="1">IF(ISERROR(OFFSET('HARGA SATUAN'!$I$6,MATCH(RAB!C52,'HARGA SATUAN'!$C$7:$C$1495,0),0)),0,OFFSET('HARGA SATUAN'!$I$6,MATCH(RAB!C52,'HARGA SATUAN'!$C$7:$C$1495,0),0))</f>
        <v>2300</v>
      </c>
      <c r="H52" s="308">
        <f t="shared" ca="1" si="0"/>
        <v>0</v>
      </c>
      <c r="I52" s="308">
        <f t="shared" ca="1" si="1"/>
        <v>2300</v>
      </c>
      <c r="J52" s="308">
        <f t="shared" ca="1" si="2"/>
        <v>0</v>
      </c>
      <c r="K52" s="309">
        <f t="shared" ca="1" si="3"/>
        <v>2300</v>
      </c>
      <c r="L52" s="289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712">
        <v>5</v>
      </c>
      <c r="C53" s="714" t="s">
        <v>630</v>
      </c>
      <c r="D53" s="305" t="str">
        <f ca="1">IF(ISERROR(OFFSET('HARGA SATUAN'!$D$6,MATCH(RAB!C53,'HARGA SATUAN'!$C$7:$C$1495,0),0)),"",OFFSET('HARGA SATUAN'!$D$6,MATCH(RAB!C53,'HARGA SATUAN'!$C$7:$C$1495,0),0))</f>
        <v>JASA</v>
      </c>
      <c r="E53" s="306" t="str">
        <f ca="1">IF(B53="+","Unit",IF(ISERROR(OFFSET('HARGA SATUAN'!$E$6,MATCH(RAB!C53,'HARGA SATUAN'!$C$7:$C$1495,0),0)),"",OFFSET('HARGA SATUAN'!$E$6,MATCH(RAB!C53,'HARGA SATUAN'!$C$7:$C$1495,0),0)))</f>
        <v>Unit</v>
      </c>
      <c r="F53" s="488">
        <f>F48*1</f>
        <v>1</v>
      </c>
      <c r="G53" s="307">
        <f ca="1">IF(ISERROR(OFFSET('HARGA SATUAN'!$I$6,MATCH(RAB!C53,'HARGA SATUAN'!$C$7:$C$1495,0),0)),0,OFFSET('HARGA SATUAN'!$I$6,MATCH(RAB!C53,'HARGA SATUAN'!$C$7:$C$1495,0),0))</f>
        <v>35700</v>
      </c>
      <c r="H53" s="308">
        <f t="shared" ca="1" si="0"/>
        <v>0</v>
      </c>
      <c r="I53" s="308">
        <f t="shared" ca="1" si="1"/>
        <v>0</v>
      </c>
      <c r="J53" s="308">
        <f t="shared" ca="1" si="2"/>
        <v>35700</v>
      </c>
      <c r="K53" s="309">
        <f t="shared" ca="1" si="3"/>
        <v>35700</v>
      </c>
      <c r="L53" s="289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712"/>
      <c r="C54" s="714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88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0"/>
        <v>0</v>
      </c>
      <c r="I54" s="308">
        <f t="shared" ca="1" si="1"/>
        <v>0</v>
      </c>
      <c r="J54" s="308">
        <f t="shared" ca="1" si="2"/>
        <v>0</v>
      </c>
      <c r="K54" s="309">
        <f t="shared" ca="1" si="3"/>
        <v>0</v>
      </c>
      <c r="L54" s="289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712" t="s">
        <v>1035</v>
      </c>
      <c r="C55" s="714" t="s">
        <v>1632</v>
      </c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>Unit</v>
      </c>
      <c r="F55" s="488">
        <v>1</v>
      </c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0"/>
        <v>0</v>
      </c>
      <c r="I55" s="308">
        <f t="shared" ca="1" si="1"/>
        <v>0</v>
      </c>
      <c r="J55" s="308">
        <f t="shared" ca="1" si="2"/>
        <v>0</v>
      </c>
      <c r="K55" s="309">
        <f t="shared" ca="1" si="3"/>
        <v>0</v>
      </c>
      <c r="L55" s="289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712">
        <v>1</v>
      </c>
      <c r="C56" s="714" t="s">
        <v>30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488">
        <f>F55*1</f>
        <v>1</v>
      </c>
      <c r="G56" s="307">
        <f ca="1">IF(ISERROR(OFFSET('HARGA SATUAN'!$I$6,MATCH(RAB!C56,'HARGA SATUAN'!$C$7:$C$1495,0),0)),0,OFFSET('HARGA SATUAN'!$I$6,MATCH(RAB!C56,'HARGA SATUAN'!$C$7:$C$1495,0),0))</f>
        <v>47459</v>
      </c>
      <c r="H56" s="308">
        <f t="shared" ca="1" si="0"/>
        <v>0</v>
      </c>
      <c r="I56" s="308">
        <f t="shared" ca="1" si="1"/>
        <v>47459</v>
      </c>
      <c r="J56" s="308">
        <f t="shared" ca="1" si="2"/>
        <v>0</v>
      </c>
      <c r="K56" s="309">
        <f t="shared" ca="1" si="3"/>
        <v>47459</v>
      </c>
      <c r="L56" s="289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712">
        <v>2</v>
      </c>
      <c r="C57" s="714" t="s">
        <v>32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Mtr</v>
      </c>
      <c r="F57" s="488">
        <f>F55*0.8</f>
        <v>0.8</v>
      </c>
      <c r="G57" s="307">
        <f ca="1">IF(ISERROR(OFFSET('HARGA SATUAN'!$I$6,MATCH(RAB!C57,'HARGA SATUAN'!$C$7:$C$1495,0),0)),0,OFFSET('HARGA SATUAN'!$I$6,MATCH(RAB!C57,'HARGA SATUAN'!$C$7:$C$1495,0),0))</f>
        <v>30000</v>
      </c>
      <c r="H57" s="308">
        <f t="shared" ca="1" si="0"/>
        <v>0</v>
      </c>
      <c r="I57" s="308">
        <f t="shared" ca="1" si="1"/>
        <v>24000</v>
      </c>
      <c r="J57" s="308">
        <f t="shared" ca="1" si="2"/>
        <v>0</v>
      </c>
      <c r="K57" s="309">
        <f t="shared" ca="1" si="3"/>
        <v>24000</v>
      </c>
      <c r="L57" s="289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712">
        <v>3</v>
      </c>
      <c r="C58" s="714" t="s">
        <v>33</v>
      </c>
      <c r="D58" s="305" t="str">
        <f ca="1">IF(ISERROR(OFFSET('HARGA SATUAN'!$D$6,MATCH(RAB!C58,'HARGA SATUAN'!$C$7:$C$1495,0),0)),"",OFFSET('HARGA SATUAN'!$D$6,MATCH(RAB!C58,'HARGA SATUAN'!$C$7:$C$1495,0),0))</f>
        <v>HDW</v>
      </c>
      <c r="E58" s="306" t="str">
        <f ca="1">IF(B58="+","Unit",IF(ISERROR(OFFSET('HARGA SATUAN'!$E$6,MATCH(RAB!C58,'HARGA SATUAN'!$C$7:$C$1495,0),0)),"",OFFSET('HARGA SATUAN'!$E$6,MATCH(RAB!C58,'HARGA SATUAN'!$C$7:$C$1495,0),0)))</f>
        <v>Bh</v>
      </c>
      <c r="F58" s="488">
        <f>F55*1</f>
        <v>1</v>
      </c>
      <c r="G58" s="307">
        <f ca="1">IF(ISERROR(OFFSET('HARGA SATUAN'!$I$6,MATCH(RAB!C58,'HARGA SATUAN'!$C$7:$C$1495,0),0)),0,OFFSET('HARGA SATUAN'!$I$6,MATCH(RAB!C58,'HARGA SATUAN'!$C$7:$C$1495,0),0))</f>
        <v>9500</v>
      </c>
      <c r="H58" s="308">
        <f t="shared" ca="1" si="0"/>
        <v>0</v>
      </c>
      <c r="I58" s="308">
        <f t="shared" ca="1" si="1"/>
        <v>9500</v>
      </c>
      <c r="J58" s="308">
        <f t="shared" ca="1" si="2"/>
        <v>0</v>
      </c>
      <c r="K58" s="309">
        <f t="shared" ca="1" si="3"/>
        <v>9500</v>
      </c>
      <c r="L58" s="289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712">
        <v>4</v>
      </c>
      <c r="C59" s="714" t="s">
        <v>737</v>
      </c>
      <c r="D59" s="305" t="str">
        <f ca="1">IF(ISERROR(OFFSET('HARGA SATUAN'!$D$6,MATCH(RAB!C59,'HARGA SATUAN'!$C$7:$C$1495,0),0)),"",OFFSET('HARGA SATUAN'!$D$6,MATCH(RAB!C59,'HARGA SATUAN'!$C$7:$C$1495,0),0))</f>
        <v>JASA</v>
      </c>
      <c r="E59" s="306" t="str">
        <f ca="1">IF(B59="+","Unit",IF(ISERROR(OFFSET('HARGA SATUAN'!$E$6,MATCH(RAB!C59,'HARGA SATUAN'!$C$7:$C$1495,0),0)),"",OFFSET('HARGA SATUAN'!$E$6,MATCH(RAB!C59,'HARGA SATUAN'!$C$7:$C$1495,0),0)))</f>
        <v>Unit</v>
      </c>
      <c r="F59" s="488">
        <f>F55*1</f>
        <v>1</v>
      </c>
      <c r="G59" s="307">
        <f ca="1">IF(ISERROR(OFFSET('HARGA SATUAN'!$I$6,MATCH(RAB!C59,'HARGA SATUAN'!$C$7:$C$1495,0),0)),0,OFFSET('HARGA SATUAN'!$I$6,MATCH(RAB!C59,'HARGA SATUAN'!$C$7:$C$1495,0),0))</f>
        <v>16200</v>
      </c>
      <c r="H59" s="308">
        <f t="shared" ca="1" si="0"/>
        <v>0</v>
      </c>
      <c r="I59" s="308">
        <f t="shared" ca="1" si="1"/>
        <v>0</v>
      </c>
      <c r="J59" s="308">
        <f t="shared" ca="1" si="2"/>
        <v>16200</v>
      </c>
      <c r="K59" s="309">
        <f t="shared" ca="1" si="3"/>
        <v>16200</v>
      </c>
      <c r="L59" s="289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712"/>
      <c r="C60" s="714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88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0"/>
        <v>0</v>
      </c>
      <c r="I60" s="308">
        <f t="shared" ca="1" si="1"/>
        <v>0</v>
      </c>
      <c r="J60" s="308">
        <f t="shared" ca="1" si="2"/>
        <v>0</v>
      </c>
      <c r="K60" s="309">
        <f t="shared" ca="1" si="3"/>
        <v>0</v>
      </c>
      <c r="L60" s="289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712" t="s">
        <v>1035</v>
      </c>
      <c r="C61" s="714" t="s">
        <v>1633</v>
      </c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>Unit</v>
      </c>
      <c r="F61" s="488">
        <v>1</v>
      </c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0"/>
        <v>0</v>
      </c>
      <c r="I61" s="308">
        <f t="shared" ca="1" si="1"/>
        <v>0</v>
      </c>
      <c r="J61" s="308">
        <f t="shared" ca="1" si="2"/>
        <v>0</v>
      </c>
      <c r="K61" s="309">
        <f t="shared" ca="1" si="3"/>
        <v>0</v>
      </c>
      <c r="L61" s="289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712">
        <v>1</v>
      </c>
      <c r="C62" s="714" t="s">
        <v>30</v>
      </c>
      <c r="D62" s="305" t="str">
        <f ca="1">IF(ISERROR(OFFSET('HARGA SATUAN'!$D$6,MATCH(RAB!C62,'HARGA SATUAN'!$C$7:$C$1495,0),0)),"",OFFSET('HARGA SATUAN'!$D$6,MATCH(RAB!C62,'HARGA SATUAN'!$C$7:$C$1495,0),0))</f>
        <v>HDW</v>
      </c>
      <c r="E62" s="306" t="str">
        <f ca="1">IF(B62="+","Unit",IF(ISERROR(OFFSET('HARGA SATUAN'!$E$6,MATCH(RAB!C62,'HARGA SATUAN'!$C$7:$C$1495,0),0)),"",OFFSET('HARGA SATUAN'!$E$6,MATCH(RAB!C62,'HARGA SATUAN'!$C$7:$C$1495,0),0)))</f>
        <v>Bh</v>
      </c>
      <c r="F62" s="488">
        <f>F61*1</f>
        <v>1</v>
      </c>
      <c r="G62" s="307">
        <f ca="1">IF(ISERROR(OFFSET('HARGA SATUAN'!$I$6,MATCH(RAB!C62,'HARGA SATUAN'!$C$7:$C$1495,0),0)),0,OFFSET('HARGA SATUAN'!$I$6,MATCH(RAB!C62,'HARGA SATUAN'!$C$7:$C$1495,0),0))</f>
        <v>47459</v>
      </c>
      <c r="H62" s="308">
        <f t="shared" ca="1" si="0"/>
        <v>0</v>
      </c>
      <c r="I62" s="308">
        <f t="shared" ca="1" si="1"/>
        <v>47459</v>
      </c>
      <c r="J62" s="308">
        <f t="shared" ca="1" si="2"/>
        <v>0</v>
      </c>
      <c r="K62" s="309">
        <f t="shared" ca="1" si="3"/>
        <v>47459</v>
      </c>
      <c r="L62" s="289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712">
        <v>2</v>
      </c>
      <c r="C63" s="714" t="s">
        <v>32</v>
      </c>
      <c r="D63" s="305" t="str">
        <f ca="1">IF(ISERROR(OFFSET('HARGA SATUAN'!$D$6,MATCH(RAB!C63,'HARGA SATUAN'!$C$7:$C$1495,0),0)),"",OFFSET('HARGA SATUAN'!$D$6,MATCH(RAB!C63,'HARGA SATUAN'!$C$7:$C$1495,0),0))</f>
        <v>HDW</v>
      </c>
      <c r="E63" s="306" t="str">
        <f ca="1">IF(B63="+","Unit",IF(ISERROR(OFFSET('HARGA SATUAN'!$E$6,MATCH(RAB!C63,'HARGA SATUAN'!$C$7:$C$1495,0),0)),"",OFFSET('HARGA SATUAN'!$E$6,MATCH(RAB!C63,'HARGA SATUAN'!$C$7:$C$1495,0),0)))</f>
        <v>Mtr</v>
      </c>
      <c r="F63" s="488">
        <f>F61*1</f>
        <v>1</v>
      </c>
      <c r="G63" s="307">
        <f ca="1">IF(ISERROR(OFFSET('HARGA SATUAN'!$I$6,MATCH(RAB!C63,'HARGA SATUAN'!$C$7:$C$1495,0),0)),0,OFFSET('HARGA SATUAN'!$I$6,MATCH(RAB!C63,'HARGA SATUAN'!$C$7:$C$1495,0),0))</f>
        <v>30000</v>
      </c>
      <c r="H63" s="308">
        <f t="shared" ca="1" si="0"/>
        <v>0</v>
      </c>
      <c r="I63" s="308">
        <f t="shared" ca="1" si="1"/>
        <v>30000</v>
      </c>
      <c r="J63" s="308">
        <f t="shared" ca="1" si="2"/>
        <v>0</v>
      </c>
      <c r="K63" s="309">
        <f t="shared" ca="1" si="3"/>
        <v>30000</v>
      </c>
      <c r="L63" s="289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712">
        <v>3</v>
      </c>
      <c r="C64" s="714" t="s">
        <v>33</v>
      </c>
      <c r="D64" s="305" t="str">
        <f ca="1">IF(ISERROR(OFFSET('HARGA SATUAN'!$D$6,MATCH(RAB!C64,'HARGA SATUAN'!$C$7:$C$1495,0),0)),"",OFFSET('HARGA SATUAN'!$D$6,MATCH(RAB!C64,'HARGA SATUAN'!$C$7:$C$1495,0),0))</f>
        <v>HDW</v>
      </c>
      <c r="E64" s="306" t="str">
        <f ca="1">IF(B64="+","Unit",IF(ISERROR(OFFSET('HARGA SATUAN'!$E$6,MATCH(RAB!C64,'HARGA SATUAN'!$C$7:$C$1495,0),0)),"",OFFSET('HARGA SATUAN'!$E$6,MATCH(RAB!C64,'HARGA SATUAN'!$C$7:$C$1495,0),0)))</f>
        <v>Bh</v>
      </c>
      <c r="F64" s="488">
        <f>F61*1</f>
        <v>1</v>
      </c>
      <c r="G64" s="307">
        <f ca="1">IF(ISERROR(OFFSET('HARGA SATUAN'!$I$6,MATCH(RAB!C64,'HARGA SATUAN'!$C$7:$C$1495,0),0)),0,OFFSET('HARGA SATUAN'!$I$6,MATCH(RAB!C64,'HARGA SATUAN'!$C$7:$C$1495,0),0))</f>
        <v>9500</v>
      </c>
      <c r="H64" s="308">
        <f t="shared" ca="1" si="0"/>
        <v>0</v>
      </c>
      <c r="I64" s="308">
        <f t="shared" ca="1" si="1"/>
        <v>9500</v>
      </c>
      <c r="J64" s="308">
        <f t="shared" ca="1" si="2"/>
        <v>0</v>
      </c>
      <c r="K64" s="309">
        <f t="shared" ca="1" si="3"/>
        <v>9500</v>
      </c>
      <c r="L64" s="289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712">
        <v>4</v>
      </c>
      <c r="C65" s="714" t="s">
        <v>738</v>
      </c>
      <c r="D65" s="305" t="str">
        <f ca="1">IF(ISERROR(OFFSET('HARGA SATUAN'!$D$6,MATCH(RAB!C65,'HARGA SATUAN'!$C$7:$C$1495,0),0)),"",OFFSET('HARGA SATUAN'!$D$6,MATCH(RAB!C65,'HARGA SATUAN'!$C$7:$C$1495,0),0))</f>
        <v>JASA</v>
      </c>
      <c r="E65" s="306" t="str">
        <f ca="1">IF(B65="+","Unit",IF(ISERROR(OFFSET('HARGA SATUAN'!$E$6,MATCH(RAB!C65,'HARGA SATUAN'!$C$7:$C$1495,0),0)),"",OFFSET('HARGA SATUAN'!$E$6,MATCH(RAB!C65,'HARGA SATUAN'!$C$7:$C$1495,0),0)))</f>
        <v>Unit</v>
      </c>
      <c r="F65" s="488">
        <f>F61*1</f>
        <v>1</v>
      </c>
      <c r="G65" s="307">
        <f ca="1">IF(ISERROR(OFFSET('HARGA SATUAN'!$I$6,MATCH(RAB!C65,'HARGA SATUAN'!$C$7:$C$1495,0),0)),0,OFFSET('HARGA SATUAN'!$I$6,MATCH(RAB!C65,'HARGA SATUAN'!$C$7:$C$1495,0),0))</f>
        <v>21200</v>
      </c>
      <c r="H65" s="308">
        <f t="shared" ca="1" si="0"/>
        <v>0</v>
      </c>
      <c r="I65" s="308">
        <f t="shared" ca="1" si="1"/>
        <v>0</v>
      </c>
      <c r="J65" s="308">
        <f t="shared" ca="1" si="2"/>
        <v>21200</v>
      </c>
      <c r="K65" s="309">
        <f t="shared" ca="1" si="3"/>
        <v>21200</v>
      </c>
      <c r="L65" s="289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712"/>
      <c r="C66" s="714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88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0"/>
        <v>0</v>
      </c>
      <c r="I66" s="308">
        <f t="shared" ca="1" si="1"/>
        <v>0</v>
      </c>
      <c r="J66" s="308">
        <f t="shared" ca="1" si="2"/>
        <v>0</v>
      </c>
      <c r="K66" s="309">
        <f t="shared" ca="1" si="3"/>
        <v>0</v>
      </c>
      <c r="L66" s="289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712" t="s">
        <v>1035</v>
      </c>
      <c r="C67" s="714" t="s">
        <v>1634</v>
      </c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>Unit</v>
      </c>
      <c r="F67" s="717">
        <v>1</v>
      </c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0"/>
        <v>0</v>
      </c>
      <c r="I67" s="308">
        <f t="shared" ca="1" si="1"/>
        <v>0</v>
      </c>
      <c r="J67" s="308">
        <f t="shared" ca="1" si="2"/>
        <v>0</v>
      </c>
      <c r="K67" s="309">
        <f t="shared" ca="1" si="3"/>
        <v>0</v>
      </c>
      <c r="L67" s="289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712">
        <v>1</v>
      </c>
      <c r="C68" s="714" t="s">
        <v>262</v>
      </c>
      <c r="D68" s="305" t="str">
        <f ca="1">IF(ISERROR(OFFSET('HARGA SATUAN'!$D$6,MATCH(RAB!C68,'HARGA SATUAN'!$C$7:$C$1495,0),0)),"",OFFSET('HARGA SATUAN'!$D$6,MATCH(RAB!C68,'HARGA SATUAN'!$C$7:$C$1495,0),0))</f>
        <v>HDW</v>
      </c>
      <c r="E68" s="306" t="str">
        <f ca="1">IF(B68="+","Unit",IF(ISERROR(OFFSET('HARGA SATUAN'!$E$6,MATCH(RAB!C68,'HARGA SATUAN'!$C$7:$C$1495,0),0)),"",OFFSET('HARGA SATUAN'!$E$6,MATCH(RAB!C68,'HARGA SATUAN'!$C$7:$C$1495,0),0)))</f>
        <v>Bh</v>
      </c>
      <c r="F68" s="717">
        <f>F67*1</f>
        <v>1</v>
      </c>
      <c r="G68" s="307">
        <f ca="1">IF(ISERROR(OFFSET('HARGA SATUAN'!$I$6,MATCH(RAB!C68,'HARGA SATUAN'!$C$7:$C$1495,0),0)),0,OFFSET('HARGA SATUAN'!$I$6,MATCH(RAB!C68,'HARGA SATUAN'!$C$7:$C$1495,0),0))</f>
        <v>104200</v>
      </c>
      <c r="H68" s="308">
        <f t="shared" ca="1" si="0"/>
        <v>0</v>
      </c>
      <c r="I68" s="308">
        <f t="shared" ca="1" si="1"/>
        <v>104200</v>
      </c>
      <c r="J68" s="308">
        <f t="shared" ca="1" si="2"/>
        <v>0</v>
      </c>
      <c r="K68" s="309">
        <f t="shared" ca="1" si="3"/>
        <v>104200</v>
      </c>
      <c r="L68" s="289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712">
        <v>2</v>
      </c>
      <c r="C69" s="714" t="s">
        <v>596</v>
      </c>
      <c r="D69" s="305" t="str">
        <f ca="1">IF(ISERROR(OFFSET('HARGA SATUAN'!$D$6,MATCH(RAB!C69,'HARGA SATUAN'!$C$7:$C$1495,0),0)),"",OFFSET('HARGA SATUAN'!$D$6,MATCH(RAB!C69,'HARGA SATUAN'!$C$7:$C$1495,0),0))</f>
        <v>HDW</v>
      </c>
      <c r="E69" s="306" t="str">
        <f ca="1">IF(B69="+","Unit",IF(ISERROR(OFFSET('HARGA SATUAN'!$E$6,MATCH(RAB!C69,'HARGA SATUAN'!$C$7:$C$1495,0),0)),"",OFFSET('HARGA SATUAN'!$E$6,MATCH(RAB!C69,'HARGA SATUAN'!$C$7:$C$1495,0),0)))</f>
        <v>Bh</v>
      </c>
      <c r="F69" s="717">
        <f>F67*1</f>
        <v>1</v>
      </c>
      <c r="G69" s="307">
        <f ca="1">IF(ISERROR(OFFSET('HARGA SATUAN'!$I$6,MATCH(RAB!C69,'HARGA SATUAN'!$C$7:$C$1495,0),0)),0,OFFSET('HARGA SATUAN'!$I$6,MATCH(RAB!C69,'HARGA SATUAN'!$C$7:$C$1495,0),0))</f>
        <v>120000</v>
      </c>
      <c r="H69" s="308">
        <f t="shared" ca="1" si="0"/>
        <v>0</v>
      </c>
      <c r="I69" s="308">
        <f t="shared" ca="1" si="1"/>
        <v>120000</v>
      </c>
      <c r="J69" s="308">
        <f t="shared" ca="1" si="2"/>
        <v>0</v>
      </c>
      <c r="K69" s="309">
        <f t="shared" ca="1" si="3"/>
        <v>120000</v>
      </c>
      <c r="L69" s="289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712">
        <v>4</v>
      </c>
      <c r="C70" s="714" t="s">
        <v>214</v>
      </c>
      <c r="D70" s="305" t="str">
        <f ca="1">IF(ISERROR(OFFSET('HARGA SATUAN'!$D$6,MATCH(RAB!C70,'HARGA SATUAN'!$C$7:$C$1495,0),0)),"",OFFSET('HARGA SATUAN'!$D$6,MATCH(RAB!C70,'HARGA SATUAN'!$C$7:$C$1495,0),0))</f>
        <v>HDW</v>
      </c>
      <c r="E70" s="306" t="str">
        <f ca="1">IF(B70="+","Unit",IF(ISERROR(OFFSET('HARGA SATUAN'!$E$6,MATCH(RAB!C70,'HARGA SATUAN'!$C$7:$C$1495,0),0)),"",OFFSET('HARGA SATUAN'!$E$6,MATCH(RAB!C70,'HARGA SATUAN'!$C$7:$C$1495,0),0)))</f>
        <v>Bh</v>
      </c>
      <c r="F70" s="488">
        <f>F67*1</f>
        <v>1</v>
      </c>
      <c r="G70" s="307">
        <f ca="1">IF(ISERROR(OFFSET('HARGA SATUAN'!$I$6,MATCH(RAB!C70,'HARGA SATUAN'!$C$7:$C$1495,0),0)),0,OFFSET('HARGA SATUAN'!$I$6,MATCH(RAB!C70,'HARGA SATUAN'!$C$7:$C$1495,0),0))</f>
        <v>4500</v>
      </c>
      <c r="H70" s="308">
        <f t="shared" ca="1" si="0"/>
        <v>0</v>
      </c>
      <c r="I70" s="308">
        <f t="shared" ca="1" si="1"/>
        <v>4500</v>
      </c>
      <c r="J70" s="308">
        <f t="shared" ca="1" si="2"/>
        <v>0</v>
      </c>
      <c r="K70" s="309">
        <f t="shared" ca="1" si="3"/>
        <v>4500</v>
      </c>
      <c r="L70" s="289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712">
        <v>3</v>
      </c>
      <c r="C71" s="714" t="s">
        <v>767</v>
      </c>
      <c r="D71" s="305" t="str">
        <f ca="1">IF(ISERROR(OFFSET('HARGA SATUAN'!$D$6,MATCH(RAB!C71,'HARGA SATUAN'!$C$7:$C$1495,0),0)),"",OFFSET('HARGA SATUAN'!$D$6,MATCH(RAB!C71,'HARGA SATUAN'!$C$7:$C$1495,0),0))</f>
        <v>JASA</v>
      </c>
      <c r="E71" s="306" t="str">
        <f ca="1">IF(B71="+","Unit",IF(ISERROR(OFFSET('HARGA SATUAN'!$E$6,MATCH(RAB!C71,'HARGA SATUAN'!$C$7:$C$1495,0),0)),"",OFFSET('HARGA SATUAN'!$E$6,MATCH(RAB!C71,'HARGA SATUAN'!$C$7:$C$1495,0),0)))</f>
        <v>Unit</v>
      </c>
      <c r="F71" s="717">
        <f>F67*1</f>
        <v>1</v>
      </c>
      <c r="G71" s="307">
        <f ca="1">IF(ISERROR(OFFSET('HARGA SATUAN'!$I$6,MATCH(RAB!C71,'HARGA SATUAN'!$C$7:$C$1495,0),0)),0,OFFSET('HARGA SATUAN'!$I$6,MATCH(RAB!C71,'HARGA SATUAN'!$C$7:$C$1495,0),0))</f>
        <v>55500</v>
      </c>
      <c r="H71" s="308">
        <f t="shared" ca="1" si="0"/>
        <v>0</v>
      </c>
      <c r="I71" s="308">
        <f t="shared" ca="1" si="1"/>
        <v>0</v>
      </c>
      <c r="J71" s="308">
        <f t="shared" ca="1" si="2"/>
        <v>55500</v>
      </c>
      <c r="K71" s="309">
        <f t="shared" ca="1" si="3"/>
        <v>55500</v>
      </c>
      <c r="L71" s="289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712"/>
      <c r="C72" s="714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88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0"/>
        <v>0</v>
      </c>
      <c r="I72" s="308">
        <f t="shared" ca="1" si="1"/>
        <v>0</v>
      </c>
      <c r="J72" s="308">
        <f t="shared" ca="1" si="2"/>
        <v>0</v>
      </c>
      <c r="K72" s="309">
        <f t="shared" ca="1" si="3"/>
        <v>0</v>
      </c>
      <c r="L72" s="289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715" t="s">
        <v>1035</v>
      </c>
      <c r="C73" s="718" t="s">
        <v>1635</v>
      </c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>Unit</v>
      </c>
      <c r="F73" s="488">
        <v>1</v>
      </c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ca="1" si="0"/>
        <v>0</v>
      </c>
      <c r="I73" s="308">
        <f t="shared" ca="1" si="1"/>
        <v>0</v>
      </c>
      <c r="J73" s="308">
        <f t="shared" ca="1" si="2"/>
        <v>0</v>
      </c>
      <c r="K73" s="309">
        <f t="shared" ca="1" si="3"/>
        <v>0</v>
      </c>
      <c r="L73" s="289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712">
        <v>1</v>
      </c>
      <c r="C74" s="714" t="s">
        <v>28</v>
      </c>
      <c r="D74" s="305" t="str">
        <f ca="1">IF(ISERROR(OFFSET('HARGA SATUAN'!$D$6,MATCH(RAB!C74,'HARGA SATUAN'!$C$7:$C$1495,0),0)),"",OFFSET('HARGA SATUAN'!$D$6,MATCH(RAB!C74,'HARGA SATUAN'!$C$7:$C$1495,0),0))</f>
        <v>HDW</v>
      </c>
      <c r="E74" s="306" t="str">
        <f ca="1">IF(B74="+","Unit",IF(ISERROR(OFFSET('HARGA SATUAN'!$E$6,MATCH(RAB!C74,'HARGA SATUAN'!$C$7:$C$1495,0),0)),"",OFFSET('HARGA SATUAN'!$E$6,MATCH(RAB!C74,'HARGA SATUAN'!$C$7:$C$1495,0),0)))</f>
        <v>Bh</v>
      </c>
      <c r="F74" s="488">
        <f>F73*1</f>
        <v>1</v>
      </c>
      <c r="G74" s="307">
        <f ca="1">IF(ISERROR(OFFSET('HARGA SATUAN'!$I$6,MATCH(RAB!C74,'HARGA SATUAN'!$C$7:$C$1495,0),0)),0,OFFSET('HARGA SATUAN'!$I$6,MATCH(RAB!C74,'HARGA SATUAN'!$C$7:$C$1495,0),0))</f>
        <v>26500</v>
      </c>
      <c r="H74" s="308">
        <f t="shared" ca="1" si="0"/>
        <v>0</v>
      </c>
      <c r="I74" s="308">
        <f t="shared" ca="1" si="1"/>
        <v>26500</v>
      </c>
      <c r="J74" s="308">
        <f t="shared" ca="1" si="2"/>
        <v>0</v>
      </c>
      <c r="K74" s="309">
        <f t="shared" ca="1" si="3"/>
        <v>26500</v>
      </c>
      <c r="L74" s="289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712">
        <v>2</v>
      </c>
      <c r="C75" s="714" t="s">
        <v>203</v>
      </c>
      <c r="D75" s="305" t="str">
        <f ca="1">IF(ISERROR(OFFSET('HARGA SATUAN'!$D$6,MATCH(RAB!C75,'HARGA SATUAN'!$C$7:$C$1495,0),0)),"",OFFSET('HARGA SATUAN'!$D$6,MATCH(RAB!C75,'HARGA SATUAN'!$C$7:$C$1495,0),0))</f>
        <v>HDW</v>
      </c>
      <c r="E75" s="306" t="str">
        <f ca="1">IF(B75="+","Unit",IF(ISERROR(OFFSET('HARGA SATUAN'!$E$6,MATCH(RAB!C75,'HARGA SATUAN'!$C$7:$C$1495,0),0)),"",OFFSET('HARGA SATUAN'!$E$6,MATCH(RAB!C75,'HARGA SATUAN'!$C$7:$C$1495,0),0)))</f>
        <v>Bh</v>
      </c>
      <c r="F75" s="488">
        <f>F73*1</f>
        <v>1</v>
      </c>
      <c r="G75" s="307">
        <f ca="1">IF(ISERROR(OFFSET('HARGA SATUAN'!$I$6,MATCH(RAB!C75,'HARGA SATUAN'!$C$7:$C$1495,0),0)),0,OFFSET('HARGA SATUAN'!$I$6,MATCH(RAB!C75,'HARGA SATUAN'!$C$7:$C$1495,0),0))</f>
        <v>12500</v>
      </c>
      <c r="H75" s="308">
        <f t="shared" ca="1" si="0"/>
        <v>0</v>
      </c>
      <c r="I75" s="308">
        <f t="shared" ca="1" si="1"/>
        <v>12500</v>
      </c>
      <c r="J75" s="308">
        <f t="shared" ca="1" si="2"/>
        <v>0</v>
      </c>
      <c r="K75" s="309">
        <f t="shared" ca="1" si="3"/>
        <v>12500</v>
      </c>
      <c r="L75" s="289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712">
        <v>3</v>
      </c>
      <c r="C76" s="714" t="s">
        <v>205</v>
      </c>
      <c r="D76" s="305" t="str">
        <f ca="1">IF(ISERROR(OFFSET('HARGA SATUAN'!$D$6,MATCH(RAB!C76,'HARGA SATUAN'!$C$7:$C$1495,0),0)),"",OFFSET('HARGA SATUAN'!$D$6,MATCH(RAB!C76,'HARGA SATUAN'!$C$7:$C$1495,0),0))</f>
        <v>HDW</v>
      </c>
      <c r="E76" s="306" t="str">
        <f ca="1">IF(B76="+","Unit",IF(ISERROR(OFFSET('HARGA SATUAN'!$E$6,MATCH(RAB!C76,'HARGA SATUAN'!$C$7:$C$1495,0),0)),"",OFFSET('HARGA SATUAN'!$E$6,MATCH(RAB!C76,'HARGA SATUAN'!$C$7:$C$1495,0),0)))</f>
        <v>Mtr</v>
      </c>
      <c r="F76" s="488">
        <f>F73*12</f>
        <v>12</v>
      </c>
      <c r="G76" s="307">
        <f ca="1">IF(ISERROR(OFFSET('HARGA SATUAN'!$I$6,MATCH(RAB!C76,'HARGA SATUAN'!$C$7:$C$1495,0),0)),0,OFFSET('HARGA SATUAN'!$I$6,MATCH(RAB!C76,'HARGA SATUAN'!$C$7:$C$1495,0),0))</f>
        <v>24300</v>
      </c>
      <c r="H76" s="308">
        <f t="shared" ca="1" si="0"/>
        <v>0</v>
      </c>
      <c r="I76" s="308">
        <f t="shared" ca="1" si="1"/>
        <v>291600</v>
      </c>
      <c r="J76" s="308">
        <f t="shared" ca="1" si="2"/>
        <v>0</v>
      </c>
      <c r="K76" s="309">
        <f t="shared" ca="1" si="3"/>
        <v>291600</v>
      </c>
      <c r="L76" s="289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712">
        <v>4</v>
      </c>
      <c r="C77" s="714" t="s">
        <v>287</v>
      </c>
      <c r="D77" s="305" t="str">
        <f ca="1">IF(ISERROR(OFFSET('HARGA SATUAN'!$D$6,MATCH(RAB!C77,'HARGA SATUAN'!$C$7:$C$1495,0),0)),"",OFFSET('HARGA SATUAN'!$D$6,MATCH(RAB!C77,'HARGA SATUAN'!$C$7:$C$1495,0),0))</f>
        <v>HDW</v>
      </c>
      <c r="E77" s="306" t="str">
        <f ca="1">IF(B77="+","Unit",IF(ISERROR(OFFSET('HARGA SATUAN'!$E$6,MATCH(RAB!C77,'HARGA SATUAN'!$C$7:$C$1495,0),0)),"",OFFSET('HARGA SATUAN'!$E$6,MATCH(RAB!C77,'HARGA SATUAN'!$C$7:$C$1495,0),0)))</f>
        <v>Bh</v>
      </c>
      <c r="F77" s="488">
        <f>F73*2</f>
        <v>2</v>
      </c>
      <c r="G77" s="307">
        <f ca="1">IF(ISERROR(OFFSET('HARGA SATUAN'!$I$6,MATCH(RAB!C77,'HARGA SATUAN'!$C$7:$C$1495,0),0)),0,OFFSET('HARGA SATUAN'!$I$6,MATCH(RAB!C77,'HARGA SATUAN'!$C$7:$C$1495,0),0))</f>
        <v>40000</v>
      </c>
      <c r="H77" s="308">
        <f t="shared" ca="1" si="0"/>
        <v>0</v>
      </c>
      <c r="I77" s="308">
        <f t="shared" ca="1" si="1"/>
        <v>80000</v>
      </c>
      <c r="J77" s="308">
        <f t="shared" ca="1" si="2"/>
        <v>0</v>
      </c>
      <c r="K77" s="309">
        <f t="shared" ca="1" si="3"/>
        <v>80000</v>
      </c>
      <c r="L77" s="289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712">
        <v>5</v>
      </c>
      <c r="C78" s="714" t="s">
        <v>26</v>
      </c>
      <c r="D78" s="305" t="str">
        <f ca="1">IF(ISERROR(OFFSET('HARGA SATUAN'!$D$6,MATCH(RAB!C78,'HARGA SATUAN'!$C$7:$C$1495,0),0)),"",OFFSET('HARGA SATUAN'!$D$6,MATCH(RAB!C78,'HARGA SATUAN'!$C$7:$C$1495,0),0))</f>
        <v>HDW</v>
      </c>
      <c r="E78" s="306" t="str">
        <f ca="1">IF(B78="+","Unit",IF(ISERROR(OFFSET('HARGA SATUAN'!$E$6,MATCH(RAB!C78,'HARGA SATUAN'!$C$7:$C$1495,0),0)),"",OFFSET('HARGA SATUAN'!$E$6,MATCH(RAB!C78,'HARGA SATUAN'!$C$7:$C$1495,0),0)))</f>
        <v>Bh</v>
      </c>
      <c r="F78" s="488">
        <f>F73*1</f>
        <v>1</v>
      </c>
      <c r="G78" s="307">
        <f ca="1">IF(ISERROR(OFFSET('HARGA SATUAN'!$I$6,MATCH(RAB!C78,'HARGA SATUAN'!$C$7:$C$1495,0),0)),0,OFFSET('HARGA SATUAN'!$I$6,MATCH(RAB!C78,'HARGA SATUAN'!$C$7:$C$1495,0),0))</f>
        <v>2500</v>
      </c>
      <c r="H78" s="308">
        <f t="shared" ca="1" si="0"/>
        <v>0</v>
      </c>
      <c r="I78" s="308">
        <f t="shared" ca="1" si="1"/>
        <v>2500</v>
      </c>
      <c r="J78" s="308">
        <f t="shared" ca="1" si="2"/>
        <v>0</v>
      </c>
      <c r="K78" s="309">
        <f t="shared" ca="1" si="3"/>
        <v>2500</v>
      </c>
      <c r="L78" s="289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712">
        <v>6</v>
      </c>
      <c r="C79" s="714" t="s">
        <v>759</v>
      </c>
      <c r="D79" s="305" t="str">
        <f ca="1">IF(ISERROR(OFFSET('HARGA SATUAN'!$D$6,MATCH(RAB!C79,'HARGA SATUAN'!$C$7:$C$1495,0),0)),"",OFFSET('HARGA SATUAN'!$D$6,MATCH(RAB!C79,'HARGA SATUAN'!$C$7:$C$1495,0),0))</f>
        <v>JASA</v>
      </c>
      <c r="E79" s="306" t="str">
        <f ca="1">IF(B79="+","Unit",IF(ISERROR(OFFSET('HARGA SATUAN'!$E$6,MATCH(RAB!C79,'HARGA SATUAN'!$C$7:$C$1495,0),0)),"",OFFSET('HARGA SATUAN'!$E$6,MATCH(RAB!C79,'HARGA SATUAN'!$C$7:$C$1495,0),0)))</f>
        <v>Unit</v>
      </c>
      <c r="F79" s="488">
        <f>F73*1</f>
        <v>1</v>
      </c>
      <c r="G79" s="307">
        <f ca="1">IF(ISERROR(OFFSET('HARGA SATUAN'!$I$6,MATCH(RAB!C79,'HARGA SATUAN'!$C$7:$C$1495,0),0)),0,OFFSET('HARGA SATUAN'!$I$6,MATCH(RAB!C79,'HARGA SATUAN'!$C$7:$C$1495,0),0))</f>
        <v>43500</v>
      </c>
      <c r="H79" s="308">
        <f t="shared" ca="1" si="0"/>
        <v>0</v>
      </c>
      <c r="I79" s="308">
        <f t="shared" ca="1" si="1"/>
        <v>0</v>
      </c>
      <c r="J79" s="308">
        <f t="shared" ca="1" si="2"/>
        <v>43500</v>
      </c>
      <c r="K79" s="309">
        <f t="shared" ca="1" si="3"/>
        <v>43500</v>
      </c>
      <c r="L79" s="289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486"/>
      <c r="C80" s="487"/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490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ref="H80:H101" ca="1" si="9">IF(OR(D80="MDU",D80="MDU-KD"),(IF($O$3="RAB NON MDU","PLN KD",G80*F80)),0)</f>
        <v>0</v>
      </c>
      <c r="I80" s="308">
        <f t="shared" ref="I80:I101" ca="1" si="10">IF(D80="HDW",G80*F80,0)</f>
        <v>0</v>
      </c>
      <c r="J80" s="308">
        <f t="shared" ref="J80:J101" ca="1" si="11">IF(D80="JASA",G80*F80,0)</f>
        <v>0</v>
      </c>
      <c r="K80" s="309">
        <f t="shared" ref="K80:K101" ca="1" si="12">SUM(H80:J80)</f>
        <v>0</v>
      </c>
      <c r="L80" s="316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 hidden="1">
      <c r="A81" s="283"/>
      <c r="B81" s="486"/>
      <c r="C81" s="487"/>
      <c r="D81" s="305" t="str">
        <f ca="1">IF(ISERROR(OFFSET('HARGA SATUAN'!$D$6,MATCH(RAB!C81,'HARGA SATUAN'!$C$7:$C$1495,0),0)),"",OFFSET('HARGA SATUAN'!$D$6,MATCH(RAB!C81,'HARGA SATUAN'!$C$7:$C$1495,0),0))</f>
        <v/>
      </c>
      <c r="E81" s="306" t="str">
        <f ca="1">IF(B81="+","Unit",IF(ISERROR(OFFSET('HARGA SATUAN'!$E$6,MATCH(RAB!C81,'HARGA SATUAN'!$C$7:$C$1495,0),0)),"",OFFSET('HARGA SATUAN'!$E$6,MATCH(RAB!C81,'HARGA SATUAN'!$C$7:$C$1495,0),0)))</f>
        <v/>
      </c>
      <c r="F81" s="490"/>
      <c r="G81" s="307">
        <f ca="1">IF(ISERROR(OFFSET('HARGA SATUAN'!$I$6,MATCH(RAB!C81,'HARGA SATUAN'!$C$7:$C$1495,0),0)),0,OFFSET('HARGA SATUAN'!$I$6,MATCH(RAB!C81,'HARGA SATUAN'!$C$7:$C$1495,0),0))</f>
        <v>0</v>
      </c>
      <c r="H81" s="308">
        <f t="shared" ca="1" si="9"/>
        <v>0</v>
      </c>
      <c r="I81" s="308">
        <f t="shared" ca="1" si="10"/>
        <v>0</v>
      </c>
      <c r="J81" s="308">
        <f t="shared" ca="1" si="11"/>
        <v>0</v>
      </c>
      <c r="K81" s="309">
        <f t="shared" ca="1" si="12"/>
        <v>0</v>
      </c>
      <c r="L81" s="316"/>
      <c r="M81" s="289" t="str">
        <f t="shared" ref="M81:M118" ca="1" si="13">IF(AND(F81&gt;0,F80=0),"",IF(AND(ISBLANK(F81)=FALSE,K81=0),"WARNING",""))</f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 hidden="1">
      <c r="A82" s="283"/>
      <c r="B82" s="486"/>
      <c r="C82" s="487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IF(B82="+","Unit",IF(ISERROR(OFFSET('HARGA SATUAN'!$E$6,MATCH(RAB!C82,'HARGA SATUAN'!$C$7:$C$1495,0),0)),"",OFFSET('HARGA SATUAN'!$E$6,MATCH(RAB!C82,'HARGA SATUAN'!$C$7:$C$1495,0),0)))</f>
        <v/>
      </c>
      <c r="F82" s="490"/>
      <c r="G82" s="307">
        <f ca="1">IF(ISERROR(OFFSET('HARGA SATUAN'!$I$6,MATCH(RAB!C82,'HARGA SATUAN'!$C$7:$C$1495,0),0)),0,OFFSET('HARGA SATUAN'!$I$6,MATCH(RAB!C82,'HARGA SATUAN'!$C$7:$C$1495,0),0))</f>
        <v>0</v>
      </c>
      <c r="H82" s="308">
        <f t="shared" ca="1" si="9"/>
        <v>0</v>
      </c>
      <c r="I82" s="308">
        <f t="shared" ca="1" si="10"/>
        <v>0</v>
      </c>
      <c r="J82" s="308">
        <f t="shared" ca="1" si="11"/>
        <v>0</v>
      </c>
      <c r="K82" s="309">
        <f t="shared" ca="1" si="12"/>
        <v>0</v>
      </c>
      <c r="L82" s="316"/>
      <c r="M82" s="289" t="str">
        <f t="shared" ca="1" si="13"/>
        <v/>
      </c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 hidden="1">
      <c r="A83" s="283"/>
      <c r="B83" s="486"/>
      <c r="C83" s="487"/>
      <c r="D83" s="305" t="str">
        <f ca="1">IF(ISERROR(OFFSET('HARGA SATUAN'!$D$6,MATCH(RAB!C83,'HARGA SATUAN'!$C$7:$C$1495,0),0)),"",OFFSET('HARGA SATUAN'!$D$6,MATCH(RAB!C83,'HARGA SATUAN'!$C$7:$C$1495,0),0))</f>
        <v/>
      </c>
      <c r="E83" s="306" t="str">
        <f ca="1">IF(B83="+","Unit",IF(ISERROR(OFFSET('HARGA SATUAN'!$E$6,MATCH(RAB!C83,'HARGA SATUAN'!$C$7:$C$1495,0),0)),"",OFFSET('HARGA SATUAN'!$E$6,MATCH(RAB!C83,'HARGA SATUAN'!$C$7:$C$1495,0),0)))</f>
        <v/>
      </c>
      <c r="F83" s="490"/>
      <c r="G83" s="307">
        <f ca="1">IF(ISERROR(OFFSET('HARGA SATUAN'!$I$6,MATCH(RAB!C83,'HARGA SATUAN'!$C$7:$C$1495,0),0)),0,OFFSET('HARGA SATUAN'!$I$6,MATCH(RAB!C83,'HARGA SATUAN'!$C$7:$C$1495,0),0))</f>
        <v>0</v>
      </c>
      <c r="H83" s="308">
        <f t="shared" ca="1" si="9"/>
        <v>0</v>
      </c>
      <c r="I83" s="308">
        <f t="shared" ca="1" si="10"/>
        <v>0</v>
      </c>
      <c r="J83" s="308">
        <f t="shared" ca="1" si="11"/>
        <v>0</v>
      </c>
      <c r="K83" s="309">
        <f t="shared" ca="1" si="12"/>
        <v>0</v>
      </c>
      <c r="L83" s="316"/>
      <c r="M83" s="289" t="str">
        <f t="shared" ca="1" si="13"/>
        <v/>
      </c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 hidden="1">
      <c r="A84" s="283"/>
      <c r="B84" s="486"/>
      <c r="C84" s="487"/>
      <c r="D84" s="305" t="str">
        <f ca="1">IF(ISERROR(OFFSET('HARGA SATUAN'!$D$6,MATCH(RAB!C84,'HARGA SATUAN'!$C$7:$C$1495,0),0)),"",OFFSET('HARGA SATUAN'!$D$6,MATCH(RAB!C84,'HARGA SATUAN'!$C$7:$C$1495,0),0))</f>
        <v/>
      </c>
      <c r="E84" s="306" t="str">
        <f ca="1">IF(B84="+","Unit",IF(ISERROR(OFFSET('HARGA SATUAN'!$E$6,MATCH(RAB!C84,'HARGA SATUAN'!$C$7:$C$1495,0),0)),"",OFFSET('HARGA SATUAN'!$E$6,MATCH(RAB!C84,'HARGA SATUAN'!$C$7:$C$1495,0),0)))</f>
        <v/>
      </c>
      <c r="F84" s="490"/>
      <c r="G84" s="307">
        <f ca="1">IF(ISERROR(OFFSET('HARGA SATUAN'!$I$6,MATCH(RAB!C84,'HARGA SATUAN'!$C$7:$C$1495,0),0)),0,OFFSET('HARGA SATUAN'!$I$6,MATCH(RAB!C84,'HARGA SATUAN'!$C$7:$C$1495,0),0))</f>
        <v>0</v>
      </c>
      <c r="H84" s="308">
        <f t="shared" ca="1" si="9"/>
        <v>0</v>
      </c>
      <c r="I84" s="308">
        <f t="shared" ca="1" si="10"/>
        <v>0</v>
      </c>
      <c r="J84" s="308">
        <f t="shared" ca="1" si="11"/>
        <v>0</v>
      </c>
      <c r="K84" s="309">
        <f t="shared" ca="1" si="12"/>
        <v>0</v>
      </c>
      <c r="L84" s="316"/>
      <c r="M84" s="289" t="str">
        <f t="shared" ca="1" si="13"/>
        <v/>
      </c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 hidden="1">
      <c r="A85" s="283"/>
      <c r="B85" s="486"/>
      <c r="C85" s="487"/>
      <c r="D85" s="305" t="str">
        <f ca="1">IF(ISERROR(OFFSET('HARGA SATUAN'!$D$6,MATCH(RAB!C85,'HARGA SATUAN'!$C$7:$C$1495,0),0)),"",OFFSET('HARGA SATUAN'!$D$6,MATCH(RAB!C85,'HARGA SATUAN'!$C$7:$C$1495,0),0))</f>
        <v/>
      </c>
      <c r="E85" s="306" t="str">
        <f ca="1">IF(B85="+","Unit",IF(ISERROR(OFFSET('HARGA SATUAN'!$E$6,MATCH(RAB!C85,'HARGA SATUAN'!$C$7:$C$1495,0),0)),"",OFFSET('HARGA SATUAN'!$E$6,MATCH(RAB!C85,'HARGA SATUAN'!$C$7:$C$1495,0),0)))</f>
        <v/>
      </c>
      <c r="F85" s="490"/>
      <c r="G85" s="307">
        <f ca="1">IF(ISERROR(OFFSET('HARGA SATUAN'!$I$6,MATCH(RAB!C85,'HARGA SATUAN'!$C$7:$C$1495,0),0)),0,OFFSET('HARGA SATUAN'!$I$6,MATCH(RAB!C85,'HARGA SATUAN'!$C$7:$C$1495,0),0))</f>
        <v>0</v>
      </c>
      <c r="H85" s="308">
        <f t="shared" ca="1" si="9"/>
        <v>0</v>
      </c>
      <c r="I85" s="308">
        <f t="shared" ca="1" si="10"/>
        <v>0</v>
      </c>
      <c r="J85" s="308">
        <f t="shared" ca="1" si="11"/>
        <v>0</v>
      </c>
      <c r="K85" s="309">
        <f t="shared" ca="1" si="12"/>
        <v>0</v>
      </c>
      <c r="L85" s="316"/>
      <c r="M85" s="289" t="str">
        <f t="shared" ca="1" si="13"/>
        <v/>
      </c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 hidden="1">
      <c r="A86" s="283"/>
      <c r="B86" s="486"/>
      <c r="C86" s="487"/>
      <c r="D86" s="305" t="str">
        <f ca="1">IF(ISERROR(OFFSET('HARGA SATUAN'!$D$6,MATCH(RAB!C86,'HARGA SATUAN'!$C$7:$C$1495,0),0)),"",OFFSET('HARGA SATUAN'!$D$6,MATCH(RAB!C86,'HARGA SATUAN'!$C$7:$C$1495,0),0))</f>
        <v/>
      </c>
      <c r="E86" s="306" t="str">
        <f ca="1">IF(B86="+","Unit",IF(ISERROR(OFFSET('HARGA SATUAN'!$E$6,MATCH(RAB!C86,'HARGA SATUAN'!$C$7:$C$1495,0),0)),"",OFFSET('HARGA SATUAN'!$E$6,MATCH(RAB!C86,'HARGA SATUAN'!$C$7:$C$1495,0),0)))</f>
        <v/>
      </c>
      <c r="F86" s="490"/>
      <c r="G86" s="307">
        <f ca="1">IF(ISERROR(OFFSET('HARGA SATUAN'!$I$6,MATCH(RAB!C86,'HARGA SATUAN'!$C$7:$C$1495,0),0)),0,OFFSET('HARGA SATUAN'!$I$6,MATCH(RAB!C86,'HARGA SATUAN'!$C$7:$C$1495,0),0))</f>
        <v>0</v>
      </c>
      <c r="H86" s="308">
        <f t="shared" ca="1" si="9"/>
        <v>0</v>
      </c>
      <c r="I86" s="308">
        <f t="shared" ca="1" si="10"/>
        <v>0</v>
      </c>
      <c r="J86" s="308">
        <f t="shared" ca="1" si="11"/>
        <v>0</v>
      </c>
      <c r="K86" s="309">
        <f t="shared" ca="1" si="12"/>
        <v>0</v>
      </c>
      <c r="L86" s="316"/>
      <c r="M86" s="289" t="str">
        <f t="shared" ca="1" si="13"/>
        <v/>
      </c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 hidden="1">
      <c r="A87" s="283"/>
      <c r="B87" s="486"/>
      <c r="C87" s="487"/>
      <c r="D87" s="305" t="str">
        <f ca="1">IF(ISERROR(OFFSET('HARGA SATUAN'!$D$6,MATCH(RAB!C87,'HARGA SATUAN'!$C$7:$C$1495,0),0)),"",OFFSET('HARGA SATUAN'!$D$6,MATCH(RAB!C87,'HARGA SATUAN'!$C$7:$C$1495,0),0))</f>
        <v/>
      </c>
      <c r="E87" s="306" t="str">
        <f ca="1">IF(B87="+","Unit",IF(ISERROR(OFFSET('HARGA SATUAN'!$E$6,MATCH(RAB!C87,'HARGA SATUAN'!$C$7:$C$1495,0),0)),"",OFFSET('HARGA SATUAN'!$E$6,MATCH(RAB!C87,'HARGA SATUAN'!$C$7:$C$1495,0),0)))</f>
        <v/>
      </c>
      <c r="F87" s="490"/>
      <c r="G87" s="307">
        <f ca="1">IF(ISERROR(OFFSET('HARGA SATUAN'!$I$6,MATCH(RAB!C87,'HARGA SATUAN'!$C$7:$C$1495,0),0)),0,OFFSET('HARGA SATUAN'!$I$6,MATCH(RAB!C87,'HARGA SATUAN'!$C$7:$C$1495,0),0))</f>
        <v>0</v>
      </c>
      <c r="H87" s="308">
        <f t="shared" ca="1" si="9"/>
        <v>0</v>
      </c>
      <c r="I87" s="308">
        <f t="shared" ca="1" si="10"/>
        <v>0</v>
      </c>
      <c r="J87" s="308">
        <f t="shared" ca="1" si="11"/>
        <v>0</v>
      </c>
      <c r="K87" s="309">
        <f t="shared" ca="1" si="12"/>
        <v>0</v>
      </c>
      <c r="L87" s="316"/>
      <c r="M87" s="289" t="str">
        <f t="shared" ca="1" si="13"/>
        <v/>
      </c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 hidden="1">
      <c r="A88" s="283"/>
      <c r="B88" s="486"/>
      <c r="C88" s="487"/>
      <c r="D88" s="305" t="str">
        <f ca="1">IF(ISERROR(OFFSET('HARGA SATUAN'!$D$6,MATCH(RAB!C88,'HARGA SATUAN'!$C$7:$C$1495,0),0)),"",OFFSET('HARGA SATUAN'!$D$6,MATCH(RAB!C88,'HARGA SATUAN'!$C$7:$C$1495,0),0))</f>
        <v/>
      </c>
      <c r="E88" s="306" t="str">
        <f ca="1">IF(B88="+","Unit",IF(ISERROR(OFFSET('HARGA SATUAN'!$E$6,MATCH(RAB!C88,'HARGA SATUAN'!$C$7:$C$1495,0),0)),"",OFFSET('HARGA SATUAN'!$E$6,MATCH(RAB!C88,'HARGA SATUAN'!$C$7:$C$1495,0),0)))</f>
        <v/>
      </c>
      <c r="F88" s="490"/>
      <c r="G88" s="307">
        <f ca="1">IF(ISERROR(OFFSET('HARGA SATUAN'!$I$6,MATCH(RAB!C88,'HARGA SATUAN'!$C$7:$C$1495,0),0)),0,OFFSET('HARGA SATUAN'!$I$6,MATCH(RAB!C88,'HARGA SATUAN'!$C$7:$C$1495,0),0))</f>
        <v>0</v>
      </c>
      <c r="H88" s="308">
        <f t="shared" ca="1" si="9"/>
        <v>0</v>
      </c>
      <c r="I88" s="308">
        <f t="shared" ca="1" si="10"/>
        <v>0</v>
      </c>
      <c r="J88" s="308">
        <f t="shared" ca="1" si="11"/>
        <v>0</v>
      </c>
      <c r="K88" s="309">
        <f t="shared" ca="1" si="12"/>
        <v>0</v>
      </c>
      <c r="L88" s="316"/>
      <c r="M88" s="289" t="str">
        <f t="shared" ca="1" si="13"/>
        <v/>
      </c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 hidden="1">
      <c r="A89" s="283"/>
      <c r="B89" s="486"/>
      <c r="C89" s="487"/>
      <c r="D89" s="305" t="str">
        <f ca="1">IF(ISERROR(OFFSET('HARGA SATUAN'!$D$6,MATCH(RAB!C89,'HARGA SATUAN'!$C$7:$C$1495,0),0)),"",OFFSET('HARGA SATUAN'!$D$6,MATCH(RAB!C89,'HARGA SATUAN'!$C$7:$C$1495,0),0))</f>
        <v/>
      </c>
      <c r="E89" s="306" t="str">
        <f ca="1">IF(B89="+","Unit",IF(ISERROR(OFFSET('HARGA SATUAN'!$E$6,MATCH(RAB!C89,'HARGA SATUAN'!$C$7:$C$1495,0),0)),"",OFFSET('HARGA SATUAN'!$E$6,MATCH(RAB!C89,'HARGA SATUAN'!$C$7:$C$1495,0),0)))</f>
        <v/>
      </c>
      <c r="F89" s="490"/>
      <c r="G89" s="307">
        <f ca="1">IF(ISERROR(OFFSET('HARGA SATUAN'!$I$6,MATCH(RAB!C89,'HARGA SATUAN'!$C$7:$C$1495,0),0)),0,OFFSET('HARGA SATUAN'!$I$6,MATCH(RAB!C89,'HARGA SATUAN'!$C$7:$C$1495,0),0))</f>
        <v>0</v>
      </c>
      <c r="H89" s="308">
        <f t="shared" ca="1" si="9"/>
        <v>0</v>
      </c>
      <c r="I89" s="308">
        <f t="shared" ca="1" si="10"/>
        <v>0</v>
      </c>
      <c r="J89" s="308">
        <f t="shared" ca="1" si="11"/>
        <v>0</v>
      </c>
      <c r="K89" s="309">
        <f t="shared" ca="1" si="12"/>
        <v>0</v>
      </c>
      <c r="L89" s="316"/>
      <c r="M89" s="289" t="str">
        <f t="shared" ca="1" si="13"/>
        <v/>
      </c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 hidden="1">
      <c r="A90" s="283"/>
      <c r="B90" s="486"/>
      <c r="C90" s="487"/>
      <c r="D90" s="305" t="str">
        <f ca="1">IF(ISERROR(OFFSET('HARGA SATUAN'!$D$6,MATCH(RAB!C90,'HARGA SATUAN'!$C$7:$C$1495,0),0)),"",OFFSET('HARGA SATUAN'!$D$6,MATCH(RAB!C90,'HARGA SATUAN'!$C$7:$C$1495,0),0))</f>
        <v/>
      </c>
      <c r="E90" s="306" t="str">
        <f ca="1">IF(B90="+","Unit",IF(ISERROR(OFFSET('HARGA SATUAN'!$E$6,MATCH(RAB!C90,'HARGA SATUAN'!$C$7:$C$1495,0),0)),"",OFFSET('HARGA SATUAN'!$E$6,MATCH(RAB!C90,'HARGA SATUAN'!$C$7:$C$1495,0),0)))</f>
        <v/>
      </c>
      <c r="F90" s="490"/>
      <c r="G90" s="307">
        <f ca="1">IF(ISERROR(OFFSET('HARGA SATUAN'!$I$6,MATCH(RAB!C90,'HARGA SATUAN'!$C$7:$C$1495,0),0)),0,OFFSET('HARGA SATUAN'!$I$6,MATCH(RAB!C90,'HARGA SATUAN'!$C$7:$C$1495,0),0))</f>
        <v>0</v>
      </c>
      <c r="H90" s="308">
        <f t="shared" ca="1" si="9"/>
        <v>0</v>
      </c>
      <c r="I90" s="308">
        <f t="shared" ca="1" si="10"/>
        <v>0</v>
      </c>
      <c r="J90" s="308">
        <f t="shared" ca="1" si="11"/>
        <v>0</v>
      </c>
      <c r="K90" s="309">
        <f t="shared" ca="1" si="12"/>
        <v>0</v>
      </c>
      <c r="L90" s="316"/>
      <c r="M90" s="289" t="str">
        <f t="shared" ca="1" si="13"/>
        <v/>
      </c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 hidden="1">
      <c r="A91" s="283"/>
      <c r="B91" s="486"/>
      <c r="C91" s="487"/>
      <c r="D91" s="305" t="str">
        <f ca="1">IF(ISERROR(OFFSET('HARGA SATUAN'!$D$6,MATCH(RAB!C91,'HARGA SATUAN'!$C$7:$C$1495,0),0)),"",OFFSET('HARGA SATUAN'!$D$6,MATCH(RAB!C91,'HARGA SATUAN'!$C$7:$C$1495,0),0))</f>
        <v/>
      </c>
      <c r="E91" s="306" t="str">
        <f ca="1">IF(B91="+","Unit",IF(ISERROR(OFFSET('HARGA SATUAN'!$E$6,MATCH(RAB!C91,'HARGA SATUAN'!$C$7:$C$1495,0),0)),"",OFFSET('HARGA SATUAN'!$E$6,MATCH(RAB!C91,'HARGA SATUAN'!$C$7:$C$1495,0),0)))</f>
        <v/>
      </c>
      <c r="F91" s="490"/>
      <c r="G91" s="307">
        <f ca="1">IF(ISERROR(OFFSET('HARGA SATUAN'!$I$6,MATCH(RAB!C91,'HARGA SATUAN'!$C$7:$C$1495,0),0)),0,OFFSET('HARGA SATUAN'!$I$6,MATCH(RAB!C91,'HARGA SATUAN'!$C$7:$C$1495,0),0))</f>
        <v>0</v>
      </c>
      <c r="H91" s="308">
        <f t="shared" ca="1" si="9"/>
        <v>0</v>
      </c>
      <c r="I91" s="308">
        <f t="shared" ca="1" si="10"/>
        <v>0</v>
      </c>
      <c r="J91" s="308">
        <f t="shared" ca="1" si="11"/>
        <v>0</v>
      </c>
      <c r="K91" s="309">
        <f t="shared" ca="1" si="12"/>
        <v>0</v>
      </c>
      <c r="L91" s="316"/>
      <c r="M91" s="289" t="str">
        <f t="shared" ca="1" si="13"/>
        <v/>
      </c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 hidden="1">
      <c r="A92" s="283"/>
      <c r="B92" s="486"/>
      <c r="C92" s="487"/>
      <c r="D92" s="305" t="str">
        <f ca="1">IF(ISERROR(OFFSET('HARGA SATUAN'!$D$6,MATCH(RAB!C92,'HARGA SATUAN'!$C$7:$C$1495,0),0)),"",OFFSET('HARGA SATUAN'!$D$6,MATCH(RAB!C92,'HARGA SATUAN'!$C$7:$C$1495,0),0))</f>
        <v/>
      </c>
      <c r="E92" s="306" t="str">
        <f ca="1">IF(B92="+","Unit",IF(ISERROR(OFFSET('HARGA SATUAN'!$E$6,MATCH(RAB!C92,'HARGA SATUAN'!$C$7:$C$1495,0),0)),"",OFFSET('HARGA SATUAN'!$E$6,MATCH(RAB!C92,'HARGA SATUAN'!$C$7:$C$1495,0),0)))</f>
        <v/>
      </c>
      <c r="F92" s="490"/>
      <c r="G92" s="307">
        <f ca="1">IF(ISERROR(OFFSET('HARGA SATUAN'!$I$6,MATCH(RAB!C92,'HARGA SATUAN'!$C$7:$C$1495,0),0)),0,OFFSET('HARGA SATUAN'!$I$6,MATCH(RAB!C92,'HARGA SATUAN'!$C$7:$C$1495,0),0))</f>
        <v>0</v>
      </c>
      <c r="H92" s="308">
        <f t="shared" ca="1" si="9"/>
        <v>0</v>
      </c>
      <c r="I92" s="308">
        <f t="shared" ca="1" si="10"/>
        <v>0</v>
      </c>
      <c r="J92" s="308">
        <f t="shared" ca="1" si="11"/>
        <v>0</v>
      </c>
      <c r="K92" s="309">
        <f t="shared" ca="1" si="12"/>
        <v>0</v>
      </c>
      <c r="L92" s="316"/>
      <c r="M92" s="289" t="str">
        <f t="shared" ca="1" si="13"/>
        <v/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 hidden="1">
      <c r="A93" s="283"/>
      <c r="B93" s="486"/>
      <c r="C93" s="487"/>
      <c r="D93" s="305" t="str">
        <f ca="1">IF(ISERROR(OFFSET('HARGA SATUAN'!$D$6,MATCH(RAB!C93,'HARGA SATUAN'!$C$7:$C$1495,0),0)),"",OFFSET('HARGA SATUAN'!$D$6,MATCH(RAB!C93,'HARGA SATUAN'!$C$7:$C$1495,0),0))</f>
        <v/>
      </c>
      <c r="E93" s="306" t="str">
        <f ca="1">IF(B93="+","Unit",IF(ISERROR(OFFSET('HARGA SATUAN'!$E$6,MATCH(RAB!C93,'HARGA SATUAN'!$C$7:$C$1495,0),0)),"",OFFSET('HARGA SATUAN'!$E$6,MATCH(RAB!C93,'HARGA SATUAN'!$C$7:$C$1495,0),0)))</f>
        <v/>
      </c>
      <c r="F93" s="490"/>
      <c r="G93" s="307">
        <f ca="1">IF(ISERROR(OFFSET('HARGA SATUAN'!$I$6,MATCH(RAB!C93,'HARGA SATUAN'!$C$7:$C$1495,0),0)),0,OFFSET('HARGA SATUAN'!$I$6,MATCH(RAB!C93,'HARGA SATUAN'!$C$7:$C$1495,0),0))</f>
        <v>0</v>
      </c>
      <c r="H93" s="308">
        <f t="shared" ca="1" si="9"/>
        <v>0</v>
      </c>
      <c r="I93" s="308">
        <f t="shared" ca="1" si="10"/>
        <v>0</v>
      </c>
      <c r="J93" s="308">
        <f t="shared" ca="1" si="11"/>
        <v>0</v>
      </c>
      <c r="K93" s="309">
        <f t="shared" ca="1" si="12"/>
        <v>0</v>
      </c>
      <c r="L93" s="316"/>
      <c r="M93" s="289" t="str">
        <f t="shared" ca="1" si="13"/>
        <v/>
      </c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 hidden="1">
      <c r="A94" s="283"/>
      <c r="B94" s="486"/>
      <c r="C94" s="487"/>
      <c r="D94" s="305" t="str">
        <f ca="1">IF(ISERROR(OFFSET('HARGA SATUAN'!$D$6,MATCH(RAB!C94,'HARGA SATUAN'!$C$7:$C$1495,0),0)),"",OFFSET('HARGA SATUAN'!$D$6,MATCH(RAB!C94,'HARGA SATUAN'!$C$7:$C$1495,0),0))</f>
        <v/>
      </c>
      <c r="E94" s="306" t="str">
        <f ca="1">IF(B94="+","Unit",IF(ISERROR(OFFSET('HARGA SATUAN'!$E$6,MATCH(RAB!C94,'HARGA SATUAN'!$C$7:$C$1495,0),0)),"",OFFSET('HARGA SATUAN'!$E$6,MATCH(RAB!C94,'HARGA SATUAN'!$C$7:$C$1495,0),0)))</f>
        <v/>
      </c>
      <c r="F94" s="490"/>
      <c r="G94" s="307">
        <f ca="1">IF(ISERROR(OFFSET('HARGA SATUAN'!$I$6,MATCH(RAB!C94,'HARGA SATUAN'!$C$7:$C$1495,0),0)),0,OFFSET('HARGA SATUAN'!$I$6,MATCH(RAB!C94,'HARGA SATUAN'!$C$7:$C$1495,0),0))</f>
        <v>0</v>
      </c>
      <c r="H94" s="308">
        <f t="shared" ca="1" si="9"/>
        <v>0</v>
      </c>
      <c r="I94" s="308">
        <f t="shared" ca="1" si="10"/>
        <v>0</v>
      </c>
      <c r="J94" s="308">
        <f t="shared" ca="1" si="11"/>
        <v>0</v>
      </c>
      <c r="K94" s="309">
        <f t="shared" ca="1" si="12"/>
        <v>0</v>
      </c>
      <c r="L94" s="316"/>
      <c r="M94" s="289" t="str">
        <f t="shared" ca="1" si="13"/>
        <v/>
      </c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 hidden="1">
      <c r="A95" s="283"/>
      <c r="B95" s="486"/>
      <c r="C95" s="487"/>
      <c r="D95" s="305" t="str">
        <f ca="1">IF(ISERROR(OFFSET('HARGA SATUAN'!$D$6,MATCH(RAB!C95,'HARGA SATUAN'!$C$7:$C$1495,0),0)),"",OFFSET('HARGA SATUAN'!$D$6,MATCH(RAB!C95,'HARGA SATUAN'!$C$7:$C$1495,0),0))</f>
        <v/>
      </c>
      <c r="E95" s="306" t="str">
        <f ca="1">IF(B95="+","Unit",IF(ISERROR(OFFSET('HARGA SATUAN'!$E$6,MATCH(RAB!C95,'HARGA SATUAN'!$C$7:$C$1495,0),0)),"",OFFSET('HARGA SATUAN'!$E$6,MATCH(RAB!C95,'HARGA SATUAN'!$C$7:$C$1495,0),0)))</f>
        <v/>
      </c>
      <c r="F95" s="490"/>
      <c r="G95" s="307">
        <f ca="1">IF(ISERROR(OFFSET('HARGA SATUAN'!$I$6,MATCH(RAB!C95,'HARGA SATUAN'!$C$7:$C$1495,0),0)),0,OFFSET('HARGA SATUAN'!$I$6,MATCH(RAB!C95,'HARGA SATUAN'!$C$7:$C$1495,0),0))</f>
        <v>0</v>
      </c>
      <c r="H95" s="308">
        <f t="shared" ca="1" si="9"/>
        <v>0</v>
      </c>
      <c r="I95" s="308">
        <f t="shared" ca="1" si="10"/>
        <v>0</v>
      </c>
      <c r="J95" s="308">
        <f t="shared" ca="1" si="11"/>
        <v>0</v>
      </c>
      <c r="K95" s="309">
        <f t="shared" ca="1" si="12"/>
        <v>0</v>
      </c>
      <c r="L95" s="316"/>
      <c r="M95" s="289" t="str">
        <f t="shared" ca="1" si="13"/>
        <v/>
      </c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 hidden="1">
      <c r="A96" s="283"/>
      <c r="B96" s="486"/>
      <c r="C96" s="487"/>
      <c r="D96" s="305" t="str">
        <f ca="1">IF(ISERROR(OFFSET('HARGA SATUAN'!$D$6,MATCH(RAB!C96,'HARGA SATUAN'!$C$7:$C$1495,0),0)),"",OFFSET('HARGA SATUAN'!$D$6,MATCH(RAB!C96,'HARGA SATUAN'!$C$7:$C$1495,0),0))</f>
        <v/>
      </c>
      <c r="E96" s="306" t="str">
        <f ca="1">IF(B96="+","Unit",IF(ISERROR(OFFSET('HARGA SATUAN'!$E$6,MATCH(RAB!C96,'HARGA SATUAN'!$C$7:$C$1495,0),0)),"",OFFSET('HARGA SATUAN'!$E$6,MATCH(RAB!C96,'HARGA SATUAN'!$C$7:$C$1495,0),0)))</f>
        <v/>
      </c>
      <c r="F96" s="490"/>
      <c r="G96" s="307">
        <f ca="1">IF(ISERROR(OFFSET('HARGA SATUAN'!$I$6,MATCH(RAB!C96,'HARGA SATUAN'!$C$7:$C$1495,0),0)),0,OFFSET('HARGA SATUAN'!$I$6,MATCH(RAB!C96,'HARGA SATUAN'!$C$7:$C$1495,0),0))</f>
        <v>0</v>
      </c>
      <c r="H96" s="308">
        <f t="shared" ca="1" si="9"/>
        <v>0</v>
      </c>
      <c r="I96" s="308">
        <f t="shared" ca="1" si="10"/>
        <v>0</v>
      </c>
      <c r="J96" s="308">
        <f t="shared" ca="1" si="11"/>
        <v>0</v>
      </c>
      <c r="K96" s="309">
        <f t="shared" ca="1" si="12"/>
        <v>0</v>
      </c>
      <c r="L96" s="316"/>
      <c r="M96" s="289" t="str">
        <f t="shared" ca="1" si="13"/>
        <v/>
      </c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 hidden="1">
      <c r="A97" s="283"/>
      <c r="B97" s="486"/>
      <c r="C97" s="487"/>
      <c r="D97" s="305" t="str">
        <f ca="1">IF(ISERROR(OFFSET('HARGA SATUAN'!$D$6,MATCH(RAB!C97,'HARGA SATUAN'!$C$7:$C$1495,0),0)),"",OFFSET('HARGA SATUAN'!$D$6,MATCH(RAB!C97,'HARGA SATUAN'!$C$7:$C$1495,0),0))</f>
        <v/>
      </c>
      <c r="E97" s="306" t="str">
        <f ca="1">IF(B97="+","Unit",IF(ISERROR(OFFSET('HARGA SATUAN'!$E$6,MATCH(RAB!C97,'HARGA SATUAN'!$C$7:$C$1495,0),0)),"",OFFSET('HARGA SATUAN'!$E$6,MATCH(RAB!C97,'HARGA SATUAN'!$C$7:$C$1495,0),0)))</f>
        <v/>
      </c>
      <c r="F97" s="490"/>
      <c r="G97" s="307">
        <f ca="1">IF(ISERROR(OFFSET('HARGA SATUAN'!$I$6,MATCH(RAB!C97,'HARGA SATUAN'!$C$7:$C$1495,0),0)),0,OFFSET('HARGA SATUAN'!$I$6,MATCH(RAB!C97,'HARGA SATUAN'!$C$7:$C$1495,0),0))</f>
        <v>0</v>
      </c>
      <c r="H97" s="308">
        <f t="shared" ca="1" si="9"/>
        <v>0</v>
      </c>
      <c r="I97" s="308">
        <f t="shared" ca="1" si="10"/>
        <v>0</v>
      </c>
      <c r="J97" s="308">
        <f t="shared" ca="1" si="11"/>
        <v>0</v>
      </c>
      <c r="K97" s="309">
        <f t="shared" ca="1" si="12"/>
        <v>0</v>
      </c>
      <c r="L97" s="316"/>
      <c r="M97" s="289" t="str">
        <f t="shared" ca="1" si="13"/>
        <v/>
      </c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 hidden="1">
      <c r="A98" s="283"/>
      <c r="B98" s="486"/>
      <c r="C98" s="487"/>
      <c r="D98" s="305" t="str">
        <f ca="1">IF(ISERROR(OFFSET('HARGA SATUAN'!$D$6,MATCH(RAB!C98,'HARGA SATUAN'!$C$7:$C$1495,0),0)),"",OFFSET('HARGA SATUAN'!$D$6,MATCH(RAB!C98,'HARGA SATUAN'!$C$7:$C$1495,0),0))</f>
        <v/>
      </c>
      <c r="E98" s="306" t="str">
        <f ca="1">IF(B98="+","Unit",IF(ISERROR(OFFSET('HARGA SATUAN'!$E$6,MATCH(RAB!C98,'HARGA SATUAN'!$C$7:$C$1495,0),0)),"",OFFSET('HARGA SATUAN'!$E$6,MATCH(RAB!C98,'HARGA SATUAN'!$C$7:$C$1495,0),0)))</f>
        <v/>
      </c>
      <c r="F98" s="490"/>
      <c r="G98" s="307">
        <f ca="1">IF(ISERROR(OFFSET('HARGA SATUAN'!$I$6,MATCH(RAB!C98,'HARGA SATUAN'!$C$7:$C$1495,0),0)),0,OFFSET('HARGA SATUAN'!$I$6,MATCH(RAB!C98,'HARGA SATUAN'!$C$7:$C$1495,0),0))</f>
        <v>0</v>
      </c>
      <c r="H98" s="308">
        <f t="shared" ca="1" si="9"/>
        <v>0</v>
      </c>
      <c r="I98" s="308">
        <f t="shared" ca="1" si="10"/>
        <v>0</v>
      </c>
      <c r="J98" s="308">
        <f t="shared" ca="1" si="11"/>
        <v>0</v>
      </c>
      <c r="K98" s="309">
        <f t="shared" ca="1" si="12"/>
        <v>0</v>
      </c>
      <c r="L98" s="316"/>
      <c r="M98" s="289" t="str">
        <f t="shared" ca="1" si="13"/>
        <v/>
      </c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 hidden="1">
      <c r="A99" s="283"/>
      <c r="B99" s="486"/>
      <c r="C99" s="487"/>
      <c r="D99" s="305" t="str">
        <f ca="1">IF(ISERROR(OFFSET('HARGA SATUAN'!$D$6,MATCH(RAB!C99,'HARGA SATUAN'!$C$7:$C$1495,0),0)),"",OFFSET('HARGA SATUAN'!$D$6,MATCH(RAB!C99,'HARGA SATUAN'!$C$7:$C$1495,0),0))</f>
        <v/>
      </c>
      <c r="E99" s="306" t="str">
        <f ca="1">IF(B99="+","Unit",IF(ISERROR(OFFSET('HARGA SATUAN'!$E$6,MATCH(RAB!C99,'HARGA SATUAN'!$C$7:$C$1495,0),0)),"",OFFSET('HARGA SATUAN'!$E$6,MATCH(RAB!C99,'HARGA SATUAN'!$C$7:$C$1495,0),0)))</f>
        <v/>
      </c>
      <c r="F99" s="490"/>
      <c r="G99" s="307">
        <f ca="1">IF(ISERROR(OFFSET('HARGA SATUAN'!$I$6,MATCH(RAB!C99,'HARGA SATUAN'!$C$7:$C$1495,0),0)),0,OFFSET('HARGA SATUAN'!$I$6,MATCH(RAB!C99,'HARGA SATUAN'!$C$7:$C$1495,0),0))</f>
        <v>0</v>
      </c>
      <c r="H99" s="308">
        <f t="shared" ca="1" si="9"/>
        <v>0</v>
      </c>
      <c r="I99" s="308">
        <f t="shared" ca="1" si="10"/>
        <v>0</v>
      </c>
      <c r="J99" s="308">
        <f t="shared" ca="1" si="11"/>
        <v>0</v>
      </c>
      <c r="K99" s="309">
        <f t="shared" ca="1" si="12"/>
        <v>0</v>
      </c>
      <c r="L99" s="316"/>
      <c r="M99" s="289" t="str">
        <f t="shared" ca="1" si="13"/>
        <v/>
      </c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 hidden="1">
      <c r="A100" s="283"/>
      <c r="B100" s="486"/>
      <c r="C100" s="487"/>
      <c r="D100" s="305" t="str">
        <f ca="1">IF(ISERROR(OFFSET('HARGA SATUAN'!$D$6,MATCH(RAB!C100,'HARGA SATUAN'!$C$7:$C$1495,0),0)),"",OFFSET('HARGA SATUAN'!$D$6,MATCH(RAB!C100,'HARGA SATUAN'!$C$7:$C$1495,0),0))</f>
        <v/>
      </c>
      <c r="E100" s="306" t="str">
        <f ca="1">IF(B100="+","Unit",IF(ISERROR(OFFSET('HARGA SATUAN'!$E$6,MATCH(RAB!C100,'HARGA SATUAN'!$C$7:$C$1495,0),0)),"",OFFSET('HARGA SATUAN'!$E$6,MATCH(RAB!C100,'HARGA SATUAN'!$C$7:$C$1495,0),0)))</f>
        <v/>
      </c>
      <c r="F100" s="490"/>
      <c r="G100" s="307">
        <f ca="1">IF(ISERROR(OFFSET('HARGA SATUAN'!$I$6,MATCH(RAB!C100,'HARGA SATUAN'!$C$7:$C$1495,0),0)),0,OFFSET('HARGA SATUAN'!$I$6,MATCH(RAB!C100,'HARGA SATUAN'!$C$7:$C$1495,0),0))</f>
        <v>0</v>
      </c>
      <c r="H100" s="308">
        <f t="shared" ca="1" si="9"/>
        <v>0</v>
      </c>
      <c r="I100" s="308">
        <f t="shared" ca="1" si="10"/>
        <v>0</v>
      </c>
      <c r="J100" s="308">
        <f t="shared" ca="1" si="11"/>
        <v>0</v>
      </c>
      <c r="K100" s="309">
        <f t="shared" ca="1" si="12"/>
        <v>0</v>
      </c>
      <c r="L100" s="316"/>
      <c r="M100" s="289" t="str">
        <f t="shared" ca="1" si="13"/>
        <v/>
      </c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 hidden="1">
      <c r="A101" s="283"/>
      <c r="B101" s="486"/>
      <c r="C101" s="487"/>
      <c r="D101" s="305" t="str">
        <f ca="1">IF(ISERROR(OFFSET('HARGA SATUAN'!$D$6,MATCH(RAB!C101,'HARGA SATUAN'!$C$7:$C$1495,0),0)),"",OFFSET('HARGA SATUAN'!$D$6,MATCH(RAB!C101,'HARGA SATUAN'!$C$7:$C$1495,0),0))</f>
        <v/>
      </c>
      <c r="E101" s="306" t="str">
        <f ca="1">IF(B101="+","Unit",IF(ISERROR(OFFSET('HARGA SATUAN'!$E$6,MATCH(RAB!C101,'HARGA SATUAN'!$C$7:$C$1495,0),0)),"",OFFSET('HARGA SATUAN'!$E$6,MATCH(RAB!C101,'HARGA SATUAN'!$C$7:$C$1495,0),0)))</f>
        <v/>
      </c>
      <c r="F101" s="490"/>
      <c r="G101" s="307">
        <f ca="1">IF(ISERROR(OFFSET('HARGA SATUAN'!$I$6,MATCH(RAB!C101,'HARGA SATUAN'!$C$7:$C$1495,0),0)),0,OFFSET('HARGA SATUAN'!$I$6,MATCH(RAB!C101,'HARGA SATUAN'!$C$7:$C$1495,0),0))</f>
        <v>0</v>
      </c>
      <c r="H101" s="308">
        <f t="shared" ca="1" si="9"/>
        <v>0</v>
      </c>
      <c r="I101" s="308">
        <f t="shared" ca="1" si="10"/>
        <v>0</v>
      </c>
      <c r="J101" s="308">
        <f t="shared" ca="1" si="11"/>
        <v>0</v>
      </c>
      <c r="K101" s="309">
        <f t="shared" ca="1" si="12"/>
        <v>0</v>
      </c>
      <c r="L101" s="316"/>
      <c r="M101" s="289" t="str">
        <f t="shared" ca="1" si="13"/>
        <v/>
      </c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>
      <c r="A102" s="283"/>
      <c r="B102" s="418" t="s">
        <v>1602</v>
      </c>
      <c r="C102" s="421" t="s">
        <v>1604</v>
      </c>
      <c r="D102" s="305" t="str">
        <f ca="1">IF(ISERROR(OFFSET('HARGA SATUAN'!$D$6,MATCH(RAB!C102,'HARGA SATUAN'!$C$7:$C$1495,0),0)),"",OFFSET('HARGA SATUAN'!$D$6,MATCH(RAB!C102,'HARGA SATUAN'!$C$7:$C$1495,0),0))</f>
        <v/>
      </c>
      <c r="E102" s="306" t="str">
        <f ca="1">IF(B102="+","Unit",IF(ISERROR(OFFSET('HARGA SATUAN'!$E$6,MATCH(RAB!C102,'HARGA SATUAN'!$C$7:$C$1495,0),0)),"",OFFSET('HARGA SATUAN'!$E$6,MATCH(RAB!C102,'HARGA SATUAN'!$C$7:$C$1495,0),0)))</f>
        <v/>
      </c>
      <c r="F102" s="491"/>
      <c r="G102" s="307">
        <f ca="1">IF(ISERROR(OFFSET('HARGA SATUAN'!$I$6,MATCH(RAB!C102,'HARGA SATUAN'!$C$7:$C$1495,0),0)),0,OFFSET('HARGA SATUAN'!$I$6,MATCH(RAB!C102,'HARGA SATUAN'!$C$7:$C$1495,0),0))</f>
        <v>0</v>
      </c>
      <c r="H102" s="308">
        <f t="shared" ref="H102:H103" ca="1" si="14">IF(OR(D102="MDU",D102="MDU-KD"),(IF($O$3="RAB NON MDU","PLN KD",G102*F102)),0)</f>
        <v>0</v>
      </c>
      <c r="I102" s="308">
        <f t="shared" ref="I102:I103" ca="1" si="15">IF(D102="HDW",G102*F102,0)</f>
        <v>0</v>
      </c>
      <c r="J102" s="308">
        <f t="shared" ref="J102:J103" ca="1" si="16">IF(D102="JASA",G102*F102,0)</f>
        <v>0</v>
      </c>
      <c r="K102" s="309">
        <f t="shared" ref="K102:K103" ca="1" si="17">SUM(H102:J102)</f>
        <v>0</v>
      </c>
      <c r="L102" s="316"/>
      <c r="M102" s="289" t="str">
        <f t="shared" ca="1" si="13"/>
        <v/>
      </c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>
      <c r="A103" s="283"/>
      <c r="B103" s="318">
        <v>1</v>
      </c>
      <c r="C103" s="109" t="s">
        <v>1457</v>
      </c>
      <c r="D103" s="305" t="str">
        <f ca="1">IF(ISERROR(OFFSET('HARGA SATUAN'!$D$6,MATCH(RAB!C103,'HARGA SATUAN'!$C$7:$C$1495,0),0)),"",OFFSET('HARGA SATUAN'!$D$6,MATCH(RAB!C103,'HARGA SATUAN'!$C$7:$C$1495,0),0))</f>
        <v>MDU-KD</v>
      </c>
      <c r="E103" s="306" t="str">
        <f ca="1">IF(B103="+","Unit",IF(ISERROR(OFFSET('HARGA SATUAN'!$E$6,MATCH(RAB!C103,'HARGA SATUAN'!$C$7:$C$1495,0),0)),"",OFFSET('HARGA SATUAN'!$E$6,MATCH(RAB!C103,'HARGA SATUAN'!$C$7:$C$1495,0),0)))</f>
        <v>Mtr</v>
      </c>
      <c r="F103" s="717">
        <v>310</v>
      </c>
      <c r="G103" s="307">
        <f ca="1">IF(ISERROR(OFFSET('HARGA SATUAN'!$I$6,MATCH(RAB!C103,'HARGA SATUAN'!$C$7:$C$1495,0),0)),0,OFFSET('HARGA SATUAN'!$I$6,MATCH(RAB!C103,'HARGA SATUAN'!$C$7:$C$1495,0),0))</f>
        <v>54500</v>
      </c>
      <c r="H103" s="308">
        <f t="shared" ca="1" si="14"/>
        <v>16895000</v>
      </c>
      <c r="I103" s="308">
        <f t="shared" ca="1" si="15"/>
        <v>0</v>
      </c>
      <c r="J103" s="308">
        <f t="shared" ca="1" si="16"/>
        <v>0</v>
      </c>
      <c r="K103" s="309">
        <f t="shared" ca="1" si="17"/>
        <v>16895000</v>
      </c>
      <c r="L103" s="316"/>
      <c r="M103" s="289"/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>
      <c r="A104" s="283"/>
      <c r="B104" s="318">
        <v>2</v>
      </c>
      <c r="C104" s="109" t="s">
        <v>346</v>
      </c>
      <c r="D104" s="305" t="str">
        <f ca="1">IF(ISERROR(OFFSET('HARGA SATUAN'!$D$6,MATCH(RAB!C104,'HARGA SATUAN'!$C$7:$C$1495,0),0)),"",OFFSET('HARGA SATUAN'!$D$6,MATCH(RAB!C104,'HARGA SATUAN'!$C$7:$C$1495,0),0))</f>
        <v>JASA</v>
      </c>
      <c r="E104" s="306" t="str">
        <f ca="1">IF(B104="+","Unit",IF(ISERROR(OFFSET('HARGA SATUAN'!$E$6,MATCH(RAB!C104,'HARGA SATUAN'!$C$7:$C$1495,0),0)),"",OFFSET('HARGA SATUAN'!$E$6,MATCH(RAB!C104,'HARGA SATUAN'!$C$7:$C$1495,0),0)))</f>
        <v>Per 50 m</v>
      </c>
      <c r="F104" s="419">
        <v>6.2</v>
      </c>
      <c r="G104" s="307">
        <f ca="1">IF(ISERROR(OFFSET('HARGA SATUAN'!$I$6,MATCH(RAB!C104,'HARGA SATUAN'!$C$7:$C$1495,0),0)),0,OFFSET('HARGA SATUAN'!$I$6,MATCH(RAB!C104,'HARGA SATUAN'!$C$7:$C$1495,0),0))</f>
        <v>223500</v>
      </c>
      <c r="H104" s="308">
        <f t="shared" ref="H104:H105" ca="1" si="18">IF(OR(D104="MDU",D104="MDU-KD"),(IF($O$3="RAB NON MDU","PLN KD",G104*F104)),0)</f>
        <v>0</v>
      </c>
      <c r="I104" s="308">
        <f t="shared" ref="I104:I105" ca="1" si="19">IF(D104="HDW",G104*F104,0)</f>
        <v>0</v>
      </c>
      <c r="J104" s="308">
        <f t="shared" ref="J104:J105" ca="1" si="20">IF(D104="JASA",G104*F104,0)</f>
        <v>1385700</v>
      </c>
      <c r="K104" s="309">
        <f t="shared" ref="K104:K105" ca="1" si="21">SUM(H104:J104)</f>
        <v>1385700</v>
      </c>
      <c r="L104" s="316"/>
      <c r="M104" s="289"/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>
      <c r="A105" s="283"/>
      <c r="B105" s="418" t="s">
        <v>1610</v>
      </c>
      <c r="C105" s="421" t="s">
        <v>1606</v>
      </c>
      <c r="D105" s="305" t="str">
        <f ca="1">IF(ISERROR(OFFSET('HARGA SATUAN'!$D$6,MATCH(RAB!C105,'HARGA SATUAN'!$C$7:$C$1495,0),0)),"",OFFSET('HARGA SATUAN'!$D$6,MATCH(RAB!C105,'HARGA SATUAN'!$C$7:$C$1495,0),0))</f>
        <v/>
      </c>
      <c r="E105" s="306" t="str">
        <f ca="1">IF(B105="+","Unit",IF(ISERROR(OFFSET('HARGA SATUAN'!$E$6,MATCH(RAB!C105,'HARGA SATUAN'!$C$7:$C$1495,0),0)),"",OFFSET('HARGA SATUAN'!$E$6,MATCH(RAB!C105,'HARGA SATUAN'!$C$7:$C$1495,0),0)))</f>
        <v/>
      </c>
      <c r="F105" s="492"/>
      <c r="G105" s="307">
        <f ca="1">IF(ISERROR(OFFSET('HARGA SATUAN'!$I$6,MATCH(RAB!C105,'HARGA SATUAN'!$C$7:$C$1495,0),0)),0,OFFSET('HARGA SATUAN'!$I$6,MATCH(RAB!C105,'HARGA SATUAN'!$C$7:$C$1495,0),0))</f>
        <v>0</v>
      </c>
      <c r="H105" s="308">
        <f t="shared" ca="1" si="18"/>
        <v>0</v>
      </c>
      <c r="I105" s="308">
        <f t="shared" ca="1" si="19"/>
        <v>0</v>
      </c>
      <c r="J105" s="308">
        <f t="shared" ca="1" si="20"/>
        <v>0</v>
      </c>
      <c r="K105" s="309">
        <f t="shared" ca="1" si="21"/>
        <v>0</v>
      </c>
      <c r="L105" s="316"/>
      <c r="M105" s="289" t="str">
        <f t="shared" ca="1" si="13"/>
        <v/>
      </c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>
      <c r="A106" s="283"/>
      <c r="B106" s="508" t="s">
        <v>1035</v>
      </c>
      <c r="C106" s="509" t="s">
        <v>1637</v>
      </c>
      <c r="D106" s="305" t="str">
        <f ca="1">IF(ISERROR(OFFSET('HARGA SATUAN'!$D$6,MATCH(RAB!C106,'HARGA SATUAN'!$C$7:$C$1495,0),0)),"",OFFSET('HARGA SATUAN'!$D$6,MATCH(RAB!C106,'HARGA SATUAN'!$C$7:$C$1495,0),0))</f>
        <v/>
      </c>
      <c r="E106" s="306" t="str">
        <f ca="1">IF(B106="+","Unit",IF(ISERROR(OFFSET('HARGA SATUAN'!$E$6,MATCH(RAB!C106,'HARGA SATUAN'!$C$7:$C$1495,0),0)),"",OFFSET('HARGA SATUAN'!$E$6,MATCH(RAB!C106,'HARGA SATUAN'!$C$7:$C$1495,0),0)))</f>
        <v>Unit</v>
      </c>
      <c r="F106" s="510">
        <v>1</v>
      </c>
      <c r="G106" s="307">
        <f ca="1">IF(ISERROR(OFFSET('HARGA SATUAN'!$I$6,MATCH(RAB!C106,'HARGA SATUAN'!$C$7:$C$1495,0),0)),0,OFFSET('HARGA SATUAN'!$I$6,MATCH(RAB!C106,'HARGA SATUAN'!$C$7:$C$1495,0),0))</f>
        <v>0</v>
      </c>
      <c r="H106" s="308">
        <f t="shared" ref="H106:H121" ca="1" si="22">IF(OR(D106="MDU",D106="MDU-KD"),(IF($O$3="RAB NON MDU","PLN KD",G106*F106)),0)</f>
        <v>0</v>
      </c>
      <c r="I106" s="308">
        <f t="shared" ref="I106:I121" ca="1" si="23">IF(D106="HDW",G106*F106,0)</f>
        <v>0</v>
      </c>
      <c r="J106" s="308">
        <f t="shared" ref="J106:J121" ca="1" si="24">IF(D106="JASA",G106*F106,0)</f>
        <v>0</v>
      </c>
      <c r="K106" s="309">
        <f t="shared" ref="K106:K121" ca="1" si="25">SUM(H106:J106)</f>
        <v>0</v>
      </c>
      <c r="L106" s="316"/>
      <c r="M106" s="289"/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 ht="30">
      <c r="A107" s="283"/>
      <c r="B107" s="712">
        <v>1</v>
      </c>
      <c r="C107" s="109" t="s">
        <v>1195</v>
      </c>
      <c r="D107" s="305" t="str">
        <f ca="1">IF(ISERROR(OFFSET('HARGA SATUAN'!$D$6,MATCH(RAB!C107,'HARGA SATUAN'!$C$7:$C$1495,0),0)),"",OFFSET('HARGA SATUAN'!$D$6,MATCH(RAB!C107,'HARGA SATUAN'!$C$7:$C$1495,0),0))</f>
        <v>MDU-KD</v>
      </c>
      <c r="E107" s="306" t="str">
        <f ca="1">IF(B107="+","Unit",IF(ISERROR(OFFSET('HARGA SATUAN'!$E$6,MATCH(RAB!C107,'HARGA SATUAN'!$C$7:$C$1495,0),0)),"",OFFSET('HARGA SATUAN'!$E$6,MATCH(RAB!C107,'HARGA SATUAN'!$C$7:$C$1495,0),0)))</f>
        <v>Bh</v>
      </c>
      <c r="F107" s="510">
        <f>F106*1</f>
        <v>1</v>
      </c>
      <c r="G107" s="307">
        <f ca="1">IF(ISERROR(OFFSET('HARGA SATUAN'!$I$6,MATCH(RAB!C107,'HARGA SATUAN'!$C$7:$C$1495,0),0)),0,OFFSET('HARGA SATUAN'!$I$6,MATCH(RAB!C107,'HARGA SATUAN'!$C$7:$C$1495,0),0))</f>
        <v>1504200</v>
      </c>
      <c r="H107" s="308">
        <f t="shared" ca="1" si="22"/>
        <v>1504200</v>
      </c>
      <c r="I107" s="308">
        <f t="shared" ca="1" si="23"/>
        <v>0</v>
      </c>
      <c r="J107" s="308">
        <f t="shared" ca="1" si="24"/>
        <v>0</v>
      </c>
      <c r="K107" s="309">
        <f t="shared" ca="1" si="25"/>
        <v>1504200</v>
      </c>
      <c r="L107" s="316"/>
      <c r="M107" s="289"/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>
      <c r="A108" s="283"/>
      <c r="B108" s="712">
        <v>2</v>
      </c>
      <c r="C108" s="713" t="s">
        <v>515</v>
      </c>
      <c r="D108" s="305" t="str">
        <f ca="1">IF(ISERROR(OFFSET('HARGA SATUAN'!$D$6,MATCH(RAB!C108,'HARGA SATUAN'!$C$7:$C$1495,0),0)),"",OFFSET('HARGA SATUAN'!$D$6,MATCH(RAB!C108,'HARGA SATUAN'!$C$7:$C$1495,0),0))</f>
        <v>MDU-KD</v>
      </c>
      <c r="E108" s="306" t="str">
        <f ca="1">IF(B108="+","Unit",IF(ISERROR(OFFSET('HARGA SATUAN'!$E$6,MATCH(RAB!C108,'HARGA SATUAN'!$C$7:$C$1495,0),0)),"",OFFSET('HARGA SATUAN'!$E$6,MATCH(RAB!C108,'HARGA SATUAN'!$C$7:$C$1495,0),0)))</f>
        <v>Unit</v>
      </c>
      <c r="F108" s="510">
        <f>F106*1</f>
        <v>1</v>
      </c>
      <c r="G108" s="307">
        <f ca="1">IF(ISERROR(OFFSET('HARGA SATUAN'!$I$6,MATCH(RAB!C108,'HARGA SATUAN'!$C$7:$C$1495,0),0)),0,OFFSET('HARGA SATUAN'!$I$6,MATCH(RAB!C108,'HARGA SATUAN'!$C$7:$C$1495,0),0))</f>
        <v>13644300</v>
      </c>
      <c r="H108" s="308">
        <f t="shared" ca="1" si="22"/>
        <v>13644300</v>
      </c>
      <c r="I108" s="308">
        <f t="shared" ca="1" si="23"/>
        <v>0</v>
      </c>
      <c r="J108" s="308">
        <f t="shared" ca="1" si="24"/>
        <v>0</v>
      </c>
      <c r="K108" s="309">
        <f t="shared" ca="1" si="25"/>
        <v>13644300</v>
      </c>
      <c r="L108" s="316"/>
      <c r="M108" s="289"/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>
      <c r="A109" s="283"/>
      <c r="B109" s="712">
        <v>3</v>
      </c>
      <c r="C109" s="713" t="s">
        <v>1141</v>
      </c>
      <c r="D109" s="305" t="str">
        <f ca="1">IF(ISERROR(OFFSET('HARGA SATUAN'!$D$6,MATCH(RAB!C109,'HARGA SATUAN'!$C$7:$C$1495,0),0)),"",OFFSET('HARGA SATUAN'!$D$6,MATCH(RAB!C109,'HARGA SATUAN'!$C$7:$C$1495,0),0))</f>
        <v>HDW</v>
      </c>
      <c r="E109" s="306" t="str">
        <f ca="1">IF(B109="+","Unit",IF(ISERROR(OFFSET('HARGA SATUAN'!$E$6,MATCH(RAB!C109,'HARGA SATUAN'!$C$7:$C$1495,0),0)),"",OFFSET('HARGA SATUAN'!$E$6,MATCH(RAB!C109,'HARGA SATUAN'!$C$7:$C$1495,0),0)))</f>
        <v>Unit</v>
      </c>
      <c r="F109" s="510">
        <f>F106*1</f>
        <v>1</v>
      </c>
      <c r="G109" s="307">
        <f ca="1">IF(ISERROR(OFFSET('HARGA SATUAN'!$I$6,MATCH(RAB!C109,'HARGA SATUAN'!$C$7:$C$1495,0),0)),0,OFFSET('HARGA SATUAN'!$I$6,MATCH(RAB!C109,'HARGA SATUAN'!$C$7:$C$1495,0),0))</f>
        <v>1113900</v>
      </c>
      <c r="H109" s="308">
        <f t="shared" ca="1" si="22"/>
        <v>0</v>
      </c>
      <c r="I109" s="308">
        <f t="shared" ca="1" si="23"/>
        <v>1113900</v>
      </c>
      <c r="J109" s="308">
        <f t="shared" ca="1" si="24"/>
        <v>0</v>
      </c>
      <c r="K109" s="309">
        <f t="shared" ca="1" si="25"/>
        <v>1113900</v>
      </c>
      <c r="L109" s="316"/>
      <c r="M109" s="289"/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>
      <c r="A110" s="283"/>
      <c r="B110" s="712">
        <v>4</v>
      </c>
      <c r="C110" s="109" t="s">
        <v>1457</v>
      </c>
      <c r="D110" s="305" t="str">
        <f ca="1">IF(ISERROR(OFFSET('HARGA SATUAN'!$D$6,MATCH(RAB!C110,'HARGA SATUAN'!$C$7:$C$1495,0),0)),"",OFFSET('HARGA SATUAN'!$D$6,MATCH(RAB!C110,'HARGA SATUAN'!$C$7:$C$1495,0),0))</f>
        <v>MDU-KD</v>
      </c>
      <c r="E110" s="306" t="str">
        <f ca="1">IF(B110="+","Unit",IF(ISERROR(OFFSET('HARGA SATUAN'!$E$6,MATCH(RAB!C110,'HARGA SATUAN'!$C$7:$C$1495,0),0)),"",OFFSET('HARGA SATUAN'!$E$6,MATCH(RAB!C110,'HARGA SATUAN'!$C$7:$C$1495,0),0)))</f>
        <v>Mtr</v>
      </c>
      <c r="F110" s="510">
        <v>50</v>
      </c>
      <c r="G110" s="307">
        <f ca="1">IF(ISERROR(OFFSET('HARGA SATUAN'!$I$6,MATCH(RAB!C110,'HARGA SATUAN'!$C$7:$C$1495,0),0)),0,OFFSET('HARGA SATUAN'!$I$6,MATCH(RAB!C110,'HARGA SATUAN'!$C$7:$C$1495,0),0))</f>
        <v>54500</v>
      </c>
      <c r="H110" s="308">
        <f t="shared" ca="1" si="22"/>
        <v>2725000</v>
      </c>
      <c r="I110" s="308">
        <f t="shared" ca="1" si="23"/>
        <v>0</v>
      </c>
      <c r="J110" s="308">
        <f t="shared" ca="1" si="24"/>
        <v>0</v>
      </c>
      <c r="K110" s="309">
        <f t="shared" ca="1" si="25"/>
        <v>2725000</v>
      </c>
      <c r="L110" s="316"/>
      <c r="M110" s="289"/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>
      <c r="A111" s="283"/>
      <c r="B111" s="712">
        <v>5</v>
      </c>
      <c r="C111" s="713" t="s">
        <v>799</v>
      </c>
      <c r="D111" s="305" t="str">
        <f ca="1">IF(ISERROR(OFFSET('HARGA SATUAN'!$D$6,MATCH(RAB!C111,'HARGA SATUAN'!$C$7:$C$1495,0),0)),"",OFFSET('HARGA SATUAN'!$D$6,MATCH(RAB!C111,'HARGA SATUAN'!$C$7:$C$1495,0),0))</f>
        <v>JASA</v>
      </c>
      <c r="E111" s="306" t="str">
        <f ca="1">IF(B111="+","Unit",IF(ISERROR(OFFSET('HARGA SATUAN'!$E$6,MATCH(RAB!C111,'HARGA SATUAN'!$C$7:$C$1495,0),0)),"",OFFSET('HARGA SATUAN'!$E$6,MATCH(RAB!C111,'HARGA SATUAN'!$C$7:$C$1495,0),0)))</f>
        <v>Unit</v>
      </c>
      <c r="F111" s="510">
        <f>F106*1</f>
        <v>1</v>
      </c>
      <c r="G111" s="307">
        <f ca="1">IF(ISERROR(OFFSET('HARGA SATUAN'!$I$6,MATCH(RAB!C111,'HARGA SATUAN'!$C$7:$C$1495,0),0)),0,OFFSET('HARGA SATUAN'!$I$6,MATCH(RAB!C111,'HARGA SATUAN'!$C$7:$C$1495,0),0))</f>
        <v>106400</v>
      </c>
      <c r="H111" s="308">
        <f t="shared" ca="1" si="22"/>
        <v>0</v>
      </c>
      <c r="I111" s="308">
        <f t="shared" ca="1" si="23"/>
        <v>0</v>
      </c>
      <c r="J111" s="308">
        <f t="shared" ca="1" si="24"/>
        <v>106400</v>
      </c>
      <c r="K111" s="309">
        <f t="shared" ca="1" si="25"/>
        <v>106400</v>
      </c>
      <c r="L111" s="316"/>
      <c r="M111" s="289"/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>
      <c r="A112" s="283"/>
      <c r="B112" s="318"/>
      <c r="C112" s="319"/>
      <c r="D112" s="305" t="str">
        <f ca="1">IF(ISERROR(OFFSET('HARGA SATUAN'!$D$6,MATCH(RAB!C112,'HARGA SATUAN'!$C$7:$C$1495,0),0)),"",OFFSET('HARGA SATUAN'!$D$6,MATCH(RAB!C112,'HARGA SATUAN'!$C$7:$C$1495,0),0))</f>
        <v/>
      </c>
      <c r="E112" s="306" t="str">
        <f ca="1">IF(B112="+","Unit",IF(ISERROR(OFFSET('HARGA SATUAN'!$E$6,MATCH(RAB!C112,'HARGA SATUAN'!$C$7:$C$1495,0),0)),"",OFFSET('HARGA SATUAN'!$E$6,MATCH(RAB!C112,'HARGA SATUAN'!$C$7:$C$1495,0),0)))</f>
        <v/>
      </c>
      <c r="F112" s="489"/>
      <c r="G112" s="307">
        <f ca="1">IF(ISERROR(OFFSET('HARGA SATUAN'!$I$6,MATCH(RAB!C112,'HARGA SATUAN'!$C$7:$C$1495,0),0)),0,OFFSET('HARGA SATUAN'!$I$6,MATCH(RAB!C112,'HARGA SATUAN'!$C$7:$C$1495,0),0))</f>
        <v>0</v>
      </c>
      <c r="H112" s="308">
        <f t="shared" ca="1" si="22"/>
        <v>0</v>
      </c>
      <c r="I112" s="308">
        <f t="shared" ca="1" si="23"/>
        <v>0</v>
      </c>
      <c r="J112" s="308">
        <f t="shared" ca="1" si="24"/>
        <v>0</v>
      </c>
      <c r="K112" s="309">
        <f t="shared" ca="1" si="25"/>
        <v>0</v>
      </c>
      <c r="L112" s="316"/>
      <c r="M112" s="289" t="str">
        <f ca="1">IF(AND(F112&gt;0,F105=0),"",IF(AND(ISBLANK(F112)=FALSE,K112=0),"WARNING",""))</f>
        <v/>
      </c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1:22" s="317" customFormat="1">
      <c r="A113" s="283"/>
      <c r="B113" s="318" t="s">
        <v>1035</v>
      </c>
      <c r="C113" s="319" t="s">
        <v>1617</v>
      </c>
      <c r="D113" s="305" t="str">
        <f ca="1">IF(ISERROR(OFFSET('HARGA SATUAN'!$D$6,MATCH(RAB!C113,'HARGA SATUAN'!$C$7:$C$1495,0),0)),"",OFFSET('HARGA SATUAN'!$D$6,MATCH(RAB!C113,'HARGA SATUAN'!$C$7:$C$1495,0),0))</f>
        <v/>
      </c>
      <c r="E113" s="306" t="str">
        <f ca="1">IF(B113="+","Unit",IF(ISERROR(OFFSET('HARGA SATUAN'!$E$6,MATCH(RAB!C113,'HARGA SATUAN'!$C$7:$C$1495,0),0)),"",OFFSET('HARGA SATUAN'!$E$6,MATCH(RAB!C113,'HARGA SATUAN'!$C$7:$C$1495,0),0)))</f>
        <v>Unit</v>
      </c>
      <c r="F113" s="488">
        <v>1</v>
      </c>
      <c r="G113" s="307">
        <f ca="1">IF(ISERROR(OFFSET('HARGA SATUAN'!$I$6,MATCH(RAB!C113,'HARGA SATUAN'!$C$7:$C$1495,0),0)),0,OFFSET('HARGA SATUAN'!$I$6,MATCH(RAB!C113,'HARGA SATUAN'!$C$7:$C$1495,0),0))</f>
        <v>0</v>
      </c>
      <c r="H113" s="308">
        <f t="shared" ca="1" si="22"/>
        <v>0</v>
      </c>
      <c r="I113" s="308">
        <f t="shared" ca="1" si="23"/>
        <v>0</v>
      </c>
      <c r="J113" s="308">
        <f t="shared" ca="1" si="24"/>
        <v>0</v>
      </c>
      <c r="K113" s="309">
        <f t="shared" ca="1" si="25"/>
        <v>0</v>
      </c>
      <c r="L113" s="316"/>
      <c r="M113" s="289" t="str">
        <f t="shared" si="13"/>
        <v/>
      </c>
      <c r="N113" s="316"/>
      <c r="O113" s="310"/>
      <c r="P113" s="310"/>
      <c r="Q113" s="291"/>
      <c r="R113" s="283"/>
      <c r="S113" s="311"/>
      <c r="T113" s="288"/>
      <c r="U113" s="288"/>
      <c r="V113" s="288"/>
    </row>
    <row r="114" spans="1:22" s="317" customFormat="1">
      <c r="A114" s="283"/>
      <c r="B114" s="318">
        <v>1</v>
      </c>
      <c r="C114" s="319" t="s">
        <v>29</v>
      </c>
      <c r="D114" s="305" t="str">
        <f ca="1">IF(ISERROR(OFFSET('HARGA SATUAN'!$D$6,MATCH(RAB!C114,'HARGA SATUAN'!$C$7:$C$1495,0),0)),"",OFFSET('HARGA SATUAN'!$D$6,MATCH(RAB!C114,'HARGA SATUAN'!$C$7:$C$1495,0),0))</f>
        <v>HDW</v>
      </c>
      <c r="E114" s="306" t="str">
        <f ca="1">IF(B114="+","Unit",IF(ISERROR(OFFSET('HARGA SATUAN'!$E$6,MATCH(RAB!C114,'HARGA SATUAN'!$C$7:$C$1495,0),0)),"",OFFSET('HARGA SATUAN'!$E$6,MATCH(RAB!C114,'HARGA SATUAN'!$C$7:$C$1495,0),0)))</f>
        <v>Bh</v>
      </c>
      <c r="F114" s="488">
        <f>F113*1</f>
        <v>1</v>
      </c>
      <c r="G114" s="307">
        <f ca="1">IF(ISERROR(OFFSET('HARGA SATUAN'!$I$6,MATCH(RAB!C114,'HARGA SATUAN'!$C$7:$C$1495,0),0)),0,OFFSET('HARGA SATUAN'!$I$6,MATCH(RAB!C114,'HARGA SATUAN'!$C$7:$C$1495,0),0))</f>
        <v>185200</v>
      </c>
      <c r="H114" s="308">
        <f t="shared" ca="1" si="22"/>
        <v>0</v>
      </c>
      <c r="I114" s="308">
        <f t="shared" ca="1" si="23"/>
        <v>185200</v>
      </c>
      <c r="J114" s="308">
        <f t="shared" ca="1" si="24"/>
        <v>0</v>
      </c>
      <c r="K114" s="309">
        <f t="shared" ca="1" si="25"/>
        <v>185200</v>
      </c>
      <c r="L114" s="316"/>
      <c r="M114" s="289" t="str">
        <f t="shared" ca="1" si="13"/>
        <v/>
      </c>
      <c r="N114" s="316"/>
      <c r="O114" s="310"/>
      <c r="P114" s="310"/>
      <c r="Q114" s="291"/>
      <c r="R114" s="283"/>
      <c r="S114" s="311"/>
      <c r="T114" s="288"/>
      <c r="U114" s="288"/>
      <c r="V114" s="288"/>
    </row>
    <row r="115" spans="1:22" s="317" customFormat="1">
      <c r="A115" s="283"/>
      <c r="B115" s="318">
        <v>2</v>
      </c>
      <c r="C115" s="319" t="s">
        <v>30</v>
      </c>
      <c r="D115" s="305" t="str">
        <f ca="1">IF(ISERROR(OFFSET('HARGA SATUAN'!$D$6,MATCH(RAB!C115,'HARGA SATUAN'!$C$7:$C$1495,0),0)),"",OFFSET('HARGA SATUAN'!$D$6,MATCH(RAB!C115,'HARGA SATUAN'!$C$7:$C$1495,0),0))</f>
        <v>HDW</v>
      </c>
      <c r="E115" s="306" t="str">
        <f ca="1">IF(B115="+","Unit",IF(ISERROR(OFFSET('HARGA SATUAN'!$E$6,MATCH(RAB!C115,'HARGA SATUAN'!$C$7:$C$1495,0),0)),"",OFFSET('HARGA SATUAN'!$E$6,MATCH(RAB!C115,'HARGA SATUAN'!$C$7:$C$1495,0),0)))</f>
        <v>Bh</v>
      </c>
      <c r="F115" s="488">
        <f>F113*1</f>
        <v>1</v>
      </c>
      <c r="G115" s="307">
        <f ca="1">IF(ISERROR(OFFSET('HARGA SATUAN'!$I$6,MATCH(RAB!C115,'HARGA SATUAN'!$C$7:$C$1495,0),0)),0,OFFSET('HARGA SATUAN'!$I$6,MATCH(RAB!C115,'HARGA SATUAN'!$C$7:$C$1495,0),0))</f>
        <v>47459</v>
      </c>
      <c r="H115" s="308">
        <f t="shared" ca="1" si="22"/>
        <v>0</v>
      </c>
      <c r="I115" s="308">
        <f t="shared" ca="1" si="23"/>
        <v>47459</v>
      </c>
      <c r="J115" s="308">
        <f t="shared" ca="1" si="24"/>
        <v>0</v>
      </c>
      <c r="K115" s="309">
        <f t="shared" ca="1" si="25"/>
        <v>47459</v>
      </c>
      <c r="L115" s="316"/>
      <c r="M115" s="289" t="str">
        <f t="shared" ca="1" si="13"/>
        <v/>
      </c>
      <c r="N115" s="316"/>
      <c r="O115" s="310"/>
      <c r="P115" s="310"/>
      <c r="Q115" s="291"/>
      <c r="R115" s="283"/>
      <c r="S115" s="311"/>
      <c r="T115" s="288"/>
      <c r="U115" s="288"/>
      <c r="V115" s="288"/>
    </row>
    <row r="116" spans="1:22" s="317" customFormat="1">
      <c r="A116" s="283"/>
      <c r="B116" s="318">
        <v>3</v>
      </c>
      <c r="C116" s="319" t="s">
        <v>32</v>
      </c>
      <c r="D116" s="305" t="str">
        <f ca="1">IF(ISERROR(OFFSET('HARGA SATUAN'!$D$6,MATCH(RAB!C116,'HARGA SATUAN'!$C$7:$C$1495,0),0)),"",OFFSET('HARGA SATUAN'!$D$6,MATCH(RAB!C116,'HARGA SATUAN'!$C$7:$C$1495,0),0))</f>
        <v>HDW</v>
      </c>
      <c r="E116" s="306" t="str">
        <f ca="1">IF(B116="+","Unit",IF(ISERROR(OFFSET('HARGA SATUAN'!$E$6,MATCH(RAB!C116,'HARGA SATUAN'!$C$7:$C$1495,0),0)),"",OFFSET('HARGA SATUAN'!$E$6,MATCH(RAB!C116,'HARGA SATUAN'!$C$7:$C$1495,0),0)))</f>
        <v>Mtr</v>
      </c>
      <c r="F116" s="488">
        <f>F113*1.5</f>
        <v>1.5</v>
      </c>
      <c r="G116" s="307">
        <f ca="1">IF(ISERROR(OFFSET('HARGA SATUAN'!$I$6,MATCH(RAB!C116,'HARGA SATUAN'!$C$7:$C$1495,0),0)),0,OFFSET('HARGA SATUAN'!$I$6,MATCH(RAB!C116,'HARGA SATUAN'!$C$7:$C$1495,0),0))</f>
        <v>30000</v>
      </c>
      <c r="H116" s="308">
        <f t="shared" ca="1" si="22"/>
        <v>0</v>
      </c>
      <c r="I116" s="308">
        <f t="shared" ca="1" si="23"/>
        <v>45000</v>
      </c>
      <c r="J116" s="308">
        <f t="shared" ca="1" si="24"/>
        <v>0</v>
      </c>
      <c r="K116" s="309">
        <f t="shared" ca="1" si="25"/>
        <v>45000</v>
      </c>
      <c r="L116" s="316"/>
      <c r="M116" s="289" t="str">
        <f t="shared" ca="1" si="13"/>
        <v/>
      </c>
      <c r="N116" s="316"/>
      <c r="O116" s="310"/>
      <c r="P116" s="310"/>
      <c r="Q116" s="291"/>
      <c r="R116" s="283"/>
      <c r="S116" s="311"/>
      <c r="T116" s="288"/>
      <c r="U116" s="288"/>
      <c r="V116" s="288"/>
    </row>
    <row r="117" spans="1:22" s="317" customFormat="1">
      <c r="A117" s="283"/>
      <c r="B117" s="318">
        <v>4</v>
      </c>
      <c r="C117" s="319" t="s">
        <v>33</v>
      </c>
      <c r="D117" s="305" t="str">
        <f ca="1">IF(ISERROR(OFFSET('HARGA SATUAN'!$D$6,MATCH(RAB!C117,'HARGA SATUAN'!$C$7:$C$1495,0),0)),"",OFFSET('HARGA SATUAN'!$D$6,MATCH(RAB!C117,'HARGA SATUAN'!$C$7:$C$1495,0),0))</f>
        <v>HDW</v>
      </c>
      <c r="E117" s="306" t="str">
        <f ca="1">IF(B117="+","Unit",IF(ISERROR(OFFSET('HARGA SATUAN'!$E$6,MATCH(RAB!C117,'HARGA SATUAN'!$C$7:$C$1495,0),0)),"",OFFSET('HARGA SATUAN'!$E$6,MATCH(RAB!C117,'HARGA SATUAN'!$C$7:$C$1495,0),0)))</f>
        <v>Bh</v>
      </c>
      <c r="F117" s="488">
        <f>F113*2</f>
        <v>2</v>
      </c>
      <c r="G117" s="307">
        <f ca="1">IF(ISERROR(OFFSET('HARGA SATUAN'!$I$6,MATCH(RAB!C117,'HARGA SATUAN'!$C$7:$C$1495,0),0)),0,OFFSET('HARGA SATUAN'!$I$6,MATCH(RAB!C117,'HARGA SATUAN'!$C$7:$C$1495,0),0))</f>
        <v>9500</v>
      </c>
      <c r="H117" s="308">
        <f t="shared" ca="1" si="22"/>
        <v>0</v>
      </c>
      <c r="I117" s="308">
        <f t="shared" ca="1" si="23"/>
        <v>19000</v>
      </c>
      <c r="J117" s="308">
        <f t="shared" ca="1" si="24"/>
        <v>0</v>
      </c>
      <c r="K117" s="309">
        <f t="shared" ca="1" si="25"/>
        <v>19000</v>
      </c>
      <c r="L117" s="316"/>
      <c r="M117" s="289" t="str">
        <f t="shared" ca="1" si="13"/>
        <v/>
      </c>
      <c r="N117" s="316"/>
      <c r="O117" s="310"/>
      <c r="P117" s="310"/>
      <c r="Q117" s="291"/>
      <c r="R117" s="283"/>
      <c r="S117" s="311"/>
      <c r="T117" s="288"/>
      <c r="U117" s="288"/>
      <c r="V117" s="288"/>
    </row>
    <row r="118" spans="1:22" s="317" customFormat="1">
      <c r="A118" s="283"/>
      <c r="B118" s="318">
        <v>5</v>
      </c>
      <c r="C118" s="319" t="s">
        <v>735</v>
      </c>
      <c r="D118" s="305" t="str">
        <f ca="1">IF(ISERROR(OFFSET('HARGA SATUAN'!$D$6,MATCH(RAB!C118,'HARGA SATUAN'!$C$7:$C$1495,0),0)),"",OFFSET('HARGA SATUAN'!$D$6,MATCH(RAB!C118,'HARGA SATUAN'!$C$7:$C$1495,0),0))</f>
        <v>JASA</v>
      </c>
      <c r="E118" s="306" t="str">
        <f ca="1">IF(B118="+","Unit",IF(ISERROR(OFFSET('HARGA SATUAN'!$E$6,MATCH(RAB!C118,'HARGA SATUAN'!$C$7:$C$1495,0),0)),"",OFFSET('HARGA SATUAN'!$E$6,MATCH(RAB!C118,'HARGA SATUAN'!$C$7:$C$1495,0),0)))</f>
        <v>Unit</v>
      </c>
      <c r="F118" s="488">
        <f>F113*1</f>
        <v>1</v>
      </c>
      <c r="G118" s="307">
        <f ca="1">IF(ISERROR(OFFSET('HARGA SATUAN'!$I$6,MATCH(RAB!C118,'HARGA SATUAN'!$C$7:$C$1495,0),0)),0,OFFSET('HARGA SATUAN'!$I$6,MATCH(RAB!C118,'HARGA SATUAN'!$C$7:$C$1495,0),0))</f>
        <v>56400</v>
      </c>
      <c r="H118" s="308">
        <f t="shared" ca="1" si="22"/>
        <v>0</v>
      </c>
      <c r="I118" s="308">
        <f t="shared" ca="1" si="23"/>
        <v>0</v>
      </c>
      <c r="J118" s="308">
        <f t="shared" ca="1" si="24"/>
        <v>56400</v>
      </c>
      <c r="K118" s="309">
        <f t="shared" ca="1" si="25"/>
        <v>56400</v>
      </c>
      <c r="L118" s="316"/>
      <c r="M118" s="289" t="str">
        <f t="shared" ca="1" si="13"/>
        <v/>
      </c>
      <c r="N118" s="316"/>
      <c r="O118" s="310"/>
      <c r="P118" s="310"/>
      <c r="Q118" s="291"/>
      <c r="R118" s="283"/>
      <c r="S118" s="311"/>
      <c r="T118" s="288"/>
      <c r="U118" s="288"/>
      <c r="V118" s="288"/>
    </row>
    <row r="119" spans="1:22" s="317" customFormat="1">
      <c r="A119" s="283"/>
      <c r="B119" s="418" t="s">
        <v>22</v>
      </c>
      <c r="C119" s="421" t="s">
        <v>802</v>
      </c>
      <c r="D119" s="305" t="str">
        <f ca="1">IF(ISERROR(OFFSET('HARGA SATUAN'!$D$6,MATCH(RAB!C119,'HARGA SATUAN'!$C$7:$C$1495,0),0)),"",OFFSET('HARGA SATUAN'!$D$6,MATCH(RAB!C119,'HARGA SATUAN'!$C$7:$C$1495,0),0))</f>
        <v/>
      </c>
      <c r="E119" s="306">
        <f ca="1">IF(B119="+","Unit",IF(ISERROR(OFFSET('HARGA SATUAN'!$E$6,MATCH(RAB!C119,'HARGA SATUAN'!$C$7:$C$1495,0),0)),"",OFFSET('HARGA SATUAN'!$E$6,MATCH(RAB!C119,'HARGA SATUAN'!$C$7:$C$1495,0),0)))</f>
        <v>0</v>
      </c>
      <c r="F119" s="488"/>
      <c r="G119" s="307">
        <f ca="1">IF(ISERROR(OFFSET('HARGA SATUAN'!$I$6,MATCH(RAB!C119,'HARGA SATUAN'!$C$7:$C$1495,0),0)),0,OFFSET('HARGA SATUAN'!$I$6,MATCH(RAB!C119,'HARGA SATUAN'!$C$7:$C$1495,0),0))</f>
        <v>0</v>
      </c>
      <c r="H119" s="308">
        <f t="shared" ref="H119" ca="1" si="26">IF(OR(D119="MDU",D119="MDU-KD"),(IF($O$3="RAB NON MDU","PLN KD",G119*F119)),0)</f>
        <v>0</v>
      </c>
      <c r="I119" s="308">
        <f t="shared" ref="I119" ca="1" si="27">IF(D119="HDW",G119*F119,0)</f>
        <v>0</v>
      </c>
      <c r="J119" s="308">
        <f t="shared" ref="J119" ca="1" si="28">IF(D119="JASA",G119*F119,0)</f>
        <v>0</v>
      </c>
      <c r="K119" s="309">
        <f t="shared" ref="K119" ca="1" si="29">SUM(H119:J119)</f>
        <v>0</v>
      </c>
      <c r="L119" s="316"/>
      <c r="M119" s="289"/>
      <c r="N119" s="316"/>
      <c r="O119" s="310"/>
      <c r="P119" s="310"/>
      <c r="Q119" s="291"/>
      <c r="R119" s="283"/>
      <c r="S119" s="311"/>
      <c r="T119" s="288"/>
      <c r="U119" s="288"/>
      <c r="V119" s="288"/>
    </row>
    <row r="120" spans="1:22">
      <c r="B120" s="320">
        <v>1</v>
      </c>
      <c r="C120" s="109" t="s">
        <v>964</v>
      </c>
      <c r="D120" s="305" t="str">
        <f ca="1">IF(ISERROR(OFFSET('HARGA SATUAN'!$D$6,MATCH(RAB!C120,'HARGA SATUAN'!$C$7:$C$1495,0),0)),"",OFFSET('HARGA SATUAN'!$D$6,MATCH(RAB!C120,'HARGA SATUAN'!$C$7:$C$1495,0),0))</f>
        <v>JASA</v>
      </c>
      <c r="E120" s="306" t="str">
        <f ca="1">IF(B120="+","Unit",IF(ISERROR(OFFSET('HARGA SATUAN'!$E$6,MATCH(RAB!C120,'HARGA SATUAN'!$C$7:$C$1495,0),0)),"",OFFSET('HARGA SATUAN'!$E$6,MATCH(RAB!C120,'HARGA SATUAN'!$C$7:$C$1495,0),0)))</f>
        <v>Unit</v>
      </c>
      <c r="F120" s="315">
        <v>1</v>
      </c>
      <c r="G120" s="307">
        <f ca="1">IF(ISERROR(OFFSET('HARGA SATUAN'!$I$6,MATCH(RAB!C120,'HARGA SATUAN'!$C$7:$C$1495,0),0)),0,OFFSET('HARGA SATUAN'!$I$6,MATCH(RAB!C120,'HARGA SATUAN'!$C$7:$C$1495,0),0))</f>
        <v>709680</v>
      </c>
      <c r="H120" s="308">
        <f t="shared" ca="1" si="22"/>
        <v>0</v>
      </c>
      <c r="I120" s="308">
        <f t="shared" ca="1" si="23"/>
        <v>0</v>
      </c>
      <c r="J120" s="308">
        <f t="shared" ca="1" si="24"/>
        <v>709680</v>
      </c>
      <c r="K120" s="309">
        <f t="shared" ca="1" si="25"/>
        <v>709680</v>
      </c>
      <c r="M120" s="289" t="str">
        <f ca="1">IF(AND(F120&gt;0,F118=0),"",IF(AND(ISBLANK(F120)=FALSE,K120=0),"WARNING",""))</f>
        <v/>
      </c>
    </row>
    <row r="121" spans="1:22">
      <c r="B121" s="321"/>
      <c r="C121" s="322" t="s">
        <v>475</v>
      </c>
      <c r="D121" s="305" t="str">
        <f ca="1">IF(ISERROR(OFFSET('HARGA SATUAN'!$D$6,MATCH(RAB!C121,'HARGA SATUAN'!$C$7:$C$1495,0),0)),"",OFFSET('HARGA SATUAN'!$D$6,MATCH(RAB!C121,'HARGA SATUAN'!$C$7:$C$1495,0),0))</f>
        <v/>
      </c>
      <c r="E121" s="306" t="str">
        <f ca="1">IF(B121="+","Unit",IF(ISERROR(OFFSET('HARGA SATUAN'!$E$6,MATCH(RAB!C121,'HARGA SATUAN'!$C$7:$C$1495,0),0)),"",OFFSET('HARGA SATUAN'!$E$6,MATCH(RAB!C121,'HARGA SATUAN'!$C$7:$C$1495,0),0)))</f>
        <v/>
      </c>
      <c r="F121" s="315"/>
      <c r="G121" s="307">
        <f ca="1">IF(ISERROR(OFFSET('HARGA SATUAN'!$I$6,MATCH(RAB!C121,'HARGA SATUAN'!$C$7:$C$1495,0),0)),0,OFFSET('HARGA SATUAN'!$I$6,MATCH(RAB!C121,'HARGA SATUAN'!$C$7:$C$1495,0),0))</f>
        <v>0</v>
      </c>
      <c r="H121" s="308">
        <f t="shared" ca="1" si="22"/>
        <v>0</v>
      </c>
      <c r="I121" s="308">
        <f t="shared" ca="1" si="23"/>
        <v>0</v>
      </c>
      <c r="J121" s="308">
        <f t="shared" ca="1" si="24"/>
        <v>0</v>
      </c>
      <c r="K121" s="309">
        <f t="shared" ca="1" si="25"/>
        <v>0</v>
      </c>
    </row>
    <row r="122" spans="1:22">
      <c r="B122" s="324">
        <v>1</v>
      </c>
      <c r="C122" s="325" t="s">
        <v>1091</v>
      </c>
      <c r="D122" s="326" t="str">
        <f ca="1">IF(ISERROR(OFFSET('HARGA SATUAN'!$D$6,MATCH(RAB!C122,'HARGA SATUAN'!$C$7:$C$1495,0),0)),"",OFFSET('HARGA SATUAN'!$D$6,MATCH(RAB!C122,'HARGA SATUAN'!$C$7:$C$1495,0),0))</f>
        <v>JASA</v>
      </c>
      <c r="E122" s="327" t="str">
        <f ca="1">IF(ISERROR(OFFSET('HARGA SATUAN'!$E$6,MATCH(RAB!C122,'HARGA SATUAN'!$C$7:$C$1495,0),0)),"",OFFSET('HARGA SATUAN'!$E$6,MATCH(RAB!C122,'HARGA SATUAN'!$C$7:$C$1495,0),0))</f>
        <v>Lot</v>
      </c>
      <c r="F122" s="328">
        <v>1</v>
      </c>
      <c r="G122" s="329">
        <f ca="1">IF(ISERROR(OFFSET('HARGA SATUAN'!$I$6,MATCH(RAB!C122,'HARGA SATUAN'!$C$7:$C$1495,0),0)),0,OFFSET('HARGA SATUAN'!$I$6,MATCH(RAB!C122,'HARGA SATUAN'!$C$7:$C$1495,0),0))</f>
        <v>2.5000000000000001E-2</v>
      </c>
      <c r="H122" s="330">
        <f ca="1">SUM(H14:H121)*G122</f>
        <v>2290177.5</v>
      </c>
      <c r="I122" s="330">
        <f ca="1">SUM(I14:I121)*G122</f>
        <v>145300.52499999999</v>
      </c>
      <c r="J122" s="330">
        <f ca="1">SUM(J14:J121)*G122</f>
        <v>135576.16666666666</v>
      </c>
      <c r="K122" s="330">
        <f ca="1">SUM(K14:K121)*G122</f>
        <v>2571054.1916666664</v>
      </c>
      <c r="M122" s="289" t="str">
        <f t="shared" ref="M122" si="30">IF(AND(F122&gt;0,F121=0),"",IF(AND(ISBLANK(F122)=FALSE,K122=0),"WARNING",""))</f>
        <v/>
      </c>
    </row>
    <row r="123" spans="1:22">
      <c r="B123" s="331"/>
      <c r="C123" s="332"/>
      <c r="D123" s="305" t="str">
        <f ca="1">IF(ISERROR(OFFSET('HARGA SATUAN'!$D$6,MATCH(RAB!C123,'HARGA SATUAN'!$C$7:$C$1495,0),0)),"",OFFSET('HARGA SATUAN'!$D$6,MATCH(RAB!C123,'HARGA SATUAN'!$C$7:$C$1495,0),0))</f>
        <v/>
      </c>
      <c r="E123" s="306" t="str">
        <f ca="1">IF(ISERROR(OFFSET('HARGA SATUAN'!$E$6,MATCH(RAB!C123,'HARGA SATUAN'!$C$7:$C$1495,0),0)),"",OFFSET('HARGA SATUAN'!$E$6,MATCH(RAB!C123,'HARGA SATUAN'!$C$7:$C$1495,0),0))</f>
        <v/>
      </c>
      <c r="F123" s="323"/>
      <c r="G123" s="307" t="str">
        <f ca="1">IF(ISERROR(OFFSET('HARGA SATUAN'!$I$6,MATCH(RAB!C123,'HARGA SATUAN'!$C$7:$C$1495,0),0)),"",OFFSET('HARGA SATUAN'!$I$6,MATCH(RAB!C123,'HARGA SATUAN'!$C$7:$C$1495,0),0))</f>
        <v/>
      </c>
      <c r="H123" s="308">
        <f ca="1">IF(OR(D123="MDU",D123="MDU-KD"),IF(G123="PLN",0,G123*F123),0)</f>
        <v>0</v>
      </c>
      <c r="I123" s="308">
        <f ca="1">IF(D123="HDW",IF(G123="PLN",0,G123*F123),0)</f>
        <v>0</v>
      </c>
      <c r="J123" s="308">
        <f ca="1">IF(D123="JASA",IF(G123="PLN",0,G123*F123),0)</f>
        <v>0</v>
      </c>
      <c r="K123" s="309">
        <f ca="1">SUM(H123:J123)</f>
        <v>0</v>
      </c>
    </row>
    <row r="124" spans="1:22" ht="15.75" thickBot="1">
      <c r="B124" s="333"/>
      <c r="C124" s="334"/>
      <c r="D124" s="335"/>
      <c r="E124" s="336"/>
      <c r="F124" s="336"/>
      <c r="G124" s="336"/>
      <c r="H124" s="337"/>
      <c r="I124" s="337"/>
      <c r="J124" s="337"/>
      <c r="K124" s="338"/>
    </row>
    <row r="125" spans="1:22">
      <c r="B125" s="339"/>
      <c r="C125" s="630" t="s">
        <v>1008</v>
      </c>
      <c r="D125" s="630"/>
      <c r="E125" s="630"/>
      <c r="F125" s="630"/>
      <c r="G125" s="340" t="s">
        <v>9</v>
      </c>
      <c r="H125" s="341">
        <f ca="1">SUM(H14:H123)</f>
        <v>93897277.5</v>
      </c>
      <c r="I125" s="341">
        <f ca="1">SUM(I14:I123)</f>
        <v>5957321.5250000004</v>
      </c>
      <c r="J125" s="341">
        <f ca="1">SUM(J14:J123)</f>
        <v>5558622.833333333</v>
      </c>
      <c r="K125" s="341">
        <f ca="1">SUM(K14:K123)</f>
        <v>105413221.85833332</v>
      </c>
    </row>
    <row r="126" spans="1:22">
      <c r="B126" s="342"/>
      <c r="C126" s="613" t="s">
        <v>1455</v>
      </c>
      <c r="D126" s="613"/>
      <c r="E126" s="613"/>
      <c r="F126" s="613"/>
      <c r="G126" s="343" t="s">
        <v>9</v>
      </c>
      <c r="H126" s="344">
        <f ca="1">H125*0.11</f>
        <v>10328700.525</v>
      </c>
      <c r="I126" s="344">
        <f ca="1">I125*0.11</f>
        <v>655305.36775000009</v>
      </c>
      <c r="J126" s="344">
        <f ca="1">J125*0.11</f>
        <v>611448.5116666666</v>
      </c>
      <c r="K126" s="344">
        <f ca="1">K125*0.11</f>
        <v>11595454.404416665</v>
      </c>
    </row>
    <row r="127" spans="1:22" ht="15.75" thickBot="1">
      <c r="B127" s="342"/>
      <c r="C127" s="610" t="s">
        <v>463</v>
      </c>
      <c r="D127" s="610"/>
      <c r="E127" s="610"/>
      <c r="F127" s="610"/>
      <c r="G127" s="345" t="s">
        <v>9</v>
      </c>
      <c r="H127" s="346">
        <f ca="1">SUM(H125:H126)</f>
        <v>104225978.02500001</v>
      </c>
      <c r="I127" s="346">
        <f ca="1">SUM(I125:I126)</f>
        <v>6612626.8927500006</v>
      </c>
      <c r="J127" s="345">
        <f ca="1">SUM(J125:J126)</f>
        <v>6170071.3449999997</v>
      </c>
      <c r="K127" s="345">
        <f ca="1">SUM(K125:K126)</f>
        <v>117008676.26274998</v>
      </c>
      <c r="M127" s="410"/>
    </row>
    <row r="128" spans="1:22">
      <c r="B128" s="614" t="str">
        <f ca="1">"Terbilang : "&amp;PROPER(IF(K127=0,"nol",IF(K127&lt;0,"minus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IF(--MID(TEXT(ABS(K127),"000000000000000"),1,3)=0,"",MID(TEXT(ABS(K127),"000000000000000"),1,1)&amp;" ratus "&amp;MID(TEXT(ABS(K127),"000000000000000"),2,1)&amp;" puluh "&amp;MID(TEXT(ABS(K127),"000000000000000"),3,1)&amp;" trilyun ")&amp; IF(--MID(TEXT(ABS(K127),"000000000000000"),4,3)=0,"",MID(TEXT(ABS(K127),"000000000000000"),4,1)&amp;" ratus "&amp;MID(TEXT(ABS(K127),"000000000000000"),5,1)&amp;" puluh "&amp;MID(TEXT(ABS(K127),"000000000000000"),6,1)&amp;" milyar ")&amp; IF(--MID(TEXT(ABS(K127),"000000000000000"),7,3)=0,"",MID(TEXT(ABS(K127),"000000000000000"),7,1)&amp;" ratus "&amp;MID(TEXT(ABS(K127),"000000000000000"),8,1)&amp;" puluh "&amp;MID(TEXT(ABS(K127),"000000000000000"),9,1)&amp;" juta ")&amp; IF(--MID(TEXT(ABS(K127),"000000000000000"),10,3)=0,"",IF(--MID(TEXT(ABS(K127),"000000000000000"),10,3)=1,"*",MID(TEXT(ABS(K127),"000000000000000"),10,1)&amp;" ratus "&amp;MID(TEXT(ABS(K127),"000000000000000"),11,1)&amp;" puluh ")&amp;MID(TEXT(ABS(K127),"000000000000000"),12,1)&amp;" ribu ")&amp; IF(--MID(TEXT(ABS(K127),"000000000000000"),13,3)=0,"",MID(TEXT(ABS(K127),"000000000000000"),13,1)&amp;" ratus "&amp;MID(TEXT(ABS(K127),"000000000000000"),14,1)&amp;" puluh "&amp;MID(TEXT(ABS(K127),"000000000000000"),15,1)),1,"satu"),2,"dua"),3,"tiga"),4,"empat"),5,"lima"),6,"enam"),7,"tujuh"),8,"delapan"),9,"sembilan"),"0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Tujuh Belas Juta Delapan Ribu Enam Ratus Tujuh Puluh Enam Rupiah</v>
      </c>
      <c r="C128" s="615"/>
      <c r="D128" s="615"/>
      <c r="E128" s="615"/>
      <c r="F128" s="615"/>
      <c r="G128" s="615"/>
      <c r="H128" s="615"/>
      <c r="I128" s="615"/>
      <c r="J128" s="615"/>
      <c r="K128" s="616"/>
    </row>
    <row r="129" spans="2:11">
      <c r="B129" s="617"/>
      <c r="C129" s="618"/>
      <c r="D129" s="618"/>
      <c r="E129" s="618"/>
      <c r="F129" s="618"/>
      <c r="G129" s="618"/>
      <c r="H129" s="618"/>
      <c r="I129" s="618"/>
      <c r="J129" s="618"/>
      <c r="K129" s="619"/>
    </row>
    <row r="130" spans="2:11" ht="15.75" thickBot="1">
      <c r="B130" s="347" t="str">
        <f>"Harga yang dipakai adalah "&amp;'HARGA SATUAN'!I5&amp;""</f>
        <v>Harga yang dipakai adalah RAB HSS 2023</v>
      </c>
      <c r="C130" s="348"/>
      <c r="D130" s="349"/>
      <c r="E130" s="349"/>
      <c r="F130" s="349"/>
      <c r="G130" s="350"/>
      <c r="H130" s="350"/>
      <c r="I130" s="350"/>
      <c r="J130" s="350"/>
      <c r="K130" s="351"/>
    </row>
    <row r="131" spans="2:11">
      <c r="C131" s="352"/>
      <c r="E131" s="354"/>
      <c r="F131" s="354"/>
      <c r="G131" s="354"/>
    </row>
    <row r="132" spans="2:11">
      <c r="C132" s="284"/>
      <c r="E132" s="354"/>
      <c r="F132" s="354"/>
      <c r="G132" s="354"/>
      <c r="H132" s="620"/>
      <c r="I132" s="620"/>
      <c r="J132" s="621"/>
      <c r="K132" s="621"/>
    </row>
    <row r="133" spans="2:11">
      <c r="C133" s="284"/>
      <c r="E133" s="354"/>
      <c r="F133" s="354"/>
      <c r="G133" s="354"/>
      <c r="H133" s="355"/>
      <c r="I133" s="609" t="s">
        <v>1616</v>
      </c>
      <c r="J133" s="609"/>
      <c r="K133" s="609"/>
    </row>
    <row r="134" spans="2:11">
      <c r="C134" s="284"/>
      <c r="E134" s="354"/>
      <c r="F134" s="354"/>
      <c r="G134" s="354"/>
      <c r="H134" s="355"/>
      <c r="I134" s="609" t="s">
        <v>1611</v>
      </c>
      <c r="J134" s="609"/>
      <c r="K134" s="609"/>
    </row>
    <row r="135" spans="2:11">
      <c r="C135" s="284"/>
      <c r="E135" s="354"/>
      <c r="F135" s="354"/>
      <c r="G135" s="354"/>
      <c r="H135" s="356"/>
      <c r="I135" s="357"/>
      <c r="J135" s="357"/>
      <c r="K135" s="357"/>
    </row>
    <row r="136" spans="2:11">
      <c r="C136" s="284"/>
      <c r="E136" s="354"/>
      <c r="F136" s="354"/>
      <c r="G136" s="354"/>
      <c r="H136" s="356"/>
      <c r="I136" s="356"/>
      <c r="J136" s="356"/>
      <c r="K136" s="356"/>
    </row>
    <row r="137" spans="2:11">
      <c r="C137" s="284"/>
      <c r="E137" s="354"/>
      <c r="F137" s="354"/>
      <c r="G137" s="354"/>
      <c r="H137" s="356"/>
      <c r="I137" s="356"/>
      <c r="J137" s="356"/>
      <c r="K137" s="356"/>
    </row>
    <row r="138" spans="2:11">
      <c r="C138" s="284"/>
      <c r="E138" s="354"/>
      <c r="F138" s="354"/>
      <c r="G138" s="354"/>
      <c r="H138" s="356"/>
      <c r="I138" s="356"/>
      <c r="J138" s="356"/>
      <c r="K138" s="356"/>
    </row>
    <row r="139" spans="2:11">
      <c r="C139" s="284"/>
      <c r="E139" s="354"/>
      <c r="F139" s="354"/>
      <c r="G139" s="354"/>
      <c r="H139" s="358"/>
      <c r="I139" s="609" t="s">
        <v>1612</v>
      </c>
      <c r="J139" s="609"/>
      <c r="K139" s="609"/>
    </row>
    <row r="140" spans="2:11">
      <c r="C140" s="352"/>
      <c r="E140" s="354"/>
      <c r="F140" s="354"/>
      <c r="G140" s="354"/>
      <c r="H140" s="356"/>
      <c r="I140" s="356"/>
      <c r="J140" s="356"/>
      <c r="K140" s="356"/>
    </row>
    <row r="141" spans="2:11">
      <c r="C141" s="352"/>
      <c r="E141" s="354"/>
      <c r="F141" s="354"/>
      <c r="G141" s="354"/>
      <c r="H141" s="356"/>
      <c r="I141" s="356"/>
      <c r="J141" s="356"/>
      <c r="K141" s="356"/>
    </row>
    <row r="142" spans="2:11">
      <c r="C142" s="352"/>
      <c r="E142" s="354"/>
      <c r="F142" s="354"/>
      <c r="G142" s="354"/>
      <c r="H142" s="356"/>
      <c r="I142" s="356"/>
      <c r="J142" s="356"/>
      <c r="K142" s="356"/>
    </row>
  </sheetData>
  <sheetProtection sort="0" autoFilter="0"/>
  <protectedRanges>
    <protectedRange sqref="F14:F15 F120:F121" name="Range1_1_2_2"/>
    <protectedRange sqref="B105:C105 B15 B16:C16 B104 B17:B18 B19:C102 B103" name="Range1_6_1"/>
    <protectedRange sqref="B106:C106 B108:C109 B107 B111:C119 B110" name="Range1_6_1_11"/>
    <protectedRange sqref="C107" name="Range1_1_3"/>
    <protectedRange sqref="C110" name="Range1_1_3_1"/>
    <protectedRange sqref="C120" name="Range1_1_3_2"/>
    <protectedRange sqref="C17" name="Range1_1_3_3"/>
    <protectedRange sqref="C18" name="Range1_1_3_4"/>
    <protectedRange sqref="C103" name="Range1_1_3_5"/>
    <protectedRange sqref="C104" name="Range1_1_3_6"/>
  </protectedRanges>
  <mergeCells count="22">
    <mergeCell ref="O3:P4"/>
    <mergeCell ref="B4:K4"/>
    <mergeCell ref="C125:F125"/>
    <mergeCell ref="B11:B13"/>
    <mergeCell ref="C11:C13"/>
    <mergeCell ref="D11:D13"/>
    <mergeCell ref="E11:E13"/>
    <mergeCell ref="F11:F13"/>
    <mergeCell ref="G11:G13"/>
    <mergeCell ref="I12:I13"/>
    <mergeCell ref="I134:K134"/>
    <mergeCell ref="I139:K139"/>
    <mergeCell ref="C127:F127"/>
    <mergeCell ref="G6:K6"/>
    <mergeCell ref="I133:K133"/>
    <mergeCell ref="C126:F126"/>
    <mergeCell ref="B128:K129"/>
    <mergeCell ref="H132:K132"/>
    <mergeCell ref="H11:K11"/>
    <mergeCell ref="H12:H13"/>
    <mergeCell ref="J12:J13"/>
    <mergeCell ref="K12:K13"/>
  </mergeCells>
  <phoneticPr fontId="133" type="noConversion"/>
  <conditionalFormatting sqref="C15">
    <cfRule type="cellIs" dxfId="20" priority="73" operator="equal">
      <formula>0</formula>
    </cfRule>
  </conditionalFormatting>
  <conditionalFormatting sqref="E1:E3 E5:E13 H12:I12 O13 E122:G122 H122:K124 E123:H123 E124:F124 S14:V119">
    <cfRule type="cellIs" dxfId="19" priority="1117" stopIfTrue="1" operator="equal">
      <formula>0</formula>
    </cfRule>
  </conditionalFormatting>
  <conditionalFormatting sqref="E14:K19 E40:K40 E20:E39 G20:K39 E47:K47 E41:E46 G41:K46 E48:E79 G48:K79 E80:K121">
    <cfRule type="cellIs" dxfId="18" priority="19" stopIfTrue="1" operator="equal">
      <formula>0</formula>
    </cfRule>
  </conditionalFormatting>
  <conditionalFormatting sqref="G1:G13">
    <cfRule type="cellIs" dxfId="17" priority="42" stopIfTrue="1" operator="equal">
      <formula>0</formula>
    </cfRule>
  </conditionalFormatting>
  <conditionalFormatting sqref="G123:G65589 E128:E65589">
    <cfRule type="cellIs" dxfId="16" priority="251" stopIfTrue="1" operator="equal">
      <formula>0</formula>
    </cfRule>
  </conditionalFormatting>
  <conditionalFormatting sqref="C107">
    <cfRule type="cellIs" dxfId="15" priority="16" operator="equal">
      <formula>0</formula>
    </cfRule>
  </conditionalFormatting>
  <conditionalFormatting sqref="C110">
    <cfRule type="cellIs" dxfId="14" priority="15" operator="equal">
      <formula>0</formula>
    </cfRule>
  </conditionalFormatting>
  <conditionalFormatting sqref="C120">
    <cfRule type="cellIs" dxfId="13" priority="14" operator="equal">
      <formula>0</formula>
    </cfRule>
  </conditionalFormatting>
  <conditionalFormatting sqref="C17">
    <cfRule type="cellIs" dxfId="12" priority="13" operator="equal">
      <formula>0</formula>
    </cfRule>
  </conditionalFormatting>
  <conditionalFormatting sqref="C18">
    <cfRule type="cellIs" dxfId="11" priority="12" operator="equal">
      <formula>0</formula>
    </cfRule>
  </conditionalFormatting>
  <conditionalFormatting sqref="C21">
    <cfRule type="cellIs" dxfId="10" priority="11" operator="equal">
      <formula>0</formula>
    </cfRule>
  </conditionalFormatting>
  <conditionalFormatting sqref="C25">
    <cfRule type="cellIs" dxfId="9" priority="10" operator="equal">
      <formula>0</formula>
    </cfRule>
  </conditionalFormatting>
  <conditionalFormatting sqref="F20:F39">
    <cfRule type="cellIs" dxfId="8" priority="9" stopIfTrue="1" operator="equal">
      <formula>0</formula>
    </cfRule>
  </conditionalFormatting>
  <conditionalFormatting sqref="F41:F46">
    <cfRule type="cellIs" dxfId="7" priority="8" stopIfTrue="1" operator="equal">
      <formula>0</formula>
    </cfRule>
  </conditionalFormatting>
  <conditionalFormatting sqref="F48:F54 F60 F66 F72">
    <cfRule type="cellIs" dxfId="6" priority="7" stopIfTrue="1" operator="equal">
      <formula>0</formula>
    </cfRule>
  </conditionalFormatting>
  <conditionalFormatting sqref="F55:F59">
    <cfRule type="cellIs" dxfId="5" priority="6" stopIfTrue="1" operator="equal">
      <formula>0</formula>
    </cfRule>
  </conditionalFormatting>
  <conditionalFormatting sqref="F61:F65">
    <cfRule type="cellIs" dxfId="4" priority="5" stopIfTrue="1" operator="equal">
      <formula>0</formula>
    </cfRule>
  </conditionalFormatting>
  <conditionalFormatting sqref="F67:F71">
    <cfRule type="cellIs" dxfId="3" priority="4" stopIfTrue="1" operator="equal">
      <formula>0</formula>
    </cfRule>
  </conditionalFormatting>
  <conditionalFormatting sqref="F73:F79">
    <cfRule type="cellIs" dxfId="2" priority="3" stopIfTrue="1" operator="equal">
      <formula>0</formula>
    </cfRule>
  </conditionalFormatting>
  <conditionalFormatting sqref="C103">
    <cfRule type="cellIs" dxfId="1" priority="2" operator="equal">
      <formula>0</formula>
    </cfRule>
  </conditionalFormatting>
  <conditionalFormatting sqref="C104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13:F119 F104 C22:C24 F16:F66 F70 F72:F101 H14:K124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122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52A1D-72BC-40E5-82BE-E8DABE3BC2D5}">
  <sheetPr>
    <tabColor rgb="FF92D050"/>
  </sheetPr>
  <dimension ref="C1:AD55"/>
  <sheetViews>
    <sheetView showGridLines="0" tabSelected="1" topLeftCell="A28" zoomScaleNormal="100" zoomScaleSheetLayoutView="100" workbookViewId="0">
      <selection activeCell="S45" sqref="S45"/>
    </sheetView>
  </sheetViews>
  <sheetFormatPr defaultColWidth="9.140625" defaultRowHeight="12"/>
  <cols>
    <col min="1" max="2" width="1.42578125" style="424" customWidth="1"/>
    <col min="3" max="3" width="7.42578125" style="424" customWidth="1"/>
    <col min="4" max="23" width="5.7109375" style="424" customWidth="1"/>
    <col min="24" max="24" width="9.28515625" style="424" customWidth="1"/>
    <col min="25" max="26" width="5.7109375" style="424" customWidth="1"/>
    <col min="27" max="27" width="6.5703125" style="424" customWidth="1"/>
    <col min="28" max="118" width="5.7109375" style="424" customWidth="1"/>
    <col min="119" max="16384" width="9.140625" style="424"/>
  </cols>
  <sheetData>
    <row r="1" spans="3:30" ht="12.75" thickBot="1"/>
    <row r="2" spans="3:30" ht="12.75" customHeight="1">
      <c r="C2" s="507"/>
      <c r="D2" s="425"/>
      <c r="E2" s="425"/>
      <c r="F2" s="425"/>
      <c r="G2" s="425"/>
      <c r="H2" s="425"/>
      <c r="I2" s="425"/>
      <c r="J2" s="425"/>
      <c r="K2" s="425"/>
      <c r="L2" s="425"/>
      <c r="M2" s="425"/>
      <c r="N2" s="425"/>
      <c r="O2" s="425"/>
      <c r="P2" s="425"/>
      <c r="Q2" s="425"/>
      <c r="R2" s="425"/>
      <c r="S2" s="425"/>
      <c r="T2" s="425"/>
      <c r="U2" s="425"/>
      <c r="V2" s="425"/>
      <c r="W2" s="639" t="s">
        <v>1438</v>
      </c>
      <c r="X2" s="640"/>
      <c r="Y2" s="640"/>
      <c r="Z2" s="640"/>
      <c r="AA2" s="640"/>
      <c r="AB2" s="640"/>
      <c r="AC2" s="640"/>
      <c r="AD2" s="641"/>
    </row>
    <row r="3" spans="3:30">
      <c r="C3" s="426"/>
      <c r="W3" s="642"/>
      <c r="X3" s="643"/>
      <c r="Y3" s="643"/>
      <c r="Z3" s="643"/>
      <c r="AA3" s="643"/>
      <c r="AB3" s="643"/>
      <c r="AC3" s="643"/>
      <c r="AD3" s="644"/>
    </row>
    <row r="4" spans="3:30">
      <c r="C4" s="426"/>
      <c r="G4" s="427" t="s">
        <v>1623</v>
      </c>
      <c r="W4" s="428" t="s">
        <v>987</v>
      </c>
      <c r="AD4" s="429"/>
    </row>
    <row r="5" spans="3:30">
      <c r="C5" s="426"/>
      <c r="W5" s="430" t="s">
        <v>991</v>
      </c>
      <c r="X5" s="645" t="s">
        <v>990</v>
      </c>
      <c r="Y5" s="645"/>
      <c r="Z5" s="645"/>
      <c r="AA5" s="645" t="s">
        <v>988</v>
      </c>
      <c r="AB5" s="645"/>
      <c r="AC5" s="645" t="s">
        <v>989</v>
      </c>
      <c r="AD5" s="646"/>
    </row>
    <row r="6" spans="3:30">
      <c r="C6" s="426"/>
      <c r="W6" s="430">
        <v>1</v>
      </c>
      <c r="X6" s="645" t="s">
        <v>993</v>
      </c>
      <c r="Y6" s="645"/>
      <c r="Z6" s="645"/>
      <c r="AA6" s="645"/>
      <c r="AB6" s="645"/>
      <c r="AC6" s="645"/>
      <c r="AD6" s="646"/>
    </row>
    <row r="7" spans="3:30">
      <c r="C7" s="426"/>
      <c r="W7" s="430">
        <v>2</v>
      </c>
      <c r="X7" s="645" t="s">
        <v>994</v>
      </c>
      <c r="Y7" s="645"/>
      <c r="Z7" s="645"/>
      <c r="AA7" s="645"/>
      <c r="AB7" s="645"/>
      <c r="AC7" s="645"/>
      <c r="AD7" s="646"/>
    </row>
    <row r="8" spans="3:30">
      <c r="C8" s="426"/>
      <c r="W8" s="430">
        <v>3</v>
      </c>
      <c r="X8" s="645" t="s">
        <v>995</v>
      </c>
      <c r="Y8" s="645"/>
      <c r="Z8" s="645"/>
      <c r="AA8" s="645"/>
      <c r="AB8" s="645"/>
      <c r="AC8" s="645"/>
      <c r="AD8" s="646"/>
    </row>
    <row r="9" spans="3:30">
      <c r="C9" s="426"/>
      <c r="W9" s="430">
        <v>4</v>
      </c>
      <c r="X9" s="645" t="s">
        <v>996</v>
      </c>
      <c r="Y9" s="645"/>
      <c r="Z9" s="645"/>
      <c r="AA9" s="645"/>
      <c r="AB9" s="645"/>
      <c r="AC9" s="645"/>
      <c r="AD9" s="646"/>
    </row>
    <row r="10" spans="3:30">
      <c r="C10" s="426"/>
      <c r="W10" s="430">
        <v>5</v>
      </c>
      <c r="X10" s="645" t="s">
        <v>997</v>
      </c>
      <c r="Y10" s="645"/>
      <c r="Z10" s="645"/>
      <c r="AA10" s="645"/>
      <c r="AB10" s="645"/>
      <c r="AC10" s="645"/>
      <c r="AD10" s="646"/>
    </row>
    <row r="11" spans="3:30">
      <c r="C11" s="426"/>
      <c r="W11" s="430">
        <v>6</v>
      </c>
      <c r="X11" s="645" t="s">
        <v>998</v>
      </c>
      <c r="Y11" s="645"/>
      <c r="Z11" s="645"/>
      <c r="AA11" s="645"/>
      <c r="AB11" s="645"/>
      <c r="AC11" s="645"/>
      <c r="AD11" s="646"/>
    </row>
    <row r="12" spans="3:30">
      <c r="C12" s="426"/>
      <c r="W12" s="430">
        <v>7</v>
      </c>
      <c r="X12" s="645" t="s">
        <v>999</v>
      </c>
      <c r="Y12" s="645"/>
      <c r="Z12" s="645"/>
      <c r="AA12" s="645"/>
      <c r="AB12" s="645"/>
      <c r="AC12" s="645"/>
      <c r="AD12" s="646"/>
    </row>
    <row r="13" spans="3:30" ht="12.75" customHeight="1">
      <c r="C13" s="426"/>
      <c r="W13" s="430">
        <v>8</v>
      </c>
      <c r="X13" s="645" t="s">
        <v>1000</v>
      </c>
      <c r="Y13" s="645"/>
      <c r="Z13" s="645"/>
      <c r="AA13" s="645"/>
      <c r="AB13" s="645"/>
      <c r="AC13" s="645"/>
      <c r="AD13" s="646"/>
    </row>
    <row r="14" spans="3:30">
      <c r="C14" s="426"/>
      <c r="W14" s="430">
        <v>9</v>
      </c>
      <c r="X14" s="645" t="s">
        <v>1001</v>
      </c>
      <c r="Y14" s="645"/>
      <c r="Z14" s="645"/>
      <c r="AA14" s="645"/>
      <c r="AB14" s="645"/>
      <c r="AC14" s="645"/>
      <c r="AD14" s="646"/>
    </row>
    <row r="15" spans="3:30">
      <c r="C15" s="426"/>
      <c r="W15" s="430">
        <v>10</v>
      </c>
      <c r="X15" s="645" t="s">
        <v>1010</v>
      </c>
      <c r="Y15" s="645"/>
      <c r="Z15" s="645"/>
      <c r="AA15" s="645"/>
      <c r="AB15" s="645"/>
      <c r="AC15" s="645"/>
      <c r="AD15" s="646"/>
    </row>
    <row r="16" spans="3:30">
      <c r="C16" s="426"/>
      <c r="W16" s="430">
        <v>11</v>
      </c>
      <c r="X16" s="645" t="s">
        <v>1454</v>
      </c>
      <c r="Y16" s="645"/>
      <c r="Z16" s="645"/>
      <c r="AA16" s="645"/>
      <c r="AB16" s="645"/>
      <c r="AC16" s="645"/>
      <c r="AD16" s="646"/>
    </row>
    <row r="17" spans="3:30">
      <c r="C17" s="426"/>
      <c r="S17" s="432"/>
      <c r="W17" s="430">
        <v>12</v>
      </c>
      <c r="X17" s="645" t="s">
        <v>1011</v>
      </c>
      <c r="Y17" s="645"/>
      <c r="Z17" s="645"/>
      <c r="AA17" s="645"/>
      <c r="AB17" s="645"/>
      <c r="AC17" s="645"/>
      <c r="AD17" s="646"/>
    </row>
    <row r="18" spans="3:30">
      <c r="C18" s="433"/>
      <c r="D18" s="434"/>
      <c r="E18" s="434"/>
      <c r="W18" s="430">
        <v>13</v>
      </c>
      <c r="X18" s="645"/>
      <c r="Y18" s="645"/>
      <c r="Z18" s="645"/>
      <c r="AA18" s="645"/>
      <c r="AB18" s="645"/>
      <c r="AC18" s="645"/>
      <c r="AD18" s="646"/>
    </row>
    <row r="19" spans="3:30">
      <c r="C19" s="426"/>
      <c r="W19" s="435"/>
      <c r="X19" s="655"/>
      <c r="Y19" s="655"/>
      <c r="Z19" s="655"/>
      <c r="AA19" s="655"/>
      <c r="AB19" s="655"/>
      <c r="AC19" s="655"/>
      <c r="AD19" s="656"/>
    </row>
    <row r="20" spans="3:30">
      <c r="C20" s="426"/>
      <c r="Q20" s="436"/>
      <c r="W20" s="657" t="s">
        <v>992</v>
      </c>
      <c r="X20" s="658"/>
      <c r="Y20" s="658"/>
      <c r="Z20" s="658"/>
      <c r="AA20" s="658"/>
      <c r="AB20" s="658"/>
      <c r="AC20" s="658"/>
      <c r="AD20" s="659"/>
    </row>
    <row r="21" spans="3:30">
      <c r="C21" s="426"/>
      <c r="W21" s="660" t="s">
        <v>985</v>
      </c>
      <c r="X21" s="661"/>
      <c r="Y21" s="661"/>
      <c r="Z21" s="662"/>
      <c r="AA21" s="663" t="s">
        <v>986</v>
      </c>
      <c r="AB21" s="664"/>
      <c r="AC21" s="664"/>
      <c r="AD21" s="665"/>
    </row>
    <row r="22" spans="3:30">
      <c r="C22" s="426"/>
      <c r="S22" s="437"/>
      <c r="W22" s="647" t="s">
        <v>1626</v>
      </c>
      <c r="X22" s="648"/>
      <c r="Y22" s="438" t="s">
        <v>1058</v>
      </c>
      <c r="Z22" s="439">
        <v>1</v>
      </c>
      <c r="AA22" s="649" t="s">
        <v>1627</v>
      </c>
      <c r="AB22" s="650"/>
      <c r="AC22" s="440" t="s">
        <v>1058</v>
      </c>
      <c r="AD22" s="441">
        <v>1</v>
      </c>
    </row>
    <row r="23" spans="3:30">
      <c r="C23" s="426"/>
      <c r="W23" s="647" t="s">
        <v>1628</v>
      </c>
      <c r="X23" s="648"/>
      <c r="Y23" s="438" t="s">
        <v>1058</v>
      </c>
      <c r="Z23" s="439">
        <v>1</v>
      </c>
      <c r="AA23" s="651"/>
      <c r="AB23" s="652"/>
      <c r="AC23" s="440"/>
      <c r="AD23" s="441"/>
    </row>
    <row r="24" spans="3:30">
      <c r="C24" s="426"/>
      <c r="W24" s="647" t="s">
        <v>1629</v>
      </c>
      <c r="X24" s="648"/>
      <c r="Y24" s="438" t="s">
        <v>1058</v>
      </c>
      <c r="Z24" s="439">
        <v>1</v>
      </c>
      <c r="AA24" s="653"/>
      <c r="AB24" s="654"/>
      <c r="AC24" s="440"/>
      <c r="AD24" s="441"/>
    </row>
    <row r="25" spans="3:30">
      <c r="C25" s="426"/>
      <c r="W25" s="647" t="s">
        <v>1630</v>
      </c>
      <c r="X25" s="648"/>
      <c r="Y25" s="438" t="s">
        <v>1058</v>
      </c>
      <c r="Z25" s="439">
        <v>5</v>
      </c>
      <c r="AA25" s="651"/>
      <c r="AB25" s="652"/>
      <c r="AC25" s="440"/>
      <c r="AD25" s="441"/>
    </row>
    <row r="26" spans="3:30">
      <c r="C26" s="426"/>
      <c r="W26" s="668" t="s">
        <v>1631</v>
      </c>
      <c r="X26" s="669"/>
      <c r="Y26" s="438" t="s">
        <v>1058</v>
      </c>
      <c r="Z26" s="439">
        <v>3</v>
      </c>
      <c r="AA26" s="651"/>
      <c r="AB26" s="652"/>
      <c r="AC26" s="440"/>
      <c r="AD26" s="441"/>
    </row>
    <row r="27" spans="3:30">
      <c r="C27" s="426"/>
      <c r="W27" s="668" t="s">
        <v>1632</v>
      </c>
      <c r="X27" s="669"/>
      <c r="Y27" s="438" t="s">
        <v>1058</v>
      </c>
      <c r="Z27" s="439">
        <v>1</v>
      </c>
      <c r="AA27" s="651"/>
      <c r="AB27" s="652"/>
      <c r="AC27" s="440"/>
      <c r="AD27" s="441"/>
    </row>
    <row r="28" spans="3:30">
      <c r="C28" s="426"/>
      <c r="W28" s="666" t="s">
        <v>1633</v>
      </c>
      <c r="X28" s="667"/>
      <c r="Y28" s="438" t="s">
        <v>1058</v>
      </c>
      <c r="Z28" s="439">
        <v>1</v>
      </c>
      <c r="AA28" s="651"/>
      <c r="AB28" s="652"/>
      <c r="AC28" s="440"/>
      <c r="AD28" s="441"/>
    </row>
    <row r="29" spans="3:30">
      <c r="C29" s="426"/>
      <c r="W29" s="668" t="s">
        <v>1634</v>
      </c>
      <c r="X29" s="669"/>
      <c r="Y29" s="438" t="s">
        <v>1058</v>
      </c>
      <c r="Z29" s="439">
        <v>1</v>
      </c>
      <c r="AA29" s="651"/>
      <c r="AB29" s="652"/>
      <c r="AC29" s="440"/>
      <c r="AD29" s="441"/>
    </row>
    <row r="30" spans="3:30" ht="11.25" customHeight="1">
      <c r="C30" s="426"/>
      <c r="W30" s="666" t="s">
        <v>1635</v>
      </c>
      <c r="X30" s="667"/>
      <c r="Y30" s="438" t="s">
        <v>1058</v>
      </c>
      <c r="Z30" s="439">
        <v>1</v>
      </c>
      <c r="AA30" s="651"/>
      <c r="AB30" s="652"/>
      <c r="AC30" s="440"/>
      <c r="AD30" s="441"/>
    </row>
    <row r="31" spans="3:30">
      <c r="C31" s="426"/>
      <c r="U31" s="444"/>
      <c r="W31" s="442" t="s">
        <v>1617</v>
      </c>
      <c r="X31" s="443"/>
      <c r="Y31" s="438" t="s">
        <v>1058</v>
      </c>
      <c r="Z31" s="439">
        <v>1</v>
      </c>
      <c r="AA31" s="651"/>
      <c r="AB31" s="652"/>
      <c r="AC31" s="440"/>
      <c r="AD31" s="441"/>
    </row>
    <row r="32" spans="3:30">
      <c r="C32" s="426"/>
      <c r="U32" s="444"/>
      <c r="W32" s="666" t="s">
        <v>1641</v>
      </c>
      <c r="X32" s="667"/>
      <c r="Y32" s="438" t="s">
        <v>1642</v>
      </c>
      <c r="Z32" s="439">
        <v>310</v>
      </c>
      <c r="AA32" s="651"/>
      <c r="AB32" s="652"/>
      <c r="AC32" s="440"/>
      <c r="AD32" s="441"/>
    </row>
    <row r="33" spans="3:30">
      <c r="C33" s="426"/>
      <c r="W33" s="666"/>
      <c r="X33" s="667"/>
      <c r="Y33" s="438"/>
      <c r="Z33" s="439"/>
      <c r="AA33" s="651"/>
      <c r="AB33" s="652"/>
      <c r="AC33" s="440"/>
      <c r="AD33" s="441"/>
    </row>
    <row r="34" spans="3:30">
      <c r="C34" s="426"/>
      <c r="Q34" s="424" t="s">
        <v>1607</v>
      </c>
      <c r="W34" s="666"/>
      <c r="X34" s="667"/>
      <c r="Y34" s="438"/>
      <c r="Z34" s="439"/>
      <c r="AA34" s="651"/>
      <c r="AB34" s="652"/>
      <c r="AC34" s="440"/>
      <c r="AD34" s="441"/>
    </row>
    <row r="35" spans="3:30">
      <c r="C35" s="426"/>
      <c r="W35" s="666"/>
      <c r="X35" s="667"/>
      <c r="Y35" s="438"/>
      <c r="Z35" s="439"/>
      <c r="AA35" s="651"/>
      <c r="AB35" s="652"/>
      <c r="AC35" s="440"/>
      <c r="AD35" s="441"/>
    </row>
    <row r="36" spans="3:30">
      <c r="C36" s="426"/>
      <c r="W36" s="666"/>
      <c r="X36" s="667"/>
      <c r="Y36" s="438"/>
      <c r="Z36" s="439"/>
      <c r="AA36" s="651"/>
      <c r="AB36" s="652"/>
      <c r="AC36" s="440"/>
      <c r="AD36" s="441"/>
    </row>
    <row r="37" spans="3:30" ht="12.75" customHeight="1">
      <c r="C37" s="426"/>
      <c r="W37" s="442"/>
      <c r="X37" s="445"/>
      <c r="Y37" s="438"/>
      <c r="Z37" s="439"/>
      <c r="AA37" s="670"/>
      <c r="AB37" s="671"/>
      <c r="AC37" s="440"/>
      <c r="AD37" s="446"/>
    </row>
    <row r="38" spans="3:30" ht="12.75" customHeight="1">
      <c r="C38" s="426"/>
      <c r="W38" s="506"/>
      <c r="X38" s="505"/>
      <c r="Y38" s="438"/>
      <c r="Z38" s="501"/>
      <c r="AA38" s="672"/>
      <c r="AB38" s="673"/>
      <c r="AC38" s="440"/>
      <c r="AD38" s="446"/>
    </row>
    <row r="39" spans="3:30" ht="12" customHeight="1">
      <c r="C39" s="426"/>
      <c r="W39" s="506"/>
      <c r="X39" s="505"/>
      <c r="Y39" s="438"/>
      <c r="Z39" s="501"/>
      <c r="AA39" s="677"/>
      <c r="AB39" s="678"/>
      <c r="AC39" s="440"/>
      <c r="AD39" s="446"/>
    </row>
    <row r="40" spans="3:30" ht="12" customHeight="1">
      <c r="C40" s="426"/>
      <c r="W40" s="504"/>
      <c r="X40" s="503"/>
      <c r="Y40" s="502"/>
      <c r="Z40" s="501"/>
      <c r="AA40" s="498"/>
      <c r="AB40" s="497"/>
      <c r="AC40" s="447"/>
      <c r="AD40" s="448"/>
    </row>
    <row r="41" spans="3:30" ht="12" customHeight="1">
      <c r="C41" s="426"/>
      <c r="W41" s="679"/>
      <c r="X41" s="680"/>
      <c r="Y41" s="500"/>
      <c r="Z41" s="499"/>
      <c r="AA41" s="681"/>
      <c r="AB41" s="682"/>
      <c r="AC41" s="447"/>
      <c r="AD41" s="448"/>
    </row>
    <row r="42" spans="3:30" ht="12" customHeight="1">
      <c r="C42" s="426"/>
      <c r="W42" s="683" t="s">
        <v>1645</v>
      </c>
      <c r="X42" s="684"/>
      <c r="Y42" s="684"/>
      <c r="Z42" s="684"/>
      <c r="AA42" s="684"/>
      <c r="AB42" s="684"/>
      <c r="AC42" s="684"/>
      <c r="AD42" s="685"/>
    </row>
    <row r="43" spans="3:30" ht="12" customHeight="1">
      <c r="C43" s="426"/>
      <c r="V43" s="449"/>
      <c r="W43" s="686"/>
      <c r="X43" s="687"/>
      <c r="Y43" s="687"/>
      <c r="Z43" s="687"/>
      <c r="AA43" s="687"/>
      <c r="AB43" s="687"/>
      <c r="AC43" s="687"/>
      <c r="AD43" s="688"/>
    </row>
    <row r="44" spans="3:30">
      <c r="C44" s="450"/>
      <c r="D44" s="451"/>
      <c r="E44" s="451"/>
      <c r="F44" s="451"/>
      <c r="G44" s="451"/>
      <c r="H44" s="451"/>
      <c r="I44" s="451"/>
      <c r="N44" s="451"/>
      <c r="O44" s="451"/>
      <c r="P44" s="451"/>
      <c r="Q44" s="451"/>
      <c r="R44" s="451"/>
      <c r="S44" s="451"/>
      <c r="T44" s="451"/>
      <c r="U44" s="451"/>
      <c r="V44" s="449"/>
      <c r="W44" s="674" t="s">
        <v>11</v>
      </c>
      <c r="X44" s="675"/>
      <c r="Y44" s="645"/>
      <c r="Z44" s="645"/>
      <c r="AA44" s="645"/>
      <c r="AB44" s="645"/>
      <c r="AC44" s="645"/>
      <c r="AD44" s="646"/>
    </row>
    <row r="45" spans="3:30">
      <c r="C45" s="450"/>
      <c r="D45" s="451"/>
      <c r="E45" s="451"/>
      <c r="F45" s="451"/>
      <c r="G45" s="451"/>
      <c r="H45" s="451"/>
      <c r="I45" s="451"/>
      <c r="N45" s="451"/>
      <c r="O45" s="451"/>
      <c r="P45" s="451"/>
      <c r="Q45" s="451"/>
      <c r="R45" s="451"/>
      <c r="S45" s="451"/>
      <c r="T45" s="451"/>
      <c r="U45" s="451"/>
      <c r="V45" s="449"/>
      <c r="W45" s="674" t="s">
        <v>984</v>
      </c>
      <c r="X45" s="675"/>
      <c r="Y45" s="645">
        <v>1</v>
      </c>
      <c r="Z45" s="645"/>
      <c r="AA45" s="645"/>
      <c r="AB45" s="645" t="s">
        <v>12</v>
      </c>
      <c r="AC45" s="645"/>
      <c r="AD45" s="431" t="s">
        <v>13</v>
      </c>
    </row>
    <row r="46" spans="3:30">
      <c r="C46" s="450"/>
      <c r="D46" s="451"/>
      <c r="E46" s="451"/>
      <c r="F46" s="451"/>
      <c r="G46" s="451"/>
      <c r="H46" s="451"/>
      <c r="I46" s="451"/>
      <c r="J46" s="451"/>
      <c r="K46" s="451"/>
      <c r="L46" s="451"/>
      <c r="M46" s="451"/>
      <c r="N46" s="451"/>
      <c r="O46" s="451"/>
      <c r="P46" s="451"/>
      <c r="Q46" s="451"/>
      <c r="R46" s="451"/>
      <c r="S46" s="451"/>
      <c r="T46" s="451"/>
      <c r="U46" s="451"/>
      <c r="V46" s="449"/>
      <c r="W46" s="674" t="s">
        <v>15</v>
      </c>
      <c r="X46" s="675"/>
      <c r="Y46" s="676"/>
      <c r="Z46" s="676"/>
      <c r="AA46" s="676"/>
      <c r="AB46" s="645" t="s">
        <v>16</v>
      </c>
      <c r="AC46" s="645"/>
      <c r="AD46" s="452"/>
    </row>
    <row r="47" spans="3:30">
      <c r="C47" s="450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451"/>
      <c r="T47" s="451"/>
      <c r="U47" s="451"/>
      <c r="V47" s="449"/>
      <c r="W47" s="694" t="s">
        <v>17</v>
      </c>
      <c r="X47" s="694"/>
      <c r="Y47" s="694"/>
      <c r="Z47" s="694"/>
      <c r="AA47" s="694"/>
      <c r="AB47" s="694"/>
      <c r="AC47" s="694"/>
      <c r="AD47" s="695"/>
    </row>
    <row r="48" spans="3:30" ht="12.75" customHeight="1">
      <c r="C48" s="450"/>
      <c r="D48" s="451"/>
      <c r="E48" s="451"/>
      <c r="F48" s="451"/>
      <c r="G48" s="451"/>
      <c r="H48" s="451"/>
      <c r="I48" s="451"/>
      <c r="J48" s="451"/>
      <c r="K48" s="451"/>
      <c r="L48" s="451"/>
      <c r="M48" s="451"/>
      <c r="R48" s="451"/>
      <c r="S48" s="451"/>
      <c r="T48" s="451"/>
      <c r="U48" s="451"/>
      <c r="V48" s="449"/>
      <c r="W48" s="696" t="s">
        <v>1636</v>
      </c>
      <c r="X48" s="696"/>
      <c r="Y48" s="696"/>
      <c r="Z48" s="696"/>
      <c r="AA48" s="696"/>
      <c r="AB48" s="696"/>
      <c r="AC48" s="696"/>
      <c r="AD48" s="697"/>
    </row>
    <row r="49" spans="3:30">
      <c r="C49" s="450"/>
      <c r="D49" s="453"/>
      <c r="E49" s="451"/>
      <c r="F49" s="451"/>
      <c r="G49" s="451"/>
      <c r="I49" s="451"/>
      <c r="J49" s="451"/>
      <c r="K49" s="451"/>
      <c r="L49" s="451"/>
      <c r="M49" s="451"/>
      <c r="R49" s="451"/>
      <c r="S49" s="451"/>
      <c r="T49" s="451"/>
      <c r="U49" s="451"/>
      <c r="V49" s="454"/>
      <c r="W49" s="696"/>
      <c r="X49" s="696"/>
      <c r="Y49" s="696"/>
      <c r="Z49" s="696"/>
      <c r="AA49" s="696"/>
      <c r="AB49" s="696"/>
      <c r="AC49" s="696"/>
      <c r="AD49" s="697"/>
    </row>
    <row r="50" spans="3:30">
      <c r="C50" s="450"/>
      <c r="D50" s="455"/>
      <c r="E50" s="455"/>
      <c r="F50" s="455"/>
      <c r="G50" s="455"/>
      <c r="I50" s="451"/>
      <c r="J50" s="451"/>
      <c r="K50" s="451"/>
      <c r="L50" s="451"/>
      <c r="M50" s="451"/>
      <c r="N50" s="451"/>
      <c r="O50" s="451"/>
      <c r="P50" s="451"/>
      <c r="Q50" s="451"/>
      <c r="R50" s="451"/>
      <c r="S50" s="451"/>
      <c r="T50" s="451"/>
      <c r="U50" s="451"/>
      <c r="V50" s="454"/>
      <c r="W50" s="696"/>
      <c r="X50" s="696"/>
      <c r="Y50" s="696"/>
      <c r="Z50" s="696"/>
      <c r="AA50" s="696"/>
      <c r="AB50" s="696"/>
      <c r="AC50" s="696"/>
      <c r="AD50" s="697"/>
    </row>
    <row r="51" spans="3:30" ht="19.5" customHeight="1">
      <c r="C51" s="450"/>
      <c r="D51" s="455"/>
      <c r="E51" s="455"/>
      <c r="F51" s="455"/>
      <c r="G51" s="455"/>
      <c r="I51" s="451"/>
      <c r="J51" s="451"/>
      <c r="K51" s="451"/>
      <c r="L51" s="451"/>
      <c r="M51" s="451"/>
      <c r="N51" s="451"/>
      <c r="O51" s="451"/>
      <c r="P51" s="451"/>
      <c r="Q51" s="451"/>
      <c r="R51" s="451"/>
      <c r="S51" s="451"/>
      <c r="T51" s="451"/>
      <c r="U51" s="451"/>
      <c r="V51" s="454"/>
      <c r="W51" s="698"/>
      <c r="X51" s="698"/>
      <c r="Y51" s="698"/>
      <c r="Z51" s="698"/>
      <c r="AA51" s="698"/>
      <c r="AB51" s="698"/>
      <c r="AC51" s="698"/>
      <c r="AD51" s="699"/>
    </row>
    <row r="52" spans="3:30">
      <c r="C52" s="450"/>
      <c r="D52" s="456"/>
      <c r="E52" s="456"/>
      <c r="F52" s="456"/>
      <c r="G52" s="456"/>
      <c r="I52" s="451"/>
      <c r="J52" s="451"/>
      <c r="K52" s="451"/>
      <c r="L52" s="422"/>
      <c r="M52" s="451"/>
      <c r="N52" s="451"/>
      <c r="O52" s="451"/>
      <c r="P52" s="451"/>
      <c r="Q52" s="451"/>
      <c r="R52" s="451"/>
      <c r="S52" s="451"/>
      <c r="T52" s="451"/>
      <c r="U52" s="451"/>
      <c r="V52" s="449"/>
      <c r="W52" s="689" t="s">
        <v>18</v>
      </c>
      <c r="X52" s="675"/>
      <c r="Y52" s="645" t="s">
        <v>1622</v>
      </c>
      <c r="Z52" s="645"/>
      <c r="AA52" s="645"/>
      <c r="AB52" s="645"/>
      <c r="AC52" s="645"/>
      <c r="AD52" s="646"/>
    </row>
    <row r="53" spans="3:30">
      <c r="C53" s="450"/>
      <c r="D53" s="455"/>
      <c r="E53" s="455"/>
      <c r="F53" s="455"/>
      <c r="G53" s="455"/>
      <c r="I53" s="451"/>
      <c r="J53" s="451"/>
      <c r="K53" s="451"/>
      <c r="L53" s="451"/>
      <c r="M53" s="451"/>
      <c r="N53" s="451"/>
      <c r="O53" s="451"/>
      <c r="P53" s="451"/>
      <c r="Q53" s="451"/>
      <c r="R53" s="451"/>
      <c r="S53" s="451"/>
      <c r="T53" s="451"/>
      <c r="V53" s="449"/>
      <c r="W53" s="689" t="s">
        <v>19</v>
      </c>
      <c r="X53" s="675"/>
      <c r="Y53" s="645" t="s">
        <v>1621</v>
      </c>
      <c r="Z53" s="645"/>
      <c r="AA53" s="645"/>
      <c r="AB53" s="645"/>
      <c r="AC53" s="645"/>
      <c r="AD53" s="646"/>
    </row>
    <row r="54" spans="3:30">
      <c r="C54" s="450"/>
      <c r="D54" s="423"/>
      <c r="E54" s="423"/>
      <c r="F54" s="423"/>
      <c r="G54" s="423"/>
      <c r="I54" s="451"/>
      <c r="J54" s="451"/>
      <c r="K54" s="451"/>
      <c r="L54" s="451"/>
      <c r="M54" s="451"/>
      <c r="N54" s="451"/>
      <c r="O54" s="451"/>
      <c r="P54" s="451"/>
      <c r="Q54" s="451"/>
      <c r="R54" s="451"/>
      <c r="S54" s="451"/>
      <c r="T54" s="451"/>
      <c r="V54" s="449"/>
      <c r="W54" s="689" t="s">
        <v>20</v>
      </c>
      <c r="X54" s="675"/>
      <c r="Y54" s="645" t="s">
        <v>1621</v>
      </c>
      <c r="Z54" s="645"/>
      <c r="AA54" s="645"/>
      <c r="AB54" s="645"/>
      <c r="AC54" s="645"/>
      <c r="AD54" s="646"/>
    </row>
    <row r="55" spans="3:30" ht="12.75" thickBot="1">
      <c r="C55" s="457"/>
      <c r="D55" s="458"/>
      <c r="E55" s="458"/>
      <c r="F55" s="458"/>
      <c r="G55" s="458"/>
      <c r="H55" s="458"/>
      <c r="I55" s="458"/>
      <c r="J55" s="458"/>
      <c r="K55" s="458"/>
      <c r="L55" s="458"/>
      <c r="M55" s="458"/>
      <c r="N55" s="458"/>
      <c r="O55" s="458"/>
      <c r="P55" s="458"/>
      <c r="Q55" s="458"/>
      <c r="R55" s="458"/>
      <c r="S55" s="458"/>
      <c r="T55" s="458"/>
      <c r="U55" s="459"/>
      <c r="V55" s="460"/>
      <c r="W55" s="690" t="s">
        <v>21</v>
      </c>
      <c r="X55" s="691"/>
      <c r="Y55" s="692" t="s">
        <v>1620</v>
      </c>
      <c r="Z55" s="692"/>
      <c r="AA55" s="692"/>
      <c r="AB55" s="692"/>
      <c r="AC55" s="692"/>
      <c r="AD55" s="693"/>
    </row>
  </sheetData>
  <mergeCells count="106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W32:X32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9878C-DF59-44D3-8EEC-EEC87C85D20D}">
  <sheetPr>
    <tabColor rgb="FFFF66FF"/>
  </sheetPr>
  <dimension ref="B1:AE122"/>
  <sheetViews>
    <sheetView view="pageBreakPreview" topLeftCell="A3" zoomScale="47" zoomScaleNormal="40" zoomScaleSheetLayoutView="103" workbookViewId="0">
      <selection activeCell="AB36" sqref="AB36"/>
    </sheetView>
  </sheetViews>
  <sheetFormatPr defaultColWidth="9.140625" defaultRowHeight="12.75"/>
  <cols>
    <col min="1" max="1" width="1.7109375" style="461" customWidth="1"/>
    <col min="2" max="2" width="10.7109375" style="461" customWidth="1"/>
    <col min="3" max="3" width="2.5703125" style="461" customWidth="1"/>
    <col min="4" max="20" width="9.140625" style="461"/>
    <col min="21" max="21" width="14.5703125" style="461" customWidth="1"/>
    <col min="22" max="22" width="3.140625" style="461" customWidth="1"/>
    <col min="23" max="26" width="9.140625" style="461"/>
    <col min="27" max="27" width="2.85546875" style="461" customWidth="1"/>
    <col min="28" max="30" width="4.7109375" style="461" customWidth="1"/>
    <col min="31" max="31" width="1.7109375" style="461" customWidth="1"/>
    <col min="32" max="16384" width="9.140625" style="461"/>
  </cols>
  <sheetData>
    <row r="1" spans="2:31" ht="13.5" thickBot="1"/>
    <row r="2" spans="2:31" ht="13.5" thickBot="1">
      <c r="B2" s="462"/>
      <c r="C2" s="463"/>
      <c r="D2" s="463"/>
      <c r="E2" s="463"/>
      <c r="F2" s="463"/>
      <c r="G2" s="463"/>
      <c r="H2" s="463"/>
      <c r="I2" s="463"/>
      <c r="J2" s="463"/>
      <c r="K2" s="463"/>
      <c r="L2" s="463"/>
      <c r="M2" s="463"/>
      <c r="N2" s="463"/>
      <c r="O2" s="463"/>
      <c r="P2" s="463"/>
      <c r="Q2" s="463"/>
      <c r="R2" s="463"/>
      <c r="S2" s="463"/>
      <c r="T2" s="463"/>
      <c r="U2" s="463"/>
      <c r="V2" s="463"/>
      <c r="W2" s="463"/>
      <c r="X2" s="463"/>
      <c r="Y2" s="463"/>
      <c r="Z2" s="463"/>
      <c r="AA2" s="463"/>
      <c r="AB2" s="463"/>
      <c r="AC2" s="463"/>
      <c r="AD2" s="464"/>
      <c r="AE2" s="465"/>
    </row>
    <row r="3" spans="2:31" ht="12.75" customHeight="1" thickTop="1">
      <c r="B3" s="466"/>
      <c r="C3" s="700" t="s">
        <v>1618</v>
      </c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701"/>
      <c r="U3" s="701"/>
      <c r="V3" s="701"/>
      <c r="W3" s="701"/>
      <c r="X3" s="701"/>
      <c r="Y3" s="701"/>
      <c r="Z3" s="701"/>
      <c r="AA3" s="701"/>
      <c r="AB3" s="702"/>
      <c r="AC3" s="467"/>
      <c r="AD3" s="465"/>
      <c r="AE3" s="465"/>
    </row>
    <row r="4" spans="2:31" ht="13.5" customHeight="1" thickBot="1">
      <c r="B4" s="466"/>
      <c r="C4" s="703"/>
      <c r="D4" s="704"/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5"/>
      <c r="AC4" s="467"/>
      <c r="AD4" s="465"/>
      <c r="AE4" s="465"/>
    </row>
    <row r="5" spans="2:31" ht="12.75" customHeight="1" thickTop="1">
      <c r="B5" s="466"/>
      <c r="C5" s="468"/>
      <c r="AD5" s="465"/>
      <c r="AE5" s="465"/>
    </row>
    <row r="6" spans="2:31" ht="12.75" customHeight="1">
      <c r="B6" s="466"/>
      <c r="Y6" s="469"/>
      <c r="Z6" s="469"/>
      <c r="AA6" s="469"/>
      <c r="AB6" s="470"/>
      <c r="AC6" s="470"/>
      <c r="AD6" s="465"/>
      <c r="AE6" s="465"/>
    </row>
    <row r="7" spans="2:31" ht="12.75" customHeight="1">
      <c r="B7" s="466"/>
      <c r="Y7" s="469"/>
      <c r="Z7" s="469"/>
      <c r="AA7" s="469"/>
      <c r="AB7" s="470"/>
      <c r="AC7" s="470"/>
      <c r="AD7" s="465"/>
      <c r="AE7" s="465"/>
    </row>
    <row r="8" spans="2:31" ht="12.75" customHeight="1">
      <c r="B8" s="466"/>
      <c r="AD8" s="465"/>
      <c r="AE8" s="465"/>
    </row>
    <row r="9" spans="2:31" ht="12.75" customHeight="1">
      <c r="B9" s="466"/>
      <c r="AD9" s="465"/>
      <c r="AE9" s="465"/>
    </row>
    <row r="10" spans="2:31">
      <c r="B10" s="466"/>
      <c r="AD10" s="465"/>
      <c r="AE10" s="465"/>
    </row>
    <row r="11" spans="2:31">
      <c r="B11" s="466"/>
      <c r="AD11" s="465"/>
      <c r="AE11" s="465"/>
    </row>
    <row r="12" spans="2:31">
      <c r="B12" s="466"/>
      <c r="AD12" s="465"/>
      <c r="AE12" s="465"/>
    </row>
    <row r="13" spans="2:31">
      <c r="B13" s="466"/>
      <c r="AD13" s="465"/>
      <c r="AE13" s="465"/>
    </row>
    <row r="14" spans="2:31">
      <c r="B14" s="466"/>
      <c r="D14" s="471"/>
      <c r="AD14" s="465"/>
      <c r="AE14" s="465"/>
    </row>
    <row r="15" spans="2:31">
      <c r="B15" s="466"/>
      <c r="AD15" s="465"/>
      <c r="AE15" s="465"/>
    </row>
    <row r="16" spans="2:31">
      <c r="B16" s="466"/>
      <c r="AD16" s="465"/>
      <c r="AE16" s="465"/>
    </row>
    <row r="17" spans="2:31">
      <c r="B17" s="466"/>
      <c r="AD17" s="465"/>
      <c r="AE17" s="465"/>
    </row>
    <row r="18" spans="2:31">
      <c r="B18" s="466"/>
      <c r="AD18" s="465"/>
      <c r="AE18" s="465"/>
    </row>
    <row r="19" spans="2:31">
      <c r="B19" s="466"/>
      <c r="AD19" s="465"/>
      <c r="AE19" s="465"/>
    </row>
    <row r="20" spans="2:31">
      <c r="B20" s="466"/>
      <c r="AD20" s="465"/>
      <c r="AE20" s="465"/>
    </row>
    <row r="21" spans="2:31">
      <c r="B21" s="466"/>
      <c r="AD21" s="465"/>
      <c r="AE21" s="465"/>
    </row>
    <row r="22" spans="2:31">
      <c r="B22" s="466"/>
      <c r="AD22" s="465"/>
      <c r="AE22" s="465"/>
    </row>
    <row r="23" spans="2:31">
      <c r="B23" s="466"/>
      <c r="AD23" s="465"/>
      <c r="AE23" s="465"/>
    </row>
    <row r="24" spans="2:31">
      <c r="B24" s="466"/>
      <c r="AD24" s="465"/>
      <c r="AE24" s="465"/>
    </row>
    <row r="25" spans="2:31">
      <c r="B25" s="466"/>
      <c r="AD25" s="465"/>
      <c r="AE25" s="465"/>
    </row>
    <row r="26" spans="2:31">
      <c r="B26" s="466"/>
      <c r="AD26" s="465"/>
      <c r="AE26" s="465"/>
    </row>
    <row r="27" spans="2:31">
      <c r="B27" s="466"/>
      <c r="AD27" s="465"/>
      <c r="AE27" s="465"/>
    </row>
    <row r="28" spans="2:31">
      <c r="B28" s="466"/>
      <c r="AD28" s="465"/>
      <c r="AE28" s="465"/>
    </row>
    <row r="29" spans="2:31">
      <c r="B29" s="466"/>
      <c r="AD29" s="465"/>
      <c r="AE29" s="465"/>
    </row>
    <row r="30" spans="2:31">
      <c r="B30" s="466"/>
      <c r="AD30" s="465"/>
      <c r="AE30" s="465"/>
    </row>
    <row r="31" spans="2:31">
      <c r="B31" s="466"/>
      <c r="AD31" s="465"/>
      <c r="AE31" s="465"/>
    </row>
    <row r="32" spans="2:31">
      <c r="B32" s="466"/>
      <c r="AD32" s="465"/>
      <c r="AE32" s="465"/>
    </row>
    <row r="33" spans="2:31">
      <c r="B33" s="466"/>
      <c r="AD33" s="465"/>
      <c r="AE33" s="465"/>
    </row>
    <row r="34" spans="2:31">
      <c r="B34" s="466"/>
      <c r="AD34" s="465"/>
      <c r="AE34" s="465"/>
    </row>
    <row r="35" spans="2:31">
      <c r="B35" s="466"/>
      <c r="AD35" s="465"/>
      <c r="AE35" s="465"/>
    </row>
    <row r="36" spans="2:31">
      <c r="B36" s="466"/>
      <c r="AD36" s="465"/>
      <c r="AE36" s="465"/>
    </row>
    <row r="37" spans="2:31">
      <c r="B37" s="466"/>
      <c r="AD37" s="465"/>
      <c r="AE37" s="465"/>
    </row>
    <row r="38" spans="2:31">
      <c r="B38" s="466"/>
      <c r="AD38" s="465"/>
      <c r="AE38" s="465"/>
    </row>
    <row r="39" spans="2:31">
      <c r="B39" s="466"/>
      <c r="AD39" s="465"/>
      <c r="AE39" s="465"/>
    </row>
    <row r="40" spans="2:31">
      <c r="B40" s="466"/>
      <c r="AD40" s="465"/>
      <c r="AE40" s="465"/>
    </row>
    <row r="41" spans="2:31">
      <c r="B41" s="466"/>
      <c r="AD41" s="465"/>
      <c r="AE41" s="465"/>
    </row>
    <row r="42" spans="2:31">
      <c r="B42" s="466"/>
      <c r="AD42" s="465"/>
      <c r="AE42" s="465"/>
    </row>
    <row r="43" spans="2:31">
      <c r="B43" s="466"/>
      <c r="AD43" s="465"/>
      <c r="AE43" s="465"/>
    </row>
    <row r="44" spans="2:31">
      <c r="B44" s="466"/>
      <c r="AD44" s="465"/>
      <c r="AE44" s="465"/>
    </row>
    <row r="45" spans="2:31">
      <c r="B45" s="466"/>
      <c r="AD45" s="465"/>
      <c r="AE45" s="465"/>
    </row>
    <row r="46" spans="2:31">
      <c r="B46" s="466"/>
      <c r="AD46" s="465"/>
      <c r="AE46" s="465"/>
    </row>
    <row r="47" spans="2:31">
      <c r="B47" s="466"/>
      <c r="AD47" s="465"/>
      <c r="AE47" s="465"/>
    </row>
    <row r="48" spans="2:31">
      <c r="B48" s="466"/>
      <c r="AD48" s="465"/>
      <c r="AE48" s="465"/>
    </row>
    <row r="49" spans="2:31">
      <c r="B49" s="466"/>
      <c r="AD49" s="465"/>
      <c r="AE49" s="465"/>
    </row>
    <row r="50" spans="2:31">
      <c r="B50" s="466"/>
      <c r="AD50" s="465"/>
      <c r="AE50" s="465"/>
    </row>
    <row r="51" spans="2:31">
      <c r="B51" s="466"/>
      <c r="AD51" s="465"/>
      <c r="AE51" s="465"/>
    </row>
    <row r="52" spans="2:31">
      <c r="B52" s="466"/>
      <c r="AD52" s="465"/>
      <c r="AE52" s="465"/>
    </row>
    <row r="53" spans="2:31">
      <c r="B53" s="466"/>
      <c r="AD53" s="465"/>
      <c r="AE53" s="465"/>
    </row>
    <row r="54" spans="2:31">
      <c r="B54" s="466"/>
      <c r="AD54" s="465"/>
      <c r="AE54" s="465"/>
    </row>
    <row r="55" spans="2:31">
      <c r="B55" s="466"/>
      <c r="AD55" s="465"/>
      <c r="AE55" s="465"/>
    </row>
    <row r="56" spans="2:31">
      <c r="B56" s="466"/>
      <c r="R56" s="472"/>
      <c r="S56" s="472"/>
      <c r="T56" s="472"/>
      <c r="U56" s="473"/>
      <c r="V56" s="473"/>
      <c r="W56" s="473"/>
      <c r="X56" s="473"/>
      <c r="Y56" s="473"/>
      <c r="Z56" s="473"/>
      <c r="AA56" s="473"/>
      <c r="AB56" s="473"/>
      <c r="AC56" s="473"/>
      <c r="AD56" s="474"/>
      <c r="AE56" s="465"/>
    </row>
    <row r="57" spans="2:31">
      <c r="B57" s="466"/>
      <c r="R57" s="475"/>
      <c r="S57" s="472"/>
      <c r="T57" s="472"/>
      <c r="U57" s="473"/>
      <c r="V57" s="476"/>
      <c r="W57" s="473"/>
      <c r="X57" s="473"/>
      <c r="Y57" s="473"/>
      <c r="Z57" s="473"/>
      <c r="AA57" s="476"/>
      <c r="AB57" s="476"/>
      <c r="AC57" s="476"/>
      <c r="AD57" s="477"/>
      <c r="AE57" s="465"/>
    </row>
    <row r="58" spans="2:31">
      <c r="B58" s="466"/>
      <c r="U58" s="473"/>
      <c r="V58" s="476"/>
      <c r="W58" s="473"/>
      <c r="X58" s="473"/>
      <c r="Y58" s="473"/>
      <c r="Z58" s="473"/>
      <c r="AA58" s="476"/>
      <c r="AB58" s="473"/>
      <c r="AC58" s="473"/>
      <c r="AD58" s="474"/>
      <c r="AE58" s="465"/>
    </row>
    <row r="59" spans="2:31">
      <c r="B59" s="466"/>
      <c r="U59" s="473"/>
      <c r="V59" s="476"/>
      <c r="W59" s="473"/>
      <c r="X59" s="473"/>
      <c r="Y59" s="473"/>
      <c r="Z59" s="473"/>
      <c r="AA59" s="473"/>
      <c r="AB59" s="473"/>
      <c r="AC59" s="473"/>
      <c r="AD59" s="474"/>
      <c r="AE59" s="465"/>
    </row>
    <row r="60" spans="2:31">
      <c r="B60" s="466"/>
      <c r="U60" s="473"/>
      <c r="V60" s="476"/>
      <c r="W60" s="473"/>
      <c r="X60" s="473"/>
      <c r="Y60" s="473"/>
      <c r="Z60" s="473"/>
      <c r="AA60" s="473"/>
      <c r="AB60" s="473"/>
      <c r="AC60" s="473"/>
      <c r="AD60" s="474"/>
      <c r="AE60" s="465"/>
    </row>
    <row r="61" spans="2:31">
      <c r="B61" s="466"/>
      <c r="U61" s="473"/>
      <c r="V61" s="476"/>
      <c r="W61" s="473"/>
      <c r="X61" s="473"/>
      <c r="Y61" s="473"/>
      <c r="Z61" s="473"/>
      <c r="AA61" s="473"/>
      <c r="AB61" s="473"/>
      <c r="AC61" s="473"/>
      <c r="AD61" s="474"/>
      <c r="AE61" s="465"/>
    </row>
    <row r="62" spans="2:31">
      <c r="B62" s="466"/>
      <c r="U62" s="473"/>
      <c r="V62" s="476"/>
      <c r="W62" s="473"/>
      <c r="X62" s="473"/>
      <c r="Y62" s="473"/>
      <c r="Z62" s="473"/>
      <c r="AA62" s="476"/>
      <c r="AB62" s="473"/>
      <c r="AC62" s="473"/>
      <c r="AD62" s="474"/>
      <c r="AE62" s="465"/>
    </row>
    <row r="63" spans="2:31">
      <c r="B63" s="466"/>
      <c r="U63" s="473"/>
      <c r="V63" s="476"/>
      <c r="W63" s="473"/>
      <c r="X63" s="473"/>
      <c r="Y63" s="473"/>
      <c r="Z63" s="473"/>
      <c r="AA63" s="473"/>
      <c r="AB63" s="473"/>
      <c r="AC63" s="473"/>
      <c r="AD63" s="474"/>
      <c r="AE63" s="465"/>
    </row>
    <row r="64" spans="2:31">
      <c r="B64" s="466"/>
      <c r="U64" s="473"/>
      <c r="V64" s="476"/>
      <c r="W64" s="473"/>
      <c r="X64" s="473"/>
      <c r="Y64" s="473"/>
      <c r="Z64" s="473"/>
      <c r="AA64" s="473"/>
      <c r="AB64" s="473"/>
      <c r="AC64" s="473"/>
      <c r="AD64" s="474"/>
      <c r="AE64" s="465"/>
    </row>
    <row r="65" spans="2:31">
      <c r="B65" s="466"/>
      <c r="U65" s="473"/>
      <c r="V65" s="476"/>
      <c r="W65" s="473"/>
      <c r="X65" s="473"/>
      <c r="Y65" s="473"/>
      <c r="Z65" s="473"/>
      <c r="AA65" s="473"/>
      <c r="AB65" s="473"/>
      <c r="AC65" s="473"/>
      <c r="AD65" s="474"/>
      <c r="AE65" s="465"/>
    </row>
    <row r="66" spans="2:31">
      <c r="B66" s="466"/>
      <c r="U66" s="473"/>
      <c r="V66" s="476"/>
      <c r="W66" s="473"/>
      <c r="X66" s="473"/>
      <c r="Y66" s="473"/>
      <c r="Z66" s="473"/>
      <c r="AA66" s="473"/>
      <c r="AB66" s="473"/>
      <c r="AC66" s="473"/>
      <c r="AD66" s="474"/>
      <c r="AE66" s="465"/>
    </row>
    <row r="67" spans="2:31" ht="13.5" thickBot="1">
      <c r="B67" s="478"/>
      <c r="C67" s="479"/>
      <c r="D67" s="479"/>
      <c r="E67" s="479"/>
      <c r="F67" s="479"/>
      <c r="G67" s="479"/>
      <c r="H67" s="479"/>
      <c r="I67" s="479"/>
      <c r="J67" s="479"/>
      <c r="K67" s="479"/>
      <c r="L67" s="479"/>
      <c r="M67" s="479"/>
      <c r="N67" s="479"/>
      <c r="O67" s="479"/>
      <c r="P67" s="479"/>
      <c r="Q67" s="479"/>
      <c r="R67" s="479"/>
      <c r="S67" s="479"/>
      <c r="T67" s="479"/>
      <c r="U67" s="480"/>
      <c r="V67" s="481"/>
      <c r="W67" s="480"/>
      <c r="X67" s="480"/>
      <c r="Y67" s="480"/>
      <c r="Z67" s="480"/>
      <c r="AA67" s="480"/>
      <c r="AB67" s="480"/>
      <c r="AC67" s="480"/>
      <c r="AD67" s="482"/>
      <c r="AE67" s="465"/>
    </row>
    <row r="68" spans="2:31" ht="6" customHeight="1" thickBot="1">
      <c r="B68" s="479"/>
      <c r="C68" s="479"/>
      <c r="D68" s="479"/>
      <c r="E68" s="479"/>
      <c r="F68" s="479"/>
      <c r="G68" s="479"/>
      <c r="H68" s="479"/>
      <c r="I68" s="479"/>
      <c r="J68" s="479"/>
      <c r="K68" s="479"/>
      <c r="L68" s="479"/>
      <c r="M68" s="479"/>
      <c r="N68" s="479"/>
      <c r="O68" s="479"/>
      <c r="P68" s="479"/>
      <c r="Q68" s="479"/>
      <c r="R68" s="479"/>
      <c r="S68" s="479"/>
      <c r="T68" s="479"/>
      <c r="U68" s="479"/>
      <c r="V68" s="479"/>
      <c r="W68" s="479"/>
      <c r="X68" s="479"/>
      <c r="Y68" s="479"/>
      <c r="Z68" s="479"/>
      <c r="AA68" s="479"/>
      <c r="AB68" s="479"/>
      <c r="AC68" s="479"/>
      <c r="AD68" s="479"/>
      <c r="AE68" s="483"/>
    </row>
    <row r="75" spans="2:31">
      <c r="M75" s="484"/>
    </row>
    <row r="76" spans="2:31" ht="15" customHeight="1">
      <c r="E76" s="485"/>
      <c r="M76" s="484"/>
    </row>
    <row r="77" spans="2:31" ht="15" customHeight="1">
      <c r="E77" s="485"/>
      <c r="M77" s="484"/>
    </row>
    <row r="78" spans="2:31" ht="15" customHeight="1">
      <c r="E78" s="485"/>
      <c r="M78" s="484"/>
    </row>
    <row r="79" spans="2:31" ht="15" customHeight="1">
      <c r="E79" s="485"/>
      <c r="M79" s="484"/>
    </row>
    <row r="80" spans="2:31" ht="15" customHeight="1">
      <c r="E80" s="485"/>
      <c r="M80" s="484"/>
    </row>
    <row r="81" spans="5:13" ht="15" customHeight="1">
      <c r="E81" s="485"/>
      <c r="M81" s="484"/>
    </row>
    <row r="82" spans="5:13" ht="15" customHeight="1">
      <c r="E82" s="485"/>
      <c r="M82" s="484"/>
    </row>
    <row r="83" spans="5:13" ht="15" customHeight="1">
      <c r="E83" s="485"/>
      <c r="M83" s="484"/>
    </row>
    <row r="84" spans="5:13" ht="15" customHeight="1">
      <c r="E84" s="485"/>
      <c r="M84" s="484"/>
    </row>
    <row r="85" spans="5:13" ht="15" customHeight="1">
      <c r="E85" s="485"/>
      <c r="M85" s="484"/>
    </row>
    <row r="86" spans="5:13" ht="15" customHeight="1">
      <c r="E86" s="485"/>
      <c r="M86" s="484"/>
    </row>
    <row r="87" spans="5:13" ht="15" customHeight="1">
      <c r="E87" s="485"/>
      <c r="M87" s="484"/>
    </row>
    <row r="88" spans="5:13" ht="15" customHeight="1">
      <c r="E88" s="485"/>
      <c r="M88" s="484"/>
    </row>
    <row r="89" spans="5:13" ht="15" customHeight="1">
      <c r="E89" s="485"/>
      <c r="M89" s="484"/>
    </row>
    <row r="90" spans="5:13" ht="15" customHeight="1">
      <c r="E90" s="485"/>
      <c r="M90" s="484"/>
    </row>
    <row r="91" spans="5:13" ht="15" customHeight="1">
      <c r="E91" s="485"/>
      <c r="M91" s="484"/>
    </row>
    <row r="92" spans="5:13" ht="15" customHeight="1">
      <c r="E92" s="485"/>
      <c r="M92" s="484"/>
    </row>
    <row r="93" spans="5:13" ht="15" customHeight="1">
      <c r="E93" s="485"/>
      <c r="M93" s="484"/>
    </row>
    <row r="94" spans="5:13" ht="15" customHeight="1">
      <c r="E94" s="485"/>
      <c r="M94" s="484"/>
    </row>
    <row r="95" spans="5:13" ht="15" customHeight="1">
      <c r="E95" s="485"/>
      <c r="M95" s="484"/>
    </row>
    <row r="96" spans="5:13" ht="15" customHeight="1">
      <c r="E96" s="485"/>
      <c r="M96" s="484"/>
    </row>
    <row r="97" spans="5:13" ht="15" customHeight="1">
      <c r="E97" s="485"/>
      <c r="M97" s="484"/>
    </row>
    <row r="98" spans="5:13" ht="15" customHeight="1">
      <c r="E98" s="485"/>
    </row>
    <row r="99" spans="5:13" ht="15" customHeight="1">
      <c r="E99" s="485"/>
    </row>
    <row r="100" spans="5:13" ht="15" customHeight="1">
      <c r="E100" s="485"/>
    </row>
    <row r="101" spans="5:13" ht="15" customHeight="1">
      <c r="E101" s="485"/>
    </row>
    <row r="102" spans="5:13" ht="15" customHeight="1">
      <c r="E102" s="485"/>
    </row>
    <row r="103" spans="5:13" ht="15" customHeight="1">
      <c r="E103" s="485"/>
    </row>
    <row r="104" spans="5:13" ht="15" customHeight="1">
      <c r="E104" s="485"/>
    </row>
    <row r="105" spans="5:13" ht="15" customHeight="1">
      <c r="E105" s="485"/>
    </row>
    <row r="106" spans="5:13" ht="15" customHeight="1">
      <c r="E106" s="485"/>
    </row>
    <row r="107" spans="5:13" ht="15" customHeight="1">
      <c r="E107" s="485"/>
    </row>
    <row r="108" spans="5:13" ht="15" customHeight="1">
      <c r="E108" s="485"/>
    </row>
    <row r="109" spans="5:13" ht="15" customHeight="1">
      <c r="E109" s="485"/>
    </row>
    <row r="110" spans="5:13" ht="15" customHeight="1">
      <c r="E110" s="485"/>
    </row>
    <row r="111" spans="5:13" ht="15" customHeight="1">
      <c r="E111" s="485"/>
    </row>
    <row r="112" spans="5:13" ht="15" customHeight="1">
      <c r="E112" s="485"/>
    </row>
    <row r="113" spans="5:5" ht="15" customHeight="1">
      <c r="E113" s="485"/>
    </row>
    <row r="114" spans="5:5" ht="15" customHeight="1">
      <c r="E114" s="485"/>
    </row>
    <row r="115" spans="5:5" ht="15" customHeight="1">
      <c r="E115" s="485"/>
    </row>
    <row r="116" spans="5:5" ht="15" customHeight="1">
      <c r="E116" s="485"/>
    </row>
    <row r="117" spans="5:5" ht="15" customHeight="1">
      <c r="E117" s="485"/>
    </row>
    <row r="118" spans="5:5" ht="15" customHeight="1">
      <c r="E118" s="485"/>
    </row>
    <row r="119" spans="5:5" ht="15" customHeight="1">
      <c r="E119" s="485"/>
    </row>
    <row r="120" spans="5:5" ht="15" customHeight="1">
      <c r="E120" s="485"/>
    </row>
    <row r="121" spans="5:5" ht="15" customHeight="1">
      <c r="E121" s="485"/>
    </row>
    <row r="122" spans="5:5">
      <c r="E122" s="485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3A406-8299-45EF-BF9E-BAA3701D9C31}">
  <sheetPr>
    <tabColor rgb="FF92D050"/>
  </sheetPr>
  <dimension ref="B1:AF122"/>
  <sheetViews>
    <sheetView zoomScale="43" zoomScaleNormal="130" zoomScaleSheetLayoutView="40" workbookViewId="0">
      <selection activeCell="AD36" sqref="AD36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06" t="s">
        <v>1619</v>
      </c>
      <c r="E4" s="707"/>
      <c r="F4" s="707"/>
      <c r="G4" s="707"/>
      <c r="H4" s="707"/>
      <c r="I4" s="707"/>
      <c r="J4" s="707"/>
      <c r="K4" s="707"/>
      <c r="L4" s="707"/>
      <c r="M4" s="707"/>
      <c r="N4" s="707"/>
      <c r="O4" s="707"/>
      <c r="P4" s="707"/>
      <c r="Q4" s="707"/>
      <c r="R4" s="707"/>
      <c r="S4" s="707"/>
      <c r="T4" s="707"/>
      <c r="U4" s="707"/>
      <c r="V4" s="707"/>
      <c r="W4" s="707"/>
      <c r="X4" s="707"/>
      <c r="Y4" s="707"/>
      <c r="Z4" s="707"/>
      <c r="AA4" s="707"/>
      <c r="AB4" s="707"/>
      <c r="AC4" s="708"/>
      <c r="AD4" s="206"/>
      <c r="AE4" s="205"/>
      <c r="AF4" s="205"/>
    </row>
    <row r="5" spans="2:32" ht="13.5" customHeight="1" thickBot="1">
      <c r="B5" s="204"/>
      <c r="C5" s="204"/>
      <c r="D5" s="709"/>
      <c r="E5" s="710"/>
      <c r="F5" s="710"/>
      <c r="G5" s="710"/>
      <c r="H5" s="710"/>
      <c r="I5" s="710"/>
      <c r="J5" s="710"/>
      <c r="K5" s="710"/>
      <c r="L5" s="710"/>
      <c r="M5" s="710"/>
      <c r="N5" s="710"/>
      <c r="O5" s="710"/>
      <c r="P5" s="710"/>
      <c r="Q5" s="710"/>
      <c r="R5" s="710"/>
      <c r="S5" s="710"/>
      <c r="T5" s="710"/>
      <c r="U5" s="710"/>
      <c r="V5" s="710"/>
      <c r="W5" s="710"/>
      <c r="X5" s="710"/>
      <c r="Y5" s="710"/>
      <c r="Z5" s="710"/>
      <c r="AA5" s="710"/>
      <c r="AB5" s="710"/>
      <c r="AC5" s="711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95"/>
    </row>
    <row r="76" spans="2:32" ht="15" customHeight="1">
      <c r="F76" s="496"/>
      <c r="N76" s="495"/>
    </row>
    <row r="77" spans="2:32" ht="15" customHeight="1">
      <c r="F77" s="496"/>
      <c r="N77" s="495"/>
    </row>
    <row r="78" spans="2:32" ht="15" customHeight="1">
      <c r="F78" s="496"/>
      <c r="N78" s="495"/>
    </row>
    <row r="79" spans="2:32" ht="15" customHeight="1">
      <c r="F79" s="496"/>
      <c r="N79" s="495"/>
    </row>
    <row r="80" spans="2:32" ht="15" customHeight="1">
      <c r="F80" s="496"/>
      <c r="N80" s="495"/>
    </row>
    <row r="81" spans="6:14" ht="15" customHeight="1">
      <c r="F81" s="496"/>
      <c r="N81" s="495"/>
    </row>
    <row r="82" spans="6:14" ht="15" customHeight="1">
      <c r="F82" s="496"/>
      <c r="N82" s="495"/>
    </row>
    <row r="83" spans="6:14" ht="15" customHeight="1">
      <c r="F83" s="496"/>
      <c r="N83" s="495"/>
    </row>
    <row r="84" spans="6:14" ht="15" customHeight="1">
      <c r="F84" s="496"/>
      <c r="N84" s="495"/>
    </row>
    <row r="85" spans="6:14" ht="15" customHeight="1">
      <c r="F85" s="496"/>
      <c r="N85" s="495"/>
    </row>
    <row r="86" spans="6:14" ht="15" customHeight="1">
      <c r="F86" s="496"/>
      <c r="N86" s="495"/>
    </row>
    <row r="87" spans="6:14" ht="15" customHeight="1">
      <c r="F87" s="496"/>
      <c r="N87" s="495"/>
    </row>
    <row r="88" spans="6:14" ht="15" customHeight="1">
      <c r="F88" s="496"/>
      <c r="N88" s="495"/>
    </row>
    <row r="89" spans="6:14" ht="15" customHeight="1">
      <c r="F89" s="496"/>
      <c r="N89" s="495"/>
    </row>
    <row r="90" spans="6:14" ht="15" customHeight="1">
      <c r="F90" s="496"/>
      <c r="N90" s="495"/>
    </row>
    <row r="91" spans="6:14" ht="15" customHeight="1">
      <c r="F91" s="496"/>
      <c r="N91" s="495"/>
    </row>
    <row r="92" spans="6:14" ht="15" customHeight="1">
      <c r="F92" s="496"/>
      <c r="N92" s="495"/>
    </row>
    <row r="93" spans="6:14" ht="15" customHeight="1">
      <c r="F93" s="496"/>
      <c r="N93" s="495"/>
    </row>
    <row r="94" spans="6:14" ht="15" customHeight="1">
      <c r="F94" s="496"/>
      <c r="N94" s="495"/>
    </row>
    <row r="95" spans="6:14" ht="15" customHeight="1">
      <c r="F95" s="496"/>
      <c r="N95" s="495"/>
    </row>
    <row r="96" spans="6:14" ht="15" customHeight="1">
      <c r="F96" s="496"/>
      <c r="N96" s="495"/>
    </row>
    <row r="97" spans="6:14" ht="15" customHeight="1">
      <c r="F97" s="496"/>
      <c r="N97" s="495"/>
    </row>
    <row r="98" spans="6:14" ht="15" customHeight="1">
      <c r="F98" s="496"/>
    </row>
    <row r="99" spans="6:14" ht="15" customHeight="1">
      <c r="F99" s="496"/>
    </row>
    <row r="100" spans="6:14" ht="15" customHeight="1">
      <c r="F100" s="496"/>
    </row>
    <row r="101" spans="6:14" ht="15" customHeight="1">
      <c r="F101" s="496"/>
    </row>
    <row r="102" spans="6:14" ht="15" customHeight="1">
      <c r="F102" s="496"/>
    </row>
    <row r="103" spans="6:14" ht="15" customHeight="1">
      <c r="F103" s="496"/>
    </row>
    <row r="104" spans="6:14" ht="15" customHeight="1">
      <c r="F104" s="496"/>
    </row>
    <row r="105" spans="6:14" ht="15" customHeight="1">
      <c r="F105" s="496"/>
    </row>
    <row r="106" spans="6:14" ht="15" customHeight="1">
      <c r="F106" s="496"/>
    </row>
    <row r="107" spans="6:14" ht="15" customHeight="1">
      <c r="F107" s="496"/>
    </row>
    <row r="108" spans="6:14" ht="15" customHeight="1">
      <c r="F108" s="496"/>
    </row>
    <row r="109" spans="6:14" ht="15" customHeight="1">
      <c r="F109" s="496"/>
    </row>
    <row r="110" spans="6:14" ht="15" customHeight="1">
      <c r="F110" s="496"/>
    </row>
    <row r="111" spans="6:14" ht="15" customHeight="1">
      <c r="F111" s="496"/>
    </row>
    <row r="112" spans="6:14" ht="15" customHeight="1">
      <c r="F112" s="496"/>
    </row>
    <row r="113" spans="6:6" ht="15" customHeight="1">
      <c r="F113" s="496"/>
    </row>
    <row r="114" spans="6:6" ht="15" customHeight="1">
      <c r="F114" s="496"/>
    </row>
    <row r="115" spans="6:6" ht="15" customHeight="1">
      <c r="F115" s="496"/>
    </row>
    <row r="116" spans="6:6" ht="15" customHeight="1">
      <c r="F116" s="496"/>
    </row>
    <row r="117" spans="6:6" ht="15" customHeight="1">
      <c r="F117" s="496"/>
    </row>
    <row r="118" spans="6:6" ht="15" customHeight="1">
      <c r="F118" s="496"/>
    </row>
    <row r="119" spans="6:6" ht="15" customHeight="1">
      <c r="F119" s="496"/>
    </row>
    <row r="120" spans="6:6" ht="15" customHeight="1">
      <c r="F120" s="496"/>
    </row>
    <row r="121" spans="6:6" ht="15" customHeight="1">
      <c r="F121" s="496"/>
    </row>
    <row r="122" spans="6:6">
      <c r="F122" s="496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</vt:lpstr>
      <vt:lpstr>SLD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2023-10-10T07:23:54Z</dcterms:modified>
</cp:coreProperties>
</file>