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lara.narita\Downloads\"/>
    </mc:Choice>
  </mc:AlternateContent>
  <xr:revisionPtr revIDLastSave="0" documentId="13_ncr:1_{3EACA01C-55EE-4658-A6D0-8844DA8736C6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RAB!$A$1:$K$151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122" i="11" l="1"/>
  <c r="F121" i="11"/>
  <c r="F120" i="11"/>
  <c r="F119" i="11"/>
  <c r="F118" i="11"/>
  <c r="F91" i="11"/>
  <c r="F90" i="11"/>
  <c r="F89" i="11"/>
  <c r="F88" i="11"/>
  <c r="G17" i="11"/>
  <c r="D17" i="11"/>
  <c r="H17" i="11" s="1"/>
  <c r="E17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D50" i="11"/>
  <c r="H50" i="11" s="1"/>
  <c r="E50" i="11"/>
  <c r="D51" i="11"/>
  <c r="J51" i="11" s="1"/>
  <c r="E51" i="11"/>
  <c r="D52" i="11"/>
  <c r="I52" i="11" s="1"/>
  <c r="E52" i="11"/>
  <c r="D53" i="11"/>
  <c r="E53" i="11"/>
  <c r="D54" i="11"/>
  <c r="H54" i="11" s="1"/>
  <c r="E54" i="11"/>
  <c r="D55" i="11"/>
  <c r="J55" i="11" s="1"/>
  <c r="E55" i="11"/>
  <c r="D56" i="11"/>
  <c r="I56" i="11" s="1"/>
  <c r="E56" i="11"/>
  <c r="D57" i="11"/>
  <c r="H57" i="11" s="1"/>
  <c r="E57" i="11"/>
  <c r="D58" i="11"/>
  <c r="J58" i="11" s="1"/>
  <c r="E58" i="11"/>
  <c r="D59" i="11"/>
  <c r="J59" i="11" s="1"/>
  <c r="E59" i="11"/>
  <c r="D60" i="11"/>
  <c r="I60" i="11" s="1"/>
  <c r="E60" i="11"/>
  <c r="D61" i="11"/>
  <c r="H61" i="11" s="1"/>
  <c r="E61" i="11"/>
  <c r="D62" i="11"/>
  <c r="H62" i="11" s="1"/>
  <c r="E62" i="11"/>
  <c r="D63" i="11"/>
  <c r="J63" i="11" s="1"/>
  <c r="E63" i="11"/>
  <c r="D64" i="11"/>
  <c r="I64" i="11" s="1"/>
  <c r="E64" i="11"/>
  <c r="D65" i="11"/>
  <c r="H65" i="11" s="1"/>
  <c r="E65" i="11"/>
  <c r="D66" i="11"/>
  <c r="J66" i="11" s="1"/>
  <c r="E66" i="11"/>
  <c r="D67" i="11"/>
  <c r="J67" i="11" s="1"/>
  <c r="E67" i="11"/>
  <c r="D68" i="11"/>
  <c r="I68" i="11" s="1"/>
  <c r="E68" i="11"/>
  <c r="D69" i="11"/>
  <c r="E69" i="11"/>
  <c r="D70" i="11"/>
  <c r="H70" i="11" s="1"/>
  <c r="E70" i="11"/>
  <c r="D71" i="11"/>
  <c r="J71" i="11" s="1"/>
  <c r="E71" i="11"/>
  <c r="D72" i="11"/>
  <c r="I72" i="11" s="1"/>
  <c r="E72" i="11"/>
  <c r="D73" i="11"/>
  <c r="H73" i="11" s="1"/>
  <c r="E73" i="11"/>
  <c r="D74" i="11"/>
  <c r="J74" i="11" s="1"/>
  <c r="E74" i="11"/>
  <c r="D75" i="11"/>
  <c r="J75" i="11" s="1"/>
  <c r="E75" i="11"/>
  <c r="D76" i="11"/>
  <c r="I76" i="11" s="1"/>
  <c r="E76" i="11"/>
  <c r="D77" i="11"/>
  <c r="H77" i="11" s="1"/>
  <c r="E77" i="11"/>
  <c r="D78" i="11"/>
  <c r="H78" i="11" s="1"/>
  <c r="E78" i="11"/>
  <c r="D79" i="11"/>
  <c r="J79" i="11" s="1"/>
  <c r="E79" i="11"/>
  <c r="D80" i="11"/>
  <c r="E80" i="11"/>
  <c r="D81" i="11"/>
  <c r="H81" i="11" s="1"/>
  <c r="E81" i="11"/>
  <c r="D82" i="11"/>
  <c r="H82" i="11" s="1"/>
  <c r="E82" i="11"/>
  <c r="D83" i="11"/>
  <c r="J83" i="11" s="1"/>
  <c r="E83" i="11"/>
  <c r="D84" i="11"/>
  <c r="E84" i="11"/>
  <c r="D85" i="11"/>
  <c r="H85" i="11" s="1"/>
  <c r="E85" i="11"/>
  <c r="D86" i="11"/>
  <c r="J86" i="11" s="1"/>
  <c r="E86" i="11"/>
  <c r="D87" i="11"/>
  <c r="J87" i="11" s="1"/>
  <c r="E87" i="11"/>
  <c r="D88" i="11"/>
  <c r="E88" i="11"/>
  <c r="D89" i="11"/>
  <c r="H89" i="11" s="1"/>
  <c r="E89" i="11"/>
  <c r="D90" i="11"/>
  <c r="J90" i="11" s="1"/>
  <c r="E90" i="11"/>
  <c r="D91" i="11"/>
  <c r="E91" i="11"/>
  <c r="F49" i="11"/>
  <c r="F48" i="11"/>
  <c r="F47" i="11"/>
  <c r="F46" i="11"/>
  <c r="F45" i="11"/>
  <c r="F44" i="11"/>
  <c r="F43" i="11"/>
  <c r="F42" i="11"/>
  <c r="F4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D26" i="11"/>
  <c r="E26" i="11"/>
  <c r="D27" i="11"/>
  <c r="J27" i="11" s="1"/>
  <c r="E27" i="11"/>
  <c r="D28" i="1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39" i="11"/>
  <c r="J39" i="11" s="1"/>
  <c r="E39" i="11"/>
  <c r="D40" i="11"/>
  <c r="I40" i="11" s="1"/>
  <c r="E40" i="11"/>
  <c r="D41" i="11"/>
  <c r="H41" i="11" s="1"/>
  <c r="E41" i="11"/>
  <c r="D42" i="11"/>
  <c r="H42" i="11" s="1"/>
  <c r="E42" i="11"/>
  <c r="D43" i="11"/>
  <c r="J43" i="11" s="1"/>
  <c r="E43" i="11"/>
  <c r="D44" i="11"/>
  <c r="E44" i="11"/>
  <c r="D45" i="11"/>
  <c r="H45" i="11" s="1"/>
  <c r="E45" i="11"/>
  <c r="D46" i="11"/>
  <c r="H46" i="11" s="1"/>
  <c r="E46" i="11"/>
  <c r="D47" i="11"/>
  <c r="J47" i="11" s="1"/>
  <c r="E47" i="11"/>
  <c r="D48" i="11"/>
  <c r="E48" i="11"/>
  <c r="D49" i="11"/>
  <c r="H49" i="11" s="1"/>
  <c r="E49" i="11"/>
  <c r="G19" i="11"/>
  <c r="G20" i="11"/>
  <c r="G21" i="11"/>
  <c r="G22" i="11"/>
  <c r="G23" i="11"/>
  <c r="G24" i="11"/>
  <c r="G25" i="11"/>
  <c r="D20" i="11"/>
  <c r="J20" i="11" s="1"/>
  <c r="E20" i="11"/>
  <c r="D21" i="11"/>
  <c r="E21" i="11"/>
  <c r="D22" i="11"/>
  <c r="H22" i="11" s="1"/>
  <c r="E22" i="11"/>
  <c r="D23" i="11"/>
  <c r="E23" i="11"/>
  <c r="D24" i="11"/>
  <c r="J24" i="11" s="1"/>
  <c r="E24" i="11"/>
  <c r="D25" i="11"/>
  <c r="I25" i="11" s="1"/>
  <c r="E25" i="11"/>
  <c r="J91" i="11" l="1"/>
  <c r="I88" i="11"/>
  <c r="I84" i="11"/>
  <c r="I80" i="11"/>
  <c r="J17" i="11"/>
  <c r="I17" i="11"/>
  <c r="H69" i="11"/>
  <c r="H53" i="11"/>
  <c r="I48" i="11"/>
  <c r="I44" i="11"/>
  <c r="I36" i="11"/>
  <c r="I32" i="11"/>
  <c r="I28" i="11"/>
  <c r="I87" i="11"/>
  <c r="I71" i="11"/>
  <c r="I55" i="11"/>
  <c r="I83" i="11"/>
  <c r="I67" i="11"/>
  <c r="I51" i="11"/>
  <c r="I79" i="11"/>
  <c r="I63" i="11"/>
  <c r="I91" i="11"/>
  <c r="I75" i="11"/>
  <c r="I59" i="11"/>
  <c r="H91" i="11"/>
  <c r="I90" i="11"/>
  <c r="J89" i="11"/>
  <c r="H87" i="11"/>
  <c r="I86" i="11"/>
  <c r="J85" i="11"/>
  <c r="H83" i="11"/>
  <c r="I82" i="11"/>
  <c r="J81" i="11"/>
  <c r="H79" i="11"/>
  <c r="I78" i="11"/>
  <c r="J77" i="11"/>
  <c r="H75" i="11"/>
  <c r="I74" i="11"/>
  <c r="J73" i="11"/>
  <c r="H71" i="11"/>
  <c r="I70" i="11"/>
  <c r="J69" i="11"/>
  <c r="H67" i="11"/>
  <c r="I66" i="11"/>
  <c r="J65" i="11"/>
  <c r="H63" i="11"/>
  <c r="I62" i="11"/>
  <c r="J61" i="11"/>
  <c r="H59" i="11"/>
  <c r="I58" i="11"/>
  <c r="J57" i="11"/>
  <c r="H55" i="11"/>
  <c r="K55" i="11" s="1"/>
  <c r="I54" i="11"/>
  <c r="J53" i="11"/>
  <c r="H51" i="11"/>
  <c r="K51" i="11" s="1"/>
  <c r="I50" i="11"/>
  <c r="H84" i="11"/>
  <c r="J82" i="11"/>
  <c r="H80" i="11"/>
  <c r="J78" i="11"/>
  <c r="H72" i="11"/>
  <c r="J70" i="11"/>
  <c r="H64" i="11"/>
  <c r="J62" i="11"/>
  <c r="H56" i="11"/>
  <c r="J54" i="11"/>
  <c r="J50" i="11"/>
  <c r="H90" i="11"/>
  <c r="I89" i="11"/>
  <c r="J88" i="11"/>
  <c r="H86" i="11"/>
  <c r="I85" i="11"/>
  <c r="J84" i="11"/>
  <c r="I81" i="11"/>
  <c r="J80" i="11"/>
  <c r="I77" i="11"/>
  <c r="J76" i="11"/>
  <c r="H74" i="11"/>
  <c r="I73" i="11"/>
  <c r="J72" i="11"/>
  <c r="I69" i="11"/>
  <c r="J68" i="11"/>
  <c r="H66" i="11"/>
  <c r="I65" i="11"/>
  <c r="J64" i="11"/>
  <c r="I61" i="11"/>
  <c r="J60" i="11"/>
  <c r="H58" i="11"/>
  <c r="I57" i="11"/>
  <c r="J56" i="11"/>
  <c r="I53" i="11"/>
  <c r="J52" i="11"/>
  <c r="H88" i="11"/>
  <c r="H76" i="11"/>
  <c r="H68" i="11"/>
  <c r="H60" i="11"/>
  <c r="H52" i="11"/>
  <c r="H26" i="11"/>
  <c r="H23" i="11"/>
  <c r="J42" i="11"/>
  <c r="H36" i="11"/>
  <c r="J34" i="11"/>
  <c r="I27" i="11"/>
  <c r="H44" i="11"/>
  <c r="J38" i="11"/>
  <c r="I31" i="11"/>
  <c r="J46" i="11"/>
  <c r="I35" i="11"/>
  <c r="H28" i="11"/>
  <c r="J26" i="11"/>
  <c r="H48" i="11"/>
  <c r="H32" i="11"/>
  <c r="J30" i="11"/>
  <c r="I47" i="11"/>
  <c r="I43" i="11"/>
  <c r="J49" i="11"/>
  <c r="H47" i="11"/>
  <c r="I46" i="11"/>
  <c r="J45" i="11"/>
  <c r="H43" i="11"/>
  <c r="I42" i="11"/>
  <c r="J41" i="11"/>
  <c r="H39" i="11"/>
  <c r="I38" i="11"/>
  <c r="J37" i="11"/>
  <c r="H35" i="11"/>
  <c r="I34" i="11"/>
  <c r="J33" i="11"/>
  <c r="H31" i="11"/>
  <c r="I30" i="11"/>
  <c r="J29" i="11"/>
  <c r="H27" i="11"/>
  <c r="I26" i="11"/>
  <c r="H40" i="11"/>
  <c r="I39" i="11"/>
  <c r="I49" i="11"/>
  <c r="K49" i="11" s="1"/>
  <c r="J48" i="11"/>
  <c r="I45" i="11"/>
  <c r="J44" i="11"/>
  <c r="I41" i="11"/>
  <c r="J40" i="11"/>
  <c r="I37" i="11"/>
  <c r="J36" i="11"/>
  <c r="I33" i="11"/>
  <c r="K33" i="11" s="1"/>
  <c r="J32" i="11"/>
  <c r="I29" i="11"/>
  <c r="J28" i="11"/>
  <c r="I21" i="11"/>
  <c r="J23" i="11"/>
  <c r="I20" i="11"/>
  <c r="I24" i="11"/>
  <c r="H21" i="11"/>
  <c r="H24" i="11"/>
  <c r="I23" i="11"/>
  <c r="J22" i="11"/>
  <c r="H20" i="11"/>
  <c r="H25" i="11"/>
  <c r="J25" i="11"/>
  <c r="I22" i="11"/>
  <c r="J21" i="11"/>
  <c r="K91" i="11" l="1"/>
  <c r="K88" i="11"/>
  <c r="K66" i="11"/>
  <c r="K69" i="11"/>
  <c r="K59" i="11"/>
  <c r="K65" i="11"/>
  <c r="K63" i="11"/>
  <c r="K71" i="11"/>
  <c r="K17" i="11"/>
  <c r="K79" i="11"/>
  <c r="K90" i="11"/>
  <c r="K76" i="11"/>
  <c r="K53" i="11"/>
  <c r="K86" i="11"/>
  <c r="K87" i="11"/>
  <c r="K58" i="11"/>
  <c r="K85" i="11"/>
  <c r="K48" i="11"/>
  <c r="K52" i="11"/>
  <c r="K74" i="11"/>
  <c r="K81" i="11"/>
  <c r="K67" i="11"/>
  <c r="K83" i="11"/>
  <c r="K32" i="11"/>
  <c r="K31" i="11"/>
  <c r="K61" i="11"/>
  <c r="K84" i="11"/>
  <c r="K62" i="11"/>
  <c r="K77" i="11"/>
  <c r="K75" i="11"/>
  <c r="K50" i="11"/>
  <c r="K82" i="11"/>
  <c r="K72" i="11"/>
  <c r="K57" i="11"/>
  <c r="K73" i="11"/>
  <c r="K78" i="11"/>
  <c r="K89" i="11"/>
  <c r="K54" i="11"/>
  <c r="K70" i="11"/>
  <c r="K38" i="11"/>
  <c r="K43" i="11"/>
  <c r="K60" i="11"/>
  <c r="K56" i="11"/>
  <c r="K68" i="11"/>
  <c r="K64" i="11"/>
  <c r="K80" i="11"/>
  <c r="K30" i="11"/>
  <c r="K34" i="11"/>
  <c r="K20" i="11"/>
  <c r="K29" i="11"/>
  <c r="K45" i="11"/>
  <c r="K35" i="11"/>
  <c r="K46" i="11"/>
  <c r="K27" i="11"/>
  <c r="K28" i="11"/>
  <c r="K37" i="11"/>
  <c r="K26" i="11"/>
  <c r="K42" i="11"/>
  <c r="K40" i="11"/>
  <c r="K41" i="11"/>
  <c r="K36" i="11"/>
  <c r="K44" i="11"/>
  <c r="K47" i="11"/>
  <c r="K39" i="11"/>
  <c r="K23" i="11"/>
  <c r="K24" i="11"/>
  <c r="K21" i="11"/>
  <c r="K22" i="11"/>
  <c r="K25" i="11"/>
  <c r="G118" i="11" l="1"/>
  <c r="G119" i="11"/>
  <c r="G120" i="11"/>
  <c r="G121" i="11"/>
  <c r="G122" i="11"/>
  <c r="D16" i="11"/>
  <c r="F129" i="11" l="1"/>
  <c r="F128" i="11"/>
  <c r="F127" i="11"/>
  <c r="F126" i="11"/>
  <c r="F125" i="11"/>
  <c r="D122" i="11"/>
  <c r="H122" i="11" s="1"/>
  <c r="E122" i="11"/>
  <c r="G116" i="11"/>
  <c r="G117" i="11"/>
  <c r="G123" i="11"/>
  <c r="G124" i="11"/>
  <c r="G125" i="11"/>
  <c r="G126" i="11"/>
  <c r="G127" i="11"/>
  <c r="G128" i="11"/>
  <c r="G129" i="11"/>
  <c r="G130" i="11"/>
  <c r="D116" i="11"/>
  <c r="H116" i="11" s="1"/>
  <c r="E116" i="11"/>
  <c r="D117" i="11"/>
  <c r="J117" i="11" s="1"/>
  <c r="E117" i="11"/>
  <c r="D118" i="11"/>
  <c r="I118" i="11" s="1"/>
  <c r="E118" i="11"/>
  <c r="D119" i="11"/>
  <c r="E119" i="11"/>
  <c r="D120" i="11"/>
  <c r="E120" i="11"/>
  <c r="D121" i="11"/>
  <c r="E121" i="11"/>
  <c r="D123" i="11"/>
  <c r="I123" i="11" s="1"/>
  <c r="E123" i="11"/>
  <c r="D124" i="11"/>
  <c r="H124" i="11" s="1"/>
  <c r="E124" i="11"/>
  <c r="D125" i="11"/>
  <c r="H125" i="11" s="1"/>
  <c r="E125" i="11"/>
  <c r="D126" i="11"/>
  <c r="J126" i="11" s="1"/>
  <c r="E126" i="11"/>
  <c r="D127" i="11"/>
  <c r="E127" i="11"/>
  <c r="D128" i="11"/>
  <c r="H128" i="11" s="1"/>
  <c r="E128" i="11"/>
  <c r="D129" i="11"/>
  <c r="H129" i="11" s="1"/>
  <c r="E129" i="11"/>
  <c r="D130" i="11"/>
  <c r="J130" i="11" s="1"/>
  <c r="E130" i="11"/>
  <c r="G15" i="11"/>
  <c r="G16" i="11"/>
  <c r="G18" i="11"/>
  <c r="I127" i="11" l="1"/>
  <c r="J122" i="11"/>
  <c r="I122" i="11"/>
  <c r="H120" i="11"/>
  <c r="J121" i="11"/>
  <c r="H119" i="11"/>
  <c r="J125" i="11"/>
  <c r="H123" i="11"/>
  <c r="H117" i="11"/>
  <c r="I126" i="11"/>
  <c r="J120" i="11"/>
  <c r="H118" i="11"/>
  <c r="H126" i="11"/>
  <c r="J124" i="11"/>
  <c r="I121" i="11"/>
  <c r="J116" i="11"/>
  <c r="H127" i="11"/>
  <c r="H121" i="11"/>
  <c r="J119" i="11"/>
  <c r="I117" i="11"/>
  <c r="I130" i="11"/>
  <c r="J129" i="11"/>
  <c r="H130" i="11"/>
  <c r="I129" i="11"/>
  <c r="J128" i="11"/>
  <c r="I125" i="11"/>
  <c r="I120" i="11"/>
  <c r="I116" i="11"/>
  <c r="I128" i="11"/>
  <c r="K128" i="11" s="1"/>
  <c r="J127" i="11"/>
  <c r="I124" i="11"/>
  <c r="J123" i="11"/>
  <c r="I119" i="11"/>
  <c r="J118" i="11"/>
  <c r="K125" i="11" l="1"/>
  <c r="K122" i="11"/>
  <c r="K121" i="11"/>
  <c r="K119" i="11"/>
  <c r="K129" i="11"/>
  <c r="K127" i="11"/>
  <c r="K126" i="11"/>
  <c r="K124" i="11"/>
  <c r="K120" i="11"/>
  <c r="K118" i="11"/>
  <c r="K123" i="11"/>
  <c r="K116" i="11"/>
  <c r="K130" i="11"/>
  <c r="K117" i="11"/>
  <c r="D8" i="59" l="1"/>
  <c r="E16" i="11"/>
  <c r="E18" i="11"/>
  <c r="D115" i="11" l="1"/>
  <c r="H115" i="11" s="1"/>
  <c r="D131" i="11"/>
  <c r="J131" i="11" s="1"/>
  <c r="G115" i="11"/>
  <c r="D15" i="11"/>
  <c r="D18" i="11"/>
  <c r="D19" i="11"/>
  <c r="K6" i="60"/>
  <c r="M132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113" i="11"/>
  <c r="E113" i="11"/>
  <c r="D113" i="11"/>
  <c r="G112" i="11"/>
  <c r="E112" i="11"/>
  <c r="D112" i="11"/>
  <c r="H112" i="11" s="1"/>
  <c r="G111" i="11"/>
  <c r="E111" i="11"/>
  <c r="D111" i="11"/>
  <c r="G110" i="11"/>
  <c r="E110" i="11"/>
  <c r="D110" i="11"/>
  <c r="J110" i="11" s="1"/>
  <c r="G109" i="11"/>
  <c r="E109" i="11"/>
  <c r="D109" i="11"/>
  <c r="I109" i="11" s="1"/>
  <c r="G108" i="11"/>
  <c r="E108" i="11"/>
  <c r="D108" i="11"/>
  <c r="G107" i="11"/>
  <c r="E107" i="11"/>
  <c r="D107" i="11"/>
  <c r="H107" i="11" s="1"/>
  <c r="G106" i="11"/>
  <c r="E106" i="11"/>
  <c r="D106" i="11"/>
  <c r="G105" i="11"/>
  <c r="E105" i="11"/>
  <c r="D105" i="11"/>
  <c r="G104" i="11"/>
  <c r="E104" i="11"/>
  <c r="D104" i="11"/>
  <c r="G103" i="11"/>
  <c r="E103" i="11"/>
  <c r="D103" i="11"/>
  <c r="J103" i="11" s="1"/>
  <c r="G102" i="11"/>
  <c r="E102" i="11"/>
  <c r="D102" i="11"/>
  <c r="J102" i="11" s="1"/>
  <c r="G101" i="11"/>
  <c r="E101" i="11"/>
  <c r="D101" i="11"/>
  <c r="G100" i="11"/>
  <c r="E100" i="11"/>
  <c r="D100" i="11"/>
  <c r="G99" i="11"/>
  <c r="E99" i="11"/>
  <c r="D99" i="11"/>
  <c r="G98" i="11"/>
  <c r="E98" i="11"/>
  <c r="D98" i="11"/>
  <c r="G97" i="11"/>
  <c r="E97" i="11"/>
  <c r="D97" i="11"/>
  <c r="J97" i="11" s="1"/>
  <c r="G96" i="11"/>
  <c r="E96" i="11"/>
  <c r="D96" i="11"/>
  <c r="G95" i="11"/>
  <c r="E95" i="11"/>
  <c r="D95" i="11"/>
  <c r="G94" i="11"/>
  <c r="E94" i="11"/>
  <c r="D94" i="11"/>
  <c r="G93" i="11"/>
  <c r="E93" i="11"/>
  <c r="D93" i="11"/>
  <c r="G92" i="11"/>
  <c r="E92" i="11"/>
  <c r="D92" i="11"/>
  <c r="M92" i="11"/>
  <c r="D14" i="59"/>
  <c r="D5" i="60" s="1"/>
  <c r="K5" i="60" s="1"/>
  <c r="E19" i="11"/>
  <c r="E15" i="11"/>
  <c r="A15" i="11"/>
  <c r="D19" i="59"/>
  <c r="D18" i="59"/>
  <c r="M16" i="11"/>
  <c r="E115" i="11"/>
  <c r="D114" i="11"/>
  <c r="E114" i="11"/>
  <c r="M115" i="11"/>
  <c r="E131" i="11"/>
  <c r="G131" i="11"/>
  <c r="D14" i="11"/>
  <c r="H14" i="11" s="1"/>
  <c r="E14" i="11"/>
  <c r="G14" i="11"/>
  <c r="K19" i="60"/>
  <c r="D19" i="60"/>
  <c r="M131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/>
  <c r="D6" i="60"/>
  <c r="D132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32" i="11"/>
  <c r="D133" i="11"/>
  <c r="E133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33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32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40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14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24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H19" i="11" l="1"/>
  <c r="J19" i="11"/>
  <c r="I19" i="11"/>
  <c r="I93" i="11"/>
  <c r="H15" i="11"/>
  <c r="I15" i="11"/>
  <c r="J15" i="11"/>
  <c r="H18" i="11"/>
  <c r="I18" i="11"/>
  <c r="J18" i="11"/>
  <c r="J16" i="11"/>
  <c r="H16" i="11"/>
  <c r="I16" i="11"/>
  <c r="D312" i="29"/>
  <c r="E312" i="29" s="1"/>
  <c r="D802" i="41"/>
  <c r="E802" i="41" s="1"/>
  <c r="D22" i="59"/>
  <c r="K8" i="60" s="1"/>
  <c r="D21" i="59"/>
  <c r="M125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26" i="11"/>
  <c r="M127" i="11"/>
  <c r="M129" i="11"/>
  <c r="M128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229" i="29"/>
  <c r="F868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E1199" i="41"/>
  <c r="E1035" i="41"/>
  <c r="E1182" i="41"/>
  <c r="E1016" i="41"/>
  <c r="E791" i="41"/>
  <c r="F849" i="41"/>
  <c r="F858" i="41"/>
  <c r="F774" i="41"/>
  <c r="E798" i="41"/>
  <c r="E735" i="41"/>
  <c r="E1114" i="4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114" i="11"/>
  <c r="I114" i="11"/>
  <c r="F806" i="41"/>
  <c r="E1081" i="41"/>
  <c r="E1027" i="41"/>
  <c r="F861" i="41"/>
  <c r="E861" i="41"/>
  <c r="E230" i="29"/>
  <c r="E346" i="29"/>
  <c r="E274" i="29"/>
  <c r="F274" i="29"/>
  <c r="H133" i="11"/>
  <c r="J133" i="11"/>
  <c r="E340" i="29"/>
  <c r="I97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97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E749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E348" i="29"/>
  <c r="E59" i="39"/>
  <c r="E290" i="29"/>
  <c r="F323" i="29"/>
  <c r="E260" i="29"/>
  <c r="E236" i="29"/>
  <c r="E73" i="39"/>
  <c r="E341" i="29"/>
  <c r="F341" i="29"/>
  <c r="J113" i="11"/>
  <c r="H113" i="11"/>
  <c r="I113" i="11"/>
  <c r="E284" i="29"/>
  <c r="F233" i="29"/>
  <c r="E58" i="39"/>
  <c r="F319" i="29"/>
  <c r="F310" i="29"/>
  <c r="H114" i="11"/>
  <c r="M123" i="11"/>
  <c r="E725" i="41"/>
  <c r="F725" i="41"/>
  <c r="E777" i="41"/>
  <c r="F777" i="41"/>
  <c r="E1291" i="41"/>
  <c r="E1143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92" i="11"/>
  <c r="H92" i="11"/>
  <c r="H96" i="11"/>
  <c r="J96" i="11"/>
  <c r="I96" i="11"/>
  <c r="J100" i="11"/>
  <c r="I100" i="11"/>
  <c r="H100" i="11"/>
  <c r="J104" i="11"/>
  <c r="H104" i="11"/>
  <c r="I108" i="11"/>
  <c r="J108" i="11"/>
  <c r="H108" i="11"/>
  <c r="I92" i="11"/>
  <c r="I95" i="11"/>
  <c r="H95" i="11"/>
  <c r="J95" i="11"/>
  <c r="I99" i="11"/>
  <c r="J99" i="11"/>
  <c r="H99" i="11"/>
  <c r="H103" i="11"/>
  <c r="I103" i="11"/>
  <c r="I107" i="11"/>
  <c r="J107" i="11"/>
  <c r="I111" i="11"/>
  <c r="H111" i="11"/>
  <c r="J111" i="11"/>
  <c r="I133" i="11"/>
  <c r="J94" i="11"/>
  <c r="H94" i="11"/>
  <c r="I94" i="11"/>
  <c r="J98" i="11"/>
  <c r="H98" i="11"/>
  <c r="I98" i="11"/>
  <c r="I102" i="11"/>
  <c r="H102" i="11"/>
  <c r="J106" i="11"/>
  <c r="H106" i="11"/>
  <c r="I106" i="11"/>
  <c r="H110" i="11"/>
  <c r="I110" i="11"/>
  <c r="I104" i="11"/>
  <c r="H93" i="11"/>
  <c r="J93" i="11"/>
  <c r="I101" i="11"/>
  <c r="H101" i="11"/>
  <c r="J101" i="11"/>
  <c r="J105" i="11"/>
  <c r="H105" i="11"/>
  <c r="I105" i="11"/>
  <c r="J109" i="11"/>
  <c r="H109" i="11"/>
  <c r="I112" i="11"/>
  <c r="I131" i="11"/>
  <c r="J115" i="11"/>
  <c r="J112" i="11"/>
  <c r="H131" i="11"/>
  <c r="I115" i="11"/>
  <c r="F789" i="41" l="1"/>
  <c r="F315" i="29"/>
  <c r="F805" i="41"/>
  <c r="F299" i="29"/>
  <c r="F790" i="41"/>
  <c r="F300" i="29"/>
  <c r="F845" i="41"/>
  <c r="F814" i="41"/>
  <c r="F324" i="29"/>
  <c r="F355" i="29"/>
  <c r="F810" i="41"/>
  <c r="F320" i="29"/>
  <c r="K19" i="11"/>
  <c r="F783" i="41"/>
  <c r="F293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116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115" i="11"/>
  <c r="K107" i="11"/>
  <c r="M107" i="11" s="1"/>
  <c r="K97" i="11"/>
  <c r="M97" i="11" s="1"/>
  <c r="M19" i="11"/>
  <c r="M130" i="11"/>
  <c r="K133" i="11"/>
  <c r="K113" i="11"/>
  <c r="M113" i="11" s="1"/>
  <c r="K114" i="11"/>
  <c r="M114" i="11" s="1"/>
  <c r="F350" i="29"/>
  <c r="K110" i="11"/>
  <c r="M110" i="11" s="1"/>
  <c r="K112" i="11"/>
  <c r="M112" i="11" s="1"/>
  <c r="K93" i="11"/>
  <c r="M93" i="11" s="1"/>
  <c r="K103" i="11"/>
  <c r="M103" i="11" s="1"/>
  <c r="K96" i="11"/>
  <c r="M96" i="11" s="1"/>
  <c r="K101" i="11"/>
  <c r="M101" i="11" s="1"/>
  <c r="K131" i="11"/>
  <c r="K98" i="11"/>
  <c r="M98" i="11" s="1"/>
  <c r="H132" i="11"/>
  <c r="H135" i="11" s="1"/>
  <c r="F312" i="29"/>
  <c r="F339" i="29"/>
  <c r="F226" i="29"/>
  <c r="F345" i="29"/>
  <c r="F239" i="29"/>
  <c r="I132" i="11"/>
  <c r="I135" i="11" s="1"/>
  <c r="J132" i="11"/>
  <c r="J135" i="11" s="1"/>
  <c r="K102" i="11"/>
  <c r="M102" i="11" s="1"/>
  <c r="K111" i="11"/>
  <c r="M111" i="11" s="1"/>
  <c r="K104" i="11"/>
  <c r="M104" i="11" s="1"/>
  <c r="K92" i="11"/>
  <c r="K105" i="11"/>
  <c r="M105" i="11" s="1"/>
  <c r="K108" i="11"/>
  <c r="M108" i="11" s="1"/>
  <c r="K109" i="11"/>
  <c r="M109" i="11" s="1"/>
  <c r="K106" i="11"/>
  <c r="M106" i="11" s="1"/>
  <c r="K94" i="11"/>
  <c r="M94" i="11" s="1"/>
  <c r="K99" i="11"/>
  <c r="M99" i="11" s="1"/>
  <c r="K95" i="11"/>
  <c r="M95" i="11" s="1"/>
  <c r="K100" i="11"/>
  <c r="M100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36" i="11"/>
  <c r="J137" i="11" s="1"/>
  <c r="H136" i="11"/>
  <c r="H137" i="11" s="1"/>
  <c r="I136" i="11"/>
  <c r="I137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21" i="39"/>
  <c r="B21" i="39"/>
  <c r="E21" i="39" s="1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32" i="11"/>
  <c r="K135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67" i="29" l="1"/>
  <c r="D106" i="29"/>
  <c r="D68" i="29"/>
  <c r="G25" i="39"/>
  <c r="D92" i="29"/>
  <c r="I92" i="29" s="1"/>
  <c r="B124" i="29"/>
  <c r="E124" i="29" s="1"/>
  <c r="D148" i="29"/>
  <c r="D90" i="29"/>
  <c r="H90" i="29" s="1"/>
  <c r="G18" i="39"/>
  <c r="G77" i="29"/>
  <c r="I30" i="39"/>
  <c r="G133" i="29"/>
  <c r="G29" i="39"/>
  <c r="G24" i="29"/>
  <c r="D124" i="29"/>
  <c r="D33" i="39"/>
  <c r="J33" i="39" s="1"/>
  <c r="B112" i="29"/>
  <c r="E112" i="29" s="1"/>
  <c r="B149" i="29"/>
  <c r="E149" i="29" s="1"/>
  <c r="D85" i="29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B28" i="39"/>
  <c r="E28" i="39" s="1"/>
  <c r="D20" i="39"/>
  <c r="J20" i="39" s="1"/>
  <c r="B38" i="29"/>
  <c r="E38" i="29" s="1"/>
  <c r="G85" i="29"/>
  <c r="G115" i="29"/>
  <c r="G58" i="29"/>
  <c r="D122" i="29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H132" i="29" s="1"/>
  <c r="G32" i="39"/>
  <c r="D18" i="29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36" i="11"/>
  <c r="K137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J148" i="29"/>
  <c r="I148" i="29"/>
  <c r="H148" i="2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90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I20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H85" i="29"/>
  <c r="J85" i="29"/>
  <c r="I85" i="29"/>
  <c r="H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J29" i="39"/>
  <c r="I29" i="39"/>
  <c r="H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I160" i="29"/>
  <c r="H160" i="29"/>
  <c r="J160" i="29"/>
  <c r="H58" i="29"/>
  <c r="J58" i="29"/>
  <c r="I58" i="29"/>
  <c r="H113" i="29"/>
  <c r="J113" i="29"/>
  <c r="J132" i="29"/>
  <c r="I132" i="29"/>
  <c r="I33" i="29"/>
  <c r="H33" i="29"/>
  <c r="J33" i="29"/>
  <c r="I122" i="29"/>
  <c r="H122" i="29"/>
  <c r="J122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I33" i="39" l="1"/>
  <c r="I81" i="29"/>
  <c r="J90" i="29"/>
  <c r="H92" i="29"/>
  <c r="J92" i="29"/>
  <c r="I86" i="29"/>
  <c r="I17" i="39"/>
  <c r="J20" i="29"/>
  <c r="K20" i="29" s="1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K18" i="29" s="1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32" i="29"/>
  <c r="K23" i="39"/>
  <c r="K97" i="29"/>
  <c r="K100" i="29"/>
  <c r="K73" i="29"/>
  <c r="K21" i="29"/>
  <c r="K72" i="29"/>
  <c r="K124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38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92" i="29" l="1"/>
  <c r="K81" i="29"/>
  <c r="K157" i="29"/>
  <c r="K86" i="29"/>
  <c r="K17" i="39"/>
  <c r="K30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<sst xmlns="http://schemas.openxmlformats.org/spreadsheetml/2006/main" count="4805" uniqueCount="1645">
  <si>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</si>
  <si>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</si>
  <si>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</si>
  <si>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</si>
  <si>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</si>
  <si>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</si>
  <si>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</si>
  <si>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</si>
  <si>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</si>
  <si>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</si>
  <si>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</si>
  <si>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</si>
  <si>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</si>
  <si>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</si>
  <si>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</si>
  <si>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</si>
  <si>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</si>
  <si>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</si>
  <si>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</si>
  <si>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</si>
  <si>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</si>
  <si>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</si>
  <si>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</si>
  <si>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</si>
  <si>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</si>
  <si>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</si>
  <si>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</si>
  <si>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</si>
  <si>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</si>
  <si>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</si>
  <si>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</si>
  <si>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</si>
  <si>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</si>
  <si>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</si>
  <si>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</si>
  <si>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</si>
  <si>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</si>
  <si>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</si>
  <si>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</si>
  <si>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</si>
  <si>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</si>
  <si>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</si>
  <si>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</si>
  <si>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</si>
  <si>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</si>
  <si>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</si>
  <si>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</si>
  <si>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</si>
  <si>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</si>
  <si>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</si>
  <si>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</si>
  <si>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</si>
  <si>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</si>
  <si>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</si>
  <si>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</si>
  <si>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</si>
  <si>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</si>
  <si>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</si>
  <si>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</si>
  <si>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</si>
  <si>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</si>
  <si>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</si>
  <si>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</si>
  <si>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</si>
  <si>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</si>
  <si>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</si>
  <si>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</si>
  <si>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</si>
  <si>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</si>
  <si>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</si>
  <si>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</si>
  <si>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</si>
  <si>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</si>
  <si>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</si>
  <si>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</si>
  <si>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</si>
  <si>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</si>
  <si>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</si>
  <si>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</si>
  <si>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</si>
  <si>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</si>
  <si>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</si>
  <si>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</si>
  <si>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</si>
  <si>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</si>
  <si>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</si>
  <si>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</si>
  <si>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</si>
  <si>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</si>
  <si>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</si>
  <si>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</si>
  <si>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</si>
  <si>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</si>
  <si>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</si>
  <si>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</si>
  <si>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</si>
  <si>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</si>
  <si>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</si>
  <si>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</si>
  <si>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</si>
  <si>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</si>
  <si>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</si>
  <si>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</si>
  <si>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</si>
  <si>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</si>
  <si>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</si>
  <si>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</si>
  <si>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</si>
  <si>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</si>
  <si>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</si>
  <si>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</si>
  <si>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</si>
  <si>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</si>
  <si>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</si>
  <si>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</si>
  <si>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</si>
  <si>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</si>
  <si>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</si>
  <si>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</si>
  <si>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</si>
  <si>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</si>
  <si>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</si>
  <si>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</si>
  <si>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</si>
  <si>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</si>
  <si>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</si>
  <si>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</si>
  <si>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</si>
  <si>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</si>
  <si>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</si>
  <si>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</si>
  <si>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</si>
  <si>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</si>
  <si>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</si>
  <si>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</si>
  <si>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</si>
  <si>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</si>
  <si>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</si>
  <si>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</si>
  <si>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</si>
  <si>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</si>
  <si>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</si>
  <si>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</si>
  <si>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</si>
  <si>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</si>
  <si>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</si>
  <si>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</si>
  <si>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</si>
  <si>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</si>
  <si>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</si>
  <si>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</si>
  <si>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</si>
  <si>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</si>
  <si>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</si>
  <si>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</si>
  <si>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</si>
  <si>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</si>
  <si>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</si>
  <si>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</si>
  <si>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</si>
  <si>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</si>
  <si>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</si>
  <si>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</si>
  <si>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</si>
  <si>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</si>
  <si>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</si>
  <si>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</si>
  <si>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</si>
  <si>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</si>
  <si>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</si>
  <si>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</si>
  <si>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</si>
  <si>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</si>
  <si>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</si>
  <si>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</si>
  <si>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</si>
  <si>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</si>
  <si>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</si>
  <si>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</si>
  <si>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</si>
  <si>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</si>
  <si>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</si>
  <si>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</si>
  <si>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</si>
  <si>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</si>
  <si>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</si>
  <si>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</si>
  <si>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</si>
  <si>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</si>
  <si>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</si>
  <si>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</si>
  <si>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</si>
  <si>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</si>
  <si>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</si>
  <si>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</si>
  <si>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</si>
  <si>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</si>
  <si>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</si>
  <si>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</si>
  <si>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</si>
  <si>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</si>
  <si>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</si>
  <si>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</si>
  <si>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</si>
  <si>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</si>
  <si>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</si>
  <si>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</si>
  <si>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</si>
  <si>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</si>
  <si>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</si>
  <si>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</si>
  <si>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</si>
  <si>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</si>
  <si>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</si>
  <si>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</si>
  <si>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</si>
  <si>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</si>
  <si>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</si>
  <si>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</si>
  <si>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</si>
  <si>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</si>
  <si>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</si>
  <si>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</si>
  <si>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</si>
  <si>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</si>
  <si>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</si>
  <si>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</si>
  <si>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</si>
  <si>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</si>
  <si>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</si>
  <si>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</si>
  <si>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</si>
  <si>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</si>
  <si>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</si>
  <si>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</si>
  <si>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</si>
  <si>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</si>
  <si>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</si>
  <si>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</si>
  <si>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</si>
  <si>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</si>
  <si>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</si>
  <si>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</si>
  <si>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</si>
  <si>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</si>
  <si>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</si>
  <si>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</si>
  <si>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</si>
  <si>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</si>
  <si>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</si>
  <si>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</si>
  <si>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</si>
  <si>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</si>
  <si>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</si>
  <si>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</si>
  <si>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</si>
  <si>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</si>
  <si>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</si>
  <si>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</si>
  <si>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</si>
  <si>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</si>
  <si>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</si>
  <si>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</si>
  <si>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</si>
  <si>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</si>
  <si>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</si>
  <si>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</si>
  <si>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</si>
  <si>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</si>
  <si>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</si>
  <si>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</si>
  <si>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</si>
  <si>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</si>
  <si>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</si>
  <si>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</si>
  <si>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</si>
  <si>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</si>
  <si>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</si>
  <si>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</si>
  <si>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</si>
  <si>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</si>
  <si>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</si>
  <si>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</si>
  <si>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</si>
  <si>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</si>
  <si>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</si>
  <si>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</si>
  <si>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</si>
  <si>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</si>
  <si>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</si>
  <si>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</si>
  <si>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</si>
  <si>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</si>
  <si>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</si>
  <si>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</si>
  <si>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</si>
  <si>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</si>
  <si>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</si>
  <si>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</si>
  <si>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</si>
  <si>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</si>
  <si>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</si>
  <si>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</si>
  <si>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</si>
  <si>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</si>
  <si>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</si>
  <si>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</si>
  <si>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</si>
  <si>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</si>
  <si>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</si>
  <si>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</si>
  <si>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</si>
  <si>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</si>
  <si>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</si>
  <si>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</si>
  <si>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</si>
  <si>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</si>
  <si>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</si>
  <si>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</si>
  <si>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</si>
  <si>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</si>
  <si>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</si>
  <si>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</si>
  <si>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</si>
  <si>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</si>
  <si>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</si>
  <si>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</si>
  <si>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</si>
  <si>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</si>
  <si>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</si>
  <si>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</si>
  <si>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</si>
  <si>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</si>
  <si>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</si>
  <si>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</si>
  <si>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</si>
  <si>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</si>
  <si>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</si>
  <si>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</si>
  <si>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</si>
  <si>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</si>
  <si>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</si>
  <si>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</si>
  <si>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</si>
  <si>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</si>
  <si>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</si>
  <si>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</si>
  <si>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</si>
  <si>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</si>
  <si>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</si>
  <si>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</si>
  <si>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</si>
  <si>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</si>
  <si>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</si>
  <si>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</si>
  <si>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</si>
  <si>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</si>
  <si>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</si>
  <si>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</si>
  <si>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</si>
  <si>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</si>
  <si>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</si>
  <si>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</si>
  <si>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</si>
  <si>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</si>
  <si>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</si>
  <si>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</si>
  <si>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</si>
  <si>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</si>
  <si>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</si>
  <si>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</si>
  <si>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</si>
  <si>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</si>
  <si>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</si>
  <si>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</si>
  <si>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</si>
  <si>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</si>
  <si>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</si>
  <si>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</si>
  <si>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</si>
  <si>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</si>
  <si>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</si>
  <si>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</si>
  <si>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</si>
  <si>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</si>
  <si>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</si>
  <si>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</si>
  <si>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</si>
  <si>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</si>
  <si>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</si>
  <si>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</si>
  <si>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</si>
  <si>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</si>
  <si>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</si>
  <si>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</si>
  <si>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</si>
  <si>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</si>
  <si>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</si>
  <si>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</si>
  <si>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</si>
  <si>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</si>
  <si>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</si>
  <si>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</si>
  <si>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</si>
  <si>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</si>
  <si>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</si>
  <si>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</si>
  <si>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</si>
  <si>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</si>
  <si>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</si>
  <si>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</si>
  <si>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</si>
  <si>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</si>
  <si>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</si>
  <si>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</si>
  <si>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</si>
  <si>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</si>
  <si>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</si>
  <si>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</si>
  <si>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</si>
  <si>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</si>
  <si>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</si>
  <si>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</si>
  <si>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</si>
  <si>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</si>
  <si>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</si>
  <si>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</si>
  <si>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</si>
  <si>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</si>
  <si>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</si>
  <si>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</si>
  <si>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</si>
  <si>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</si>
  <si>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</si>
  <si>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</si>
  <si>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</si>
  <si>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</si>
  <si>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</si>
  <si>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</si>
  <si>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</si>
  <si>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</si>
  <si>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</si>
  <si>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</si>
  <si>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</si>
  <si>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</si>
  <si>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</si>
  <si>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</si>
  <si>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</si>
  <si>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</si>
  <si>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</si>
  <si>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</si>
  <si>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</si>
  <si>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</si>
  <si>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</si>
  <si>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</si>
  <si>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</si>
  <si>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</si>
  <si>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</si>
  <si>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</si>
  <si>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</si>
  <si>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</si>
  <si>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</si>
  <si>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</si>
  <si>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</si>
  <si>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</si>
  <si>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</si>
  <si>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</si>
  <si>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</si>
  <si>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</si>
  <si>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</si>
  <si>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</si>
  <si>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</si>
  <si>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</si>
  <si>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</si>
  <si>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</si>
  <si>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</si>
  <si>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</si>
  <si>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</si>
  <si>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</si>
  <si>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</si>
  <si>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</si>
  <si>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</si>
  <si>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</si>
  <si>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</si>
  <si>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</si>
  <si>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</si>
  <si>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</si>
  <si>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</si>
  <si>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</si>
  <si>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</si>
  <si>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</si>
  <si>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</si>
  <si>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</si>
  <si>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</si>
  <si>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</si>
  <si>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</si>
  <si>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</si>
  <si>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</si>
  <si>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</si>
  <si>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</si>
  <si>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</si>
  <si>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</si>
  <si>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</si>
  <si>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</si>
  <si>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</si>
  <si>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</si>
  <si>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</si>
  <si>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</si>
  <si>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</si>
  <si>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</si>
  <si>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</si>
  <si>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</si>
  <si>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</si>
  <si>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</si>
  <si>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</si>
  <si>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</si>
  <si>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</si>
  <si>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</si>
  <si>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</si>
  <si>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</si>
  <si>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</si>
  <si>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</si>
  <si>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</si>
  <si>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</si>
  <si>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</si>
  <si>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</si>
  <si>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</si>
  <si>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</si>
  <si>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</si>
  <si>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</si>
  <si>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</si>
  <si>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</si>
  <si>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</si>
  <si>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</si>
  <si>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</si>
  <si>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</si>
  <si>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</si>
  <si>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</si>
  <si>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</si>
  <si>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</si>
  <si>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</si>
  <si>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</si>
  <si>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</si>
  <si>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</si>
  <si>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</si>
  <si>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</si>
  <si>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</si>
  <si>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</si>
  <si>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</si>
  <si>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</si>
  <si>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</si>
  <si>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</si>
  <si>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</si>
  <si>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</si>
  <si>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</si>
  <si>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</si>
  <si>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</si>
  <si>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</si>
  <si>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</si>
  <si>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</si>
  <si>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</si>
  <si>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</si>
  <si>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</si>
  <si>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</si>
  <si>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</si>
  <si>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</si>
  <si>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</si>
  <si>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</si>
  <si>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</si>
  <si>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</si>
  <si>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</si>
  <si>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</si>
  <si>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</si>
  <si>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</si>
  <si>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</si>
  <si>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</si>
  <si>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</si>
  <si>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</si>
  <si>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</si>
  <si>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</si>
  <si>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</si>
  <si>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</si>
  <si>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</si>
  <si>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</si>
  <si>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</si>
  <si>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</si>
  <si>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</si>
  <si>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</si>
  <si>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</si>
  <si>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</si>
  <si>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</si>
  <si>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</si>
  <si>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</si>
  <si>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</si>
  <si>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</si>
  <si>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</si>
  <si>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</si>
  <si>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</si>
  <si>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</si>
  <si>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</si>
  <si>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</si>
  <si>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</si>
  <si>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</si>
  <si>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</si>
  <si>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</si>
  <si>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</si>
  <si>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</si>
  <si>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</si>
  <si>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</si>
  <si>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</si>
  <si>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</si>
  <si>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</si>
  <si>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</si>
  <si>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</si>
  <si>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</si>
  <si>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</si>
  <si>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</si>
  <si>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</si>
  <si>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</si>
  <si>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</si>
  <si>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</si>
  <si>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</si>
  <si>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</si>
  <si>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</si>
  <si>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</si>
  <si>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</si>
  <si>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</si>
  <si>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</si>
  <si>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</si>
  <si>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</si>
  <si>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</si>
  <si>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</si>
  <si>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</si>
  <si>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</si>
  <si>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</si>
  <si>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</si>
  <si>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</si>
  <si>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</si>
  <si>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</si>
  <si>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</si>
  <si>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</si>
  <si>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</si>
  <si>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</si>
  <si>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</si>
  <si>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</si>
  <si>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</si>
  <si>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</si>
  <si>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</si>
  <si>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</si>
  <si>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</si>
  <si>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</si>
  <si>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</si>
  <si>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</si>
  <si>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</si>
  <si>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</si>
  <si>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</si>
  <si>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</si>
  <si>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</si>
  <si>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</si>
  <si>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</si>
  <si>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</si>
  <si>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</si>
  <si>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</si>
  <si>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</si>
  <si>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</si>
  <si>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</si>
  <si>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</si>
  <si>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</si>
  <si>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</si>
  <si>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</si>
  <si>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</si>
  <si>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</si>
  <si>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</si>
  <si>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</si>
  <si>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</si>
  <si>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</si>
  <si>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</si>
  <si>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</si>
  <si>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</si>
  <si>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</si>
  <si>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</si>
  <si>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</si>
  <si>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</si>
  <si>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</si>
  <si>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</si>
  <si>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</si>
  <si>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</si>
  <si>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</si>
  <si>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</si>
  <si>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</si>
  <si>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</si>
  <si>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</si>
  <si>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</si>
  <si>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</si>
  <si>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</si>
  <si>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</si>
  <si>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</si>
  <si>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</si>
  <si>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</si>
  <si>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</si>
  <si>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</si>
  <si>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</si>
  <si>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</si>
  <si>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</si>
  <si>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</si>
  <si>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</si>
  <si>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</si>
  <si>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</si>
  <si>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</si>
  <si>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</si>
  <si>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</si>
  <si>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</si>
  <si>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</si>
  <si>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</si>
  <si>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</si>
  <si>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</si>
  <si>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</si>
  <si>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</si>
  <si>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</si>
  <si>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</si>
  <si>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</si>
  <si>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</si>
  <si>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</si>
  <si>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</si>
  <si>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</si>
  <si>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</si>
  <si>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</si>
  <si>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</si>
  <si>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</si>
  <si>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</si>
  <si>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</si>
  <si>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</si>
  <si>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</si>
  <si>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</si>
  <si>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</si>
  <si>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</si>
  <si>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</si>
  <si>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</si>
  <si>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</si>
  <si>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</si>
  <si>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</si>
  <si>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</si>
  <si>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</si>
  <si>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</si>
  <si>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</si>
  <si>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</si>
  <si>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</si>
  <si>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</si>
  <si>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</si>
  <si>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</si>
  <si>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</si>
  <si>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</si>
  <si>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</si>
  <si>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</si>
  <si>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</si>
  <si>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</si>
  <si>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</si>
  <si>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</si>
  <si>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</si>
  <si>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</si>
  <si>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</si>
  <si>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</si>
  <si>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</si>
  <si>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</si>
  <si>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</si>
  <si>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</si>
  <si>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</si>
  <si>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</si>
  <si>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</si>
  <si>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</si>
  <si>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</si>
  <si>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</si>
  <si>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</si>
  <si>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</si>
  <si>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</si>
  <si>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</si>
  <si>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</si>
  <si>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</si>
  <si>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</si>
  <si>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</si>
  <si>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</si>
  <si>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</si>
  <si>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</si>
  <si>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</si>
  <si>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</si>
  <si>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</si>
  <si>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</si>
  <si>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</si>
  <si>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</si>
  <si>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</si>
  <si>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</si>
  <si>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</si>
  <si>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</si>
  <si>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</si>
  <si>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</si>
  <si>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</si>
  <si>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</si>
  <si>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</si>
  <si>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</si>
  <si>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</si>
  <si>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</si>
  <si>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</si>
  <si>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</si>
  <si>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</si>
  <si>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</si>
  <si>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</si>
  <si>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</si>
  <si>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</si>
  <si>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</si>
  <si>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</si>
  <si>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</si>
  <si>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</si>
  <si>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</si>
  <si>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</si>
  <si>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</si>
  <si>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</si>
  <si>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</si>
  <si>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</si>
  <si>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</si>
  <si>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</si>
  <si>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</si>
  <si>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</si>
  <si>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</si>
  <si>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</si>
  <si>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</si>
  <si>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</si>
  <si>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</si>
  <si>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</si>
  <si>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</si>
  <si>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</si>
  <si>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</si>
  <si>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</si>
  <si>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</si>
  <si>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</si>
  <si>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</si>
  <si>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</si>
  <si>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</si>
  <si>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</si>
  <si>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</si>
  <si>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</si>
  <si>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</si>
  <si>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</si>
  <si>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</si>
  <si>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</si>
  <si>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</si>
  <si>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</si>
  <si>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</si>
  <si>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</si>
  <si>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</si>
  <si>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</si>
  <si>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</si>
  <si>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</si>
  <si>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</si>
  <si>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</si>
  <si>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</si>
  <si>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</si>
  <si>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</si>
  <si>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</si>
  <si>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</si>
  <si>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</si>
  <si>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</si>
  <si>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</si>
  <si>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</si>
  <si>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</si>
  <si>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</si>
  <si>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</si>
  <si>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</si>
  <si>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</si>
  <si>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</si>
  <si>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</si>
  <si>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</si>
  <si>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</si>
  <si>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</si>
  <si>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</si>
  <si>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</si>
  <si>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</si>
  <si>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</si>
  <si>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</si>
  <si>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</si>
  <si>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</si>
  <si>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</si>
  <si>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</si>
  <si>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</si>
  <si>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</si>
  <si>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</si>
  <si>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</si>
  <si>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</si>
  <si>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</si>
  <si>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</si>
  <si>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</si>
  <si>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</si>
  <si>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</si>
  <si>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</si>
  <si>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</si>
  <si>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</si>
  <si>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</si>
  <si>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</si>
  <si>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</si>
  <si>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</si>
  <si>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</si>
  <si>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</si>
  <si>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</si>
  <si>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</si>
  <si>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</si>
  <si>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</si>
  <si>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</si>
  <si>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</si>
  <si>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</si>
  <si>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</si>
  <si>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</si>
  <si>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</si>
  <si>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</si>
  <si>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</si>
  <si>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</si>
  <si>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</si>
  <si>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</si>
  <si>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</si>
  <si>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</si>
  <si>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</si>
  <si>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</si>
  <si>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</si>
  <si>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</si>
  <si>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</si>
  <si>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</si>
  <si>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</si>
  <si>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</si>
  <si>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</si>
  <si>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</si>
  <si>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</si>
  <si>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</si>
  <si>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</si>
  <si>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</si>
  <si>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</si>
  <si>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</si>
  <si>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</si>
  <si>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</si>
  <si>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</si>
  <si>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</si>
  <si>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</si>
  <si>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</si>
  <si>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</si>
  <si>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</si>
  <si>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</si>
  <si>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</si>
  <si>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</si>
  <si>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</si>
  <si>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</si>
  <si>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</si>
  <si>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</si>
  <si>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</si>
  <si>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</si>
  <si>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</si>
  <si>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</si>
  <si>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</si>
  <si>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</si>
  <si>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</si>
  <si>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</si>
  <si>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</si>
  <si>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</si>
  <si>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</si>
  <si>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</si>
  <si>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</si>
  <si>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</si>
  <si>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</si>
  <si>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</si>
  <si>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</si>
  <si>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</si>
  <si>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</si>
  <si>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</si>
  <si>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</si>
  <si>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</si>
  <si>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</si>
  <si>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</si>
  <si>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</si>
  <si>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</si>
  <si>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</si>
  <si>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</si>
  <si>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</si>
  <si>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</si>
  <si>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</si>
  <si>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</si>
  <si>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</si>
  <si>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</si>
  <si>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</si>
  <si>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</si>
  <si>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</si>
  <si>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</si>
  <si>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</si>
  <si>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</si>
  <si>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</si>
  <si>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</si>
  <si>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</si>
  <si>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</si>
  <si>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</si>
  <si>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</si>
  <si>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</si>
  <si>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</si>
  <si>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</si>
  <si>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</si>
  <si>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</si>
  <si>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</si>
  <si>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</si>
  <si>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</si>
  <si>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</si>
  <si>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</si>
  <si>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</si>
  <si>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</si>
  <si>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</si>
  <si>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</si>
  <si>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</si>
  <si>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</si>
  <si>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</si>
  <si>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</si>
  <si>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</si>
  <si>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</si>
  <si>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</si>
  <si>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</si>
  <si>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</si>
  <si>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</si>
  <si>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</si>
  <si>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</si>
  <si>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</si>
  <si>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</si>
  <si>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</si>
  <si>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</si>
  <si>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</si>
  <si>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</si>
  <si>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</si>
  <si>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</si>
  <si>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</si>
  <si>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</si>
  <si>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</si>
  <si>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</si>
  <si>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</si>
  <si>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</si>
  <si>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</si>
  <si>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</si>
  <si>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</si>
  <si>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</si>
  <si>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</si>
  <si>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</si>
  <si>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</si>
  <si>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</si>
  <si>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</si>
  <si>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</si>
  <si>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</si>
  <si>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</si>
  <si>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</si>
  <si>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</si>
  <si>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</si>
  <si>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</si>
  <si>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</si>
  <si>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</si>
  <si>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</si>
  <si>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</si>
  <si>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</si>
  <si>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</si>
  <si>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</si>
  <si>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</si>
  <si>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</si>
  <si>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</si>
  <si>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</si>
  <si>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</si>
  <si>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</si>
  <si>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</si>
  <si>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</si>
  <si>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</si>
  <si>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</si>
  <si>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</si>
  <si>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</si>
  <si>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</si>
  <si>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</si>
  <si>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</si>
  <si>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</si>
  <si>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</si>
  <si>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</si>
  <si>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</si>
  <si>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</si>
  <si>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</si>
  <si>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</si>
  <si>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</si>
  <si>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</si>
  <si>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</si>
  <si>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</si>
  <si>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</si>
  <si>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</si>
  <si>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</si>
  <si>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</si>
  <si>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</si>
  <si>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</si>
  <si>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</si>
  <si>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</si>
  <si>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</si>
  <si>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</si>
  <si>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</si>
  <si>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</si>
  <si>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</si>
  <si>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</si>
  <si>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</si>
  <si>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</si>
  <si>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</si>
  <si>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</si>
  <si>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</si>
  <si>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</si>
  <si>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</si>
  <si>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</si>
  <si>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</si>
  <si>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</si>
  <si>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</si>
  <si>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</si>
  <si>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</si>
  <si>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</si>
  <si>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</si>
  <si>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</si>
  <si>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</si>
  <si>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</si>
  <si>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</si>
  <si>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</si>
  <si>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</si>
  <si>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</si>
  <si>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</si>
  <si>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</si>
  <si>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</si>
  <si>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</si>
  <si>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</si>
  <si>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</si>
  <si>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</si>
  <si>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</si>
  <si>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</si>
  <si>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</si>
  <si>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</si>
  <si>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</si>
  <si>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</si>
  <si>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</si>
  <si>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</si>
  <si>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</si>
  <si>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</si>
  <si>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</si>
  <si>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</si>
  <si>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</si>
  <si>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</si>
  <si>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</si>
  <si>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</si>
  <si>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</si>
  <si>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</si>
  <si>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</si>
  <si>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</si>
  <si>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</si>
  <si>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</si>
  <si>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</si>
  <si>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</si>
  <si>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</si>
  <si>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</si>
  <si>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</si>
  <si>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</si>
  <si>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</si>
  <si>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</si>
  <si>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</si>
  <si>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</si>
  <si>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</si>
  <si>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</si>
  <si>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</si>
  <si>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</si>
  <si>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</si>
  <si>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</si>
  <si>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</si>
  <si>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</si>
  <si>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</si>
  <si>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</si>
  <si>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</si>
  <si>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</si>
  <si>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</si>
  <si>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</si>
  <si>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</si>
  <si>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</si>
  <si>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</si>
  <si>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</si>
  <si>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</si>
  <si>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</si>
  <si>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</si>
  <si>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</si>
  <si>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</si>
  <si>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</si>
  <si>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</si>
  <si>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</si>
  <si>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</si>
  <si>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</si>
  <si>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</si>
  <si>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</si>
  <si>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</si>
  <si>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</si>
  <si>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</si>
  <si>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</si>
  <si>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</si>
  <si>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</si>
  <si>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</si>
  <si>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</si>
  <si>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</si>
  <si>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</si>
  <si>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</si>
  <si>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</si>
  <si>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</si>
  <si>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</si>
  <si>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</si>
  <si>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</si>
  <si>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</si>
  <si>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</si>
  <si>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</si>
  <si>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</si>
  <si>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</si>
  <si>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</si>
  <si>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</si>
  <si>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</si>
  <si>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</si>
  <si>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</si>
  <si>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</si>
  <si>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</si>
  <si>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</si>
  <si>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</si>
  <si>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</si>
  <si>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</si>
  <si>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</si>
  <si>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</si>
  <si>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</si>
  <si>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</si>
  <si>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</si>
  <si>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</si>
  <si>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</si>
  <si>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</si>
  <si>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</si>
  <si>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</si>
  <si>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</si>
  <si>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</si>
  <si>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</si>
  <si>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</si>
  <si>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</si>
  <si>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</si>
  <si>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</si>
  <si>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</si>
  <si>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</si>
  <si>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</si>
  <si>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</si>
  <si>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</si>
  <si>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</si>
  <si>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</si>
  <si>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</si>
  <si>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</si>
  <si>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</si>
  <si>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</si>
  <si>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</si>
  <si>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</si>
  <si>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</si>
  <si>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</si>
  <si>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</si>
  <si>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</si>
  <si>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</si>
  <si>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</si>
  <si>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</si>
  <si>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</si>
  <si>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</si>
  <si>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</si>
  <si>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</si>
  <si>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</si>
  <si>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</si>
  <si>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</si>
  <si>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</si>
  <si>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</si>
  <si>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</si>
  <si>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</si>
  <si>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</si>
  <si>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</si>
  <si>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</si>
  <si>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</si>
  <si>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</si>
  <si>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</si>
  <si>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</si>
  <si>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</si>
  <si>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</si>
  <si>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</si>
  <si>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</si>
  <si>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</si>
  <si>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</si>
  <si>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</si>
  <si>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</si>
  <si>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</si>
  <si>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</si>
  <si>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</si>
  <si>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</si>
  <si>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</si>
  <si>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</si>
  <si>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</si>
  <si>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</si>
  <si>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</si>
  <si>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</si>
  <si>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</si>
  <si>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</si>
  <si>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</si>
  <si>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</si>
  <si>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</si>
  <si>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</si>
  <si>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</si>
  <si>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</si>
  <si>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</si>
  <si>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</si>
  <si>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</si>
  <si>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</si>
  <si>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</si>
  <si>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</si>
  <si>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</si>
  <si>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</si>
  <si>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</si>
  <si>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</si>
  <si>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</si>
  <si>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</si>
  <si>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</si>
  <si>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</si>
  <si>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</si>
  <si>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</si>
  <si>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</si>
  <si>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</si>
  <si>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</si>
  <si>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</si>
  <si>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</si>
  <si>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</si>
  <si>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</si>
  <si>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</si>
  <si>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</si>
  <si>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</si>
  <si>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</si>
  <si>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</si>
  <si>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</si>
  <si>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</si>
  <si>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</si>
  <si>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</si>
  <si>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</si>
  <si>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</si>
  <si>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</si>
  <si>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</si>
  <si>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</si>
  <si>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</si>
  <si>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</si>
  <si>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</si>
  <si>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</si>
  <si>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</si>
  <si>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</si>
  <si>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</si>
  <si>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</si>
  <si>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</si>
  <si>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</si>
  <si>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</si>
  <si>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</si>
  <si>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</si>
  <si>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</si>
  <si>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</si>
  <si>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</si>
  <si>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</si>
  <si>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</si>
  <si>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</si>
  <si>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</si>
  <si>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</si>
  <si>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</si>
  <si>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</si>
  <si>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</si>
  <si>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</si>
  <si>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</si>
  <si>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</si>
  <si>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</si>
  <si>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</si>
  <si>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</si>
  <si>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</si>
  <si>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</si>
  <si>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</si>
  <si>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</si>
  <si>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</si>
  <si>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</si>
  <si>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</si>
  <si>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</si>
  <si>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</si>
  <si>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</si>
  <si>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</si>
  <si>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</si>
  <si>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</si>
  <si>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</si>
  <si>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</si>
  <si>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</si>
  <si>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</si>
  <si>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</si>
  <si>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</si>
  <si>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</si>
  <si>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</si>
  <si>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</si>
  <si>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</si>
  <si>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</si>
  <si>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</si>
  <si>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</si>
  <si>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</si>
  <si>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</si>
  <si>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</si>
  <si>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</si>
  <si>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</si>
  <si>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</si>
  <si>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</si>
  <si>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</si>
  <si>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</si>
  <si>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</si>
  <si>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</si>
  <si>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</si>
  <si>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</si>
  <si>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</si>
  <si>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</si>
  <si>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</si>
  <si>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</si>
  <si>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</si>
  <si>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</si>
  <si>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</si>
  <si>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</si>
  <si>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</si>
  <si>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</si>
  <si>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</si>
  <si>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</si>
  <si>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</si>
  <si>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</si>
  <si>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</si>
  <si>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</si>
  <si>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</si>
  <si>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</si>
  <si>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</si>
  <si>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</si>
  <si>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</si>
  <si>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</si>
  <si>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</si>
  <si>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</si>
  <si>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</si>
  <si>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</si>
  <si>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</si>
  <si>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</si>
  <si>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</si>
  <si>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</si>
  <si>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</si>
  <si>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</si>
  <si>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</si>
  <si>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</si>
  <si>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</si>
  <si>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</si>
  <si>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</si>
  <si>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</si>
  <si>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</si>
  <si>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</si>
  <si>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</si>
  <si>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</si>
  <si>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</si>
  <si>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</si>
  <si>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</si>
  <si>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</si>
  <si>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</si>
  <si>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</si>
  <si>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</si>
  <si>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</si>
  <si>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</si>
  <si>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</si>
  <si>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</si>
  <si>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</si>
  <si>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</si>
  <si>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</si>
  <si>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</si>
  <si>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</si>
  <si>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</si>
  <si>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</si>
  <si>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</si>
  <si>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</si>
  <si>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</si>
  <si>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</si>
  <si>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</si>
  <si>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</si>
  <si>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</si>
  <si>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</si>
  <si>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</si>
  <si>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</si>
  <si>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</si>
  <si>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</si>
  <si>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</si>
  <si>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</si>
  <si>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</si>
  <si>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</si>
  <si>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</si>
  <si>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</si>
  <si>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</si>
  <si>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</si>
  <si>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</si>
  <si>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</si>
  <si>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</si>
  <si>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</si>
  <si>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</si>
  <si>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</si>
  <si>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</si>
  <si>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</si>
  <si>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</si>
  <si>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</si>
  <si>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</si>
  <si>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</si>
  <si>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</si>
  <si>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</si>
  <si>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</si>
  <si>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</si>
  <si>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</si>
  <si>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</si>
  <si>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</si>
  <si>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</si>
  <si>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</si>
  <si>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</si>
  <si>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</si>
  <si>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</si>
  <si>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</si>
  <si>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</si>
  <si>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</si>
  <si>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</si>
  <si>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</si>
  <si>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</si>
  <si>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</si>
  <si>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</si>
  <si>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</si>
  <si>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</si>
  <si>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</si>
  <si>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</si>
  <si>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</si>
  <si>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</si>
  <si>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</si>
  <si>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</si>
  <si>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</si>
  <si>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</si>
  <si>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</si>
  <si>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</si>
  <si>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</si>
  <si>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</si>
  <si>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</si>
  <si>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</si>
  <si>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</si>
  <si>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</si>
  <si>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</si>
  <si>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</si>
  <si>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</si>
  <si>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</si>
  <si>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</si>
  <si>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</si>
  <si>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</si>
  <si>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</si>
  <si>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</si>
  <si>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</si>
  <si>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</si>
  <si>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</si>
  <si>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</si>
  <si>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</si>
  <si>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</si>
  <si>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</si>
  <si>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</si>
  <si>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</si>
  <si>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</si>
  <si>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</si>
  <si>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</si>
  <si>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</si>
  <si>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</si>
  <si>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</si>
  <si>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</si>
  <si>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</si>
  <si>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</si>
  <si>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</si>
  <si>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</si>
  <si>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</si>
  <si>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</si>
  <si>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</si>
  <si>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</si>
  <si>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</si>
  <si>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</si>
  <si>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</si>
  <si>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</si>
  <si>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</si>
  <si>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</si>
  <si>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</si>
  <si>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</si>
  <si>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</si>
  <si>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</si>
  <si>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</si>
  <si>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</si>
  <si>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</si>
  <si>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</si>
  <si>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</si>
  <si>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</si>
  <si>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</si>
  <si>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</si>
  <si>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</si>
  <si>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</si>
  <si>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</si>
  <si>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</si>
  <si>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</si>
  <si>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</si>
  <si>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</si>
  <si>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</si>
  <si>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</si>
  <si>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</si>
  <si>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</si>
  <si>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</si>
  <si>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</si>
  <si>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</si>
  <si>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</si>
  <si>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</si>
  <si>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</si>
  <si>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</si>
  <si>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</si>
  <si>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</si>
  <si>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</si>
  <si>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</si>
  <si>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</si>
  <si>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</si>
  <si>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</si>
  <si>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</si>
  <si>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</si>
  <si>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</si>
  <si>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</si>
  <si>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</si>
  <si>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</si>
  <si>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</si>
  <si>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</si>
  <si>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</si>
  <si>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</si>
  <si>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</si>
  <si>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</si>
  <si>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C12-350</t>
  </si>
  <si>
    <t>BTG</t>
  </si>
  <si>
    <t>CM2-12</t>
  </si>
  <si>
    <t>CC1-A</t>
  </si>
  <si>
    <t>CM2-11M</t>
  </si>
  <si>
    <t>-7.064108, 110.873143</t>
  </si>
  <si>
    <t xml:space="preserve">Jumper Wire : </t>
  </si>
  <si>
    <t>NFA2X-T 3 x 70 + N 50 mm²</t>
  </si>
  <si>
    <t>Stainless Steel Strap 20 X 0.7 mm</t>
  </si>
  <si>
    <t>LVCB 2 Jurusan Untuk 2 Tiang (M8-A2)</t>
  </si>
  <si>
    <t>Sepatu Kabel CU/CU-150 mm²</t>
  </si>
  <si>
    <t>DS PUTAT</t>
  </si>
  <si>
    <t>PWI10</t>
  </si>
  <si>
    <t>K2-621/87</t>
  </si>
  <si>
    <t>APP 3P 164KVA</t>
  </si>
  <si>
    <t>G313 160KVA</t>
  </si>
  <si>
    <t>PB AHMAD IDRIS (PT. PERMATA MEDIKA UTAMI) 164KVA</t>
  </si>
  <si>
    <t>Daya 164.000 VA</t>
  </si>
  <si>
    <t>Trafo 3 Fasa 160 KVA 2 Tiang (G313)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</si>
</sst>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7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0" fontId="112" fillId="0" borderId="21" xfId="1652" applyFont="1" applyBorder="1" applyAlignment="1">
      <alignment vertical="center"/>
    </xf>
    <xf numFmtId="0" fontId="42" fillId="0" borderId="21" xfId="1450" applyFont="1" applyBorder="1" applyAlignment="1">
      <alignment vertical="center" wrapText="1"/>
    </xf>
    <xf numFmtId="0" fontId="42" fillId="0" borderId="21" xfId="1450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3" fillId="33" borderId="50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1.0250000000000001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224367</xdr:colOff>
      <xdr:row>20</xdr:row>
      <xdr:rowOff>137993</xdr:rowOff>
    </xdr:from>
    <xdr:to>
      <xdr:col>21</xdr:col>
      <xdr:colOff>67205</xdr:colOff>
      <xdr:row>22</xdr:row>
      <xdr:rowOff>19050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414867" y="3133076"/>
          <a:ext cx="7198255" cy="17739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129012</xdr:colOff>
      <xdr:row>19</xdr:row>
      <xdr:rowOff>37255</xdr:rowOff>
    </xdr:from>
    <xdr:to>
      <xdr:col>16</xdr:col>
      <xdr:colOff>273564</xdr:colOff>
      <xdr:row>20</xdr:row>
      <xdr:rowOff>33688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5769929" y="2884172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344804</xdr:colOff>
      <xdr:row>19</xdr:row>
      <xdr:rowOff>29421</xdr:rowOff>
    </xdr:from>
    <xdr:to>
      <xdr:col>13</xdr:col>
      <xdr:colOff>108356</xdr:colOff>
      <xdr:row>20</xdr:row>
      <xdr:rowOff>25854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4461721" y="2876338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160064</xdr:colOff>
      <xdr:row>11</xdr:row>
      <xdr:rowOff>81488</xdr:rowOff>
    </xdr:from>
    <xdr:to>
      <xdr:col>14</xdr:col>
      <xdr:colOff>229406</xdr:colOff>
      <xdr:row>17</xdr:row>
      <xdr:rowOff>31325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4267942" y="1741527"/>
          <a:ext cx="849420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42333</xdr:colOff>
      <xdr:row>19</xdr:row>
      <xdr:rowOff>95250</xdr:rowOff>
    </xdr:from>
    <xdr:to>
      <xdr:col>17</xdr:col>
      <xdr:colOff>328082</xdr:colOff>
      <xdr:row>19</xdr:row>
      <xdr:rowOff>105833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2635250" y="2942167"/>
          <a:ext cx="3714749" cy="105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14393</xdr:colOff>
      <xdr:row>18</xdr:row>
      <xdr:rowOff>35137</xdr:rowOff>
    </xdr:from>
    <xdr:to>
      <xdr:col>12</xdr:col>
      <xdr:colOff>180128</xdr:colOff>
      <xdr:row>19</xdr:row>
      <xdr:rowOff>35137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4131310" y="2733887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168383</xdr:colOff>
      <xdr:row>19</xdr:row>
      <xdr:rowOff>114406</xdr:rowOff>
    </xdr:from>
    <xdr:to>
      <xdr:col>12</xdr:col>
      <xdr:colOff>18386</xdr:colOff>
      <xdr:row>20</xdr:row>
      <xdr:rowOff>51431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904300" y="2961323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364703</xdr:colOff>
      <xdr:row>19</xdr:row>
      <xdr:rowOff>58633</xdr:rowOff>
    </xdr:from>
    <xdr:to>
      <xdr:col>12</xdr:col>
      <xdr:colOff>3113</xdr:colOff>
      <xdr:row>20</xdr:row>
      <xdr:rowOff>94086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338620" y="2905550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363221</xdr:colOff>
      <xdr:row>15</xdr:row>
      <xdr:rowOff>19896</xdr:rowOff>
    </xdr:from>
    <xdr:to>
      <xdr:col>12</xdr:col>
      <xdr:colOff>105834</xdr:colOff>
      <xdr:row>17</xdr:row>
      <xdr:rowOff>74084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2956138" y="2274146"/>
          <a:ext cx="1266613" cy="350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164KVA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295275</xdr:colOff>
      <xdr:row>19</xdr:row>
      <xdr:rowOff>23811</xdr:rowOff>
    </xdr:from>
    <xdr:to>
      <xdr:col>9</xdr:col>
      <xdr:colOff>58827</xdr:colOff>
      <xdr:row>20</xdr:row>
      <xdr:rowOff>20245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2888192" y="2870728"/>
          <a:ext cx="144552" cy="14460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306915</xdr:colOff>
      <xdr:row>20</xdr:row>
      <xdr:rowOff>116416</xdr:rowOff>
    </xdr:from>
    <xdr:to>
      <xdr:col>13</xdr:col>
      <xdr:colOff>116416</xdr:colOff>
      <xdr:row>28</xdr:row>
      <xdr:rowOff>63500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F4E30960-589C-4110-B76D-3E686ADA01F6}"/>
            </a:ext>
          </a:extLst>
        </xdr:cNvPr>
        <xdr:cNvSpPr txBox="1"/>
      </xdr:nvSpPr>
      <xdr:spPr>
        <a:xfrm>
          <a:off x="3280832" y="3111499"/>
          <a:ext cx="1333501" cy="113241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K2-621/87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G313 160KVA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LVCB 2 JURUSAN 2 TIANG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52916</xdr:colOff>
      <xdr:row>19</xdr:row>
      <xdr:rowOff>31750</xdr:rowOff>
    </xdr:from>
    <xdr:to>
      <xdr:col>12</xdr:col>
      <xdr:colOff>197468</xdr:colOff>
      <xdr:row>20</xdr:row>
      <xdr:rowOff>28183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2082ED50-C770-4CE2-8331-4221BC02AC1A}"/>
            </a:ext>
          </a:extLst>
        </xdr:cNvPr>
        <xdr:cNvGrpSpPr/>
      </xdr:nvGrpSpPr>
      <xdr:grpSpPr>
        <a:xfrm>
          <a:off x="4169833" y="2878667"/>
          <a:ext cx="144552" cy="144599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7D547B66-FE30-ECFC-B1CD-9529C7E2812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07729CED-806C-D9DC-31E4-01854491BC8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D207DC6B-7D0E-1E51-F8F2-DCF1B5E5EDC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26</xdr:col>
      <xdr:colOff>20266</xdr:colOff>
      <xdr:row>52</xdr:row>
      <xdr:rowOff>40532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9A3768-DEAD-7990-4726-437E384EB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810638"/>
          <a:ext cx="13963245" cy="76605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7</xdr:row>
      <xdr:rowOff>0</xdr:rowOff>
    </xdr:from>
    <xdr:to>
      <xdr:col>28</xdr:col>
      <xdr:colOff>110756</xdr:colOff>
      <xdr:row>49</xdr:row>
      <xdr:rowOff>110755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5B1A66-D206-07A3-B2C0-3A97BABA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1063256"/>
          <a:ext cx="14509012" cy="66231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3" t="s">
        <v>1133</v>
      </c>
      <c r="C4" s="533"/>
      <c r="D4" s="533"/>
      <c r="E4" s="533"/>
      <c r="F4" s="533"/>
      <c r="G4" s="533"/>
      <c r="H4" s="53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4" t="s">
        <v>0</v>
      </c>
      <c r="C7" s="534" t="s">
        <v>1</v>
      </c>
      <c r="D7" s="535" t="s">
        <v>42</v>
      </c>
      <c r="E7" s="535" t="s">
        <v>43</v>
      </c>
      <c r="F7" s="535" t="s">
        <v>1134</v>
      </c>
      <c r="G7" s="536" t="s">
        <v>41</v>
      </c>
      <c r="H7" s="532" t="s">
        <v>1042</v>
      </c>
      <c r="I7" s="532" t="s">
        <v>1136</v>
      </c>
      <c r="J7" s="532" t="s">
        <v>1026</v>
      </c>
      <c r="K7" s="526" t="s">
        <v>1024</v>
      </c>
      <c r="L7" s="527"/>
    </row>
    <row r="8" spans="1:12" ht="15" customHeight="1">
      <c r="B8" s="534"/>
      <c r="C8" s="534"/>
      <c r="D8" s="535"/>
      <c r="E8" s="535"/>
      <c r="F8" s="535"/>
      <c r="G8" s="536"/>
      <c r="H8" s="532"/>
      <c r="I8" s="532"/>
      <c r="J8" s="532"/>
      <c r="K8" s="528"/>
      <c r="L8" s="529"/>
    </row>
    <row r="9" spans="1:12" ht="15" customHeight="1">
      <c r="B9" s="534"/>
      <c r="C9" s="534"/>
      <c r="D9" s="535"/>
      <c r="E9" s="535"/>
      <c r="F9" s="535"/>
      <c r="G9" s="536"/>
      <c r="H9" s="532"/>
      <c r="I9" s="532"/>
      <c r="J9" s="532"/>
      <c r="K9" s="530"/>
      <c r="L9" s="53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164 kVA MCCB 250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LVCB 2 Jurusan 400 A LBS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1</v>
      </c>
      <c r="G15" s="41">
        <f ca="1">IF(ISERROR(OFFSET('HARGA SATUAN'!$I$6,MATCH(C15,'HARGA SATUAN'!$C$7:$C$1495,0),0)),"",OFFSET('HARGA SATUAN'!$I$6,MATCH(C15,'HARGA SATUAN'!$C$7:$C$1495,0),0))</f>
        <v>12223800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FCO Polymer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848250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Lightning Arester (Polymer) 21 KV, 10 KA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3</v>
      </c>
      <c r="G17" s="41">
        <f ca="1">IF(ISERROR(OFFSET('HARGA SATUAN'!$I$6,MATCH(C17,'HARGA SATUAN'!$C$7:$C$1495,0),0)),"",OFFSET('HARGA SATUAN'!$I$6,MATCH(C17,'HARGA SATUAN'!$C$7:$C$1495,0),0))</f>
        <v>725900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Pin Post ) 20 KV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38">
        <f t="shared" ca="1" si="2"/>
        <v>2</v>
      </c>
      <c r="G18" s="41">
        <f ca="1">IF(ISERROR(OFFSET('HARGA SATUAN'!$I$6,MATCH(C18,'HARGA SATUAN'!$C$7:$C$1495,0),0)),"",OFFSET('HARGA SATUAN'!$I$6,MATCH(C18,'HARGA SATUAN'!$C$7:$C$1495,0),0))</f>
        <v>235900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Isolator Tumpu ( Line Post ) 20 KV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176900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38">
        <f t="shared" ca="1" si="2"/>
        <v>9</v>
      </c>
      <c r="G20" s="41">
        <f ca="1">IF(ISERROR(OFFSET('HARGA SATUAN'!$I$6,MATCH(C20,'HARGA SATUAN'!$C$7:$C$1495,0),0)),"",OFFSET('HARGA SATUAN'!$I$6,MATCH(C20,'HARGA SATUAN'!$C$7:$C$1495,0),0))</f>
        <v>14200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150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38">
        <f t="shared" ca="1" si="2"/>
        <v>68</v>
      </c>
      <c r="G21" s="41">
        <f ca="1">IF(ISERROR(OFFSET('HARGA SATUAN'!$I$6,MATCH(C21,'HARGA SATUAN'!$C$7:$C$1495,0),0)),"",OFFSET('HARGA SATUAN'!$I$6,MATCH(C21,'HARGA SATUAN'!$C$7:$C$1495,0),0))</f>
        <v>218600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SATUAN'!$C$7:$C$1495,0),0)),"",OFFSET('HARGA SATUAN'!$D$6,MATCH(C22,'HARGA SATUAN'!$C$7:$C$1495,0),0))</f>
        <v>HDW</v>
      </c>
      <c r="E22" s="101" t="str">
        <f ca="1">IF(B22="+","Unit",IF(ISERROR(OFFSET('HARGA SATUAN'!$E$6,MATCH(C22,'HARGA SATUAN'!$C$7:$C$1495,0),0)),"",OFFSET('HARGA SATUAN'!$E$6,MATCH(C22,'HARGA SATUAN'!$C$7:$C$1495,0),0)))</f>
        <v>Unit</v>
      </c>
      <c r="F22" s="138">
        <f t="shared" ca="1" si="2"/>
        <v>1</v>
      </c>
      <c r="G22" s="41">
        <f ca="1">IF(ISERROR(OFFSET('HARGA SATUAN'!$I$6,MATCH(C22,'HARGA SATUAN'!$C$7:$C$1495,0),0)),"",OFFSET('HARGA SATUAN'!$I$6,MATCH(C22,'HARGA SATUAN'!$C$7:$C$1495,0),0))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SUMIFS(RAB!$F$14:$F$131,RAB!$C$14:$C$131,C714)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SUMIFS(RAB!$F$14:$F$131,RAB!$C$14:$C$131,C715)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SUMIFS(RAB!$F$14:$F$131,RAB!$C$14:$C$131,C716)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SUMIFS(RAB!$F$14:$F$131,RAB!$C$14:$C$131,C717)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SUMIFS(RAB!$F$14:$F$131,RAB!$C$14:$C$131,C718)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SUMIFS(RAB!$F$14:$F$131,RAB!$C$14:$C$131,C719)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SUMIFS(RAB!$F$14:$F$131,RAB!$C$14:$C$131,C720)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SUMIFS(RAB!$F$14:$F$131,RAB!$C$14:$C$131,C721)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SUMIFS(RAB!$F$14:$F$131,RAB!$C$14:$C$131,C722)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SUMIFS(RAB!$F$14:$F$131,RAB!$C$14:$C$131,C723)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SUMIFS(RAB!$F$14:$F$131,RAB!$C$14:$C$131,C724)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SUMIFS(RAB!$F$14:$F$131,RAB!$C$14:$C$131,C725)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SUMIFS(RAB!$F$14:$F$131,RAB!$C$14:$C$131,C726)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SUMIFS(RAB!$F$14:$F$131,RAB!$C$14:$C$131,C727)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SUMIFS(RAB!$F$14:$F$131,RAB!$C$14:$C$131,C728)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SUMIFS(RAB!$F$14:$F$131,RAB!$C$14:$C$131,C729)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SUMIFS(RAB!$F$14:$F$131,RAB!$C$14:$C$131,C730)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SUMIFS(RAB!$F$14:$F$131,RAB!$C$14:$C$131,C731)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SUMIFS(RAB!$F$14:$F$131,RAB!$C$14:$C$131,C732)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SUMIFS(RAB!$F$14:$F$131,RAB!$C$14:$C$131,C733)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SUMIFS(RAB!$F$14:$F$131,RAB!$C$14:$C$131,C734)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SUMIFS(RAB!$F$14:$F$131,RAB!$C$14:$C$131,C735)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SUMIFS(RAB!$F$14:$F$131,RAB!$C$14:$C$131,C736)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SUMIFS(RAB!$F$14:$F$131,RAB!$C$14:$C$131,C737)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SUMIFS(RAB!$F$14:$F$131,RAB!$C$14:$C$131,C738)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SUMIFS(RAB!$F$14:$F$131,RAB!$C$14:$C$131,C739)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SUMIFS(RAB!$F$14:$F$131,RAB!$C$14:$C$131,C740)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SUMIFS(RAB!$F$14:$F$131,RAB!$C$14:$C$131,C741)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SUMIFS(RAB!$F$14:$F$131,RAB!$C$14:$C$131,C742)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SUMIFS(RAB!$F$14:$F$131,RAB!$C$14:$C$131,C743)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SUMIFS(RAB!$F$14:$F$131,RAB!$C$14:$C$131,C744)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SUMIFS(RAB!$F$14:$F$131,RAB!$C$14:$C$131,C745)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SUMIFS(RAB!$F$14:$F$131,RAB!$C$14:$C$131,C746)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SUMIFS(RAB!$F$14:$F$131,RAB!$C$14:$C$131,C747)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SUMIFS(RAB!$F$14:$F$131,RAB!$C$14:$C$131,C748)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SUMIFS(RAB!$F$14:$F$131,RAB!$C$14:$C$131,C749)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SUMIFS(RAB!$F$14:$F$131,RAB!$C$14:$C$131,C750)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SUMIFS(RAB!$F$14:$F$131,RAB!$C$14:$C$131,C751)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SUMIFS(RAB!$F$14:$F$131,RAB!$C$14:$C$131,C752)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SUMIFS(RAB!$F$14:$F$131,RAB!$C$14:$C$131,C753)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SUMIFS(RAB!$F$14:$F$131,RAB!$C$14:$C$131,C754)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SUMIFS(RAB!$F$14:$F$131,RAB!$C$14:$C$131,C755)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SUMIFS(RAB!$F$14:$F$131,RAB!$C$14:$C$131,C756)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SUMIFS(RAB!$F$14:$F$131,RAB!$C$14:$C$131,C757)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SUMIFS(RAB!$F$14:$F$131,RAB!$C$14:$C$131,C758)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SUMIFS(RAB!$F$14:$F$131,RAB!$C$14:$C$131,C759)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SUMIFS(RAB!$F$14:$F$131,RAB!$C$14:$C$131,C760)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SUMIFS(RAB!$F$14:$F$131,RAB!$C$14:$C$131,C761)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SUMIFS(RAB!$F$14:$F$131,RAB!$C$14:$C$131,C762)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SUMIFS(RAB!$F$14:$F$131,RAB!$C$14:$C$131,C763)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SUMIFS(RAB!$F$14:$F$131,RAB!$C$14:$C$131,C764)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SUMIFS(RAB!$F$14:$F$131,RAB!$C$14:$C$131,C765)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SUMIFS(RAB!$F$14:$F$131,RAB!$C$14:$C$131,C766)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SUMIFS(RAB!$F$14:$F$131,RAB!$C$14:$C$131,C767)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SUMIFS(RAB!$F$14:$F$131,RAB!$C$14:$C$131,C768)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SUMIFS(RAB!$F$14:$F$131,RAB!$C$14:$C$131,C769)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SUMIFS(RAB!$F$14:$F$131,RAB!$C$14:$C$131,C770)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SUMIFS(RAB!$F$14:$F$131,RAB!$C$14:$C$131,C771)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SUMIFS(RAB!$F$14:$F$131,RAB!$C$14:$C$131,C772)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SUMIFS(RAB!$F$14:$F$131,RAB!$C$14:$C$131,C773)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SUMIFS(RAB!$F$14:$F$131,RAB!$C$14:$C$131,C774)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SUMIFS(RAB!$F$14:$F$131,RAB!$C$14:$C$131,C775)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SUMIFS(RAB!$F$14:$F$131,RAB!$C$14:$C$131,C776)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SUMIFS(RAB!$F$14:$F$131,RAB!$C$14:$C$131,C777)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SUMIFS(RAB!$F$14:$F$131,RAB!$C$14:$C$131,C778)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SUMIFS(RAB!$F$14:$F$131,RAB!$C$14:$C$131,C779)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SUMIFS(RAB!$F$14:$F$131,RAB!$C$14:$C$131,C780)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SUMIFS(RAB!$F$14:$F$131,RAB!$C$14:$C$131,C781)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SUMIFS(RAB!$F$14:$F$131,RAB!$C$14:$C$131,C782)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SUMIFS(RAB!$F$14:$F$131,RAB!$C$14:$C$131,C783)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SUMIFS(RAB!$F$14:$F$131,RAB!$C$14:$C$131,C784)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SUMIFS(RAB!$F$14:$F$131,RAB!$C$14:$C$131,C785)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SUMIFS(RAB!$F$14:$F$131,RAB!$C$14:$C$131,C786)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SUMIFS(RAB!$F$14:$F$131,RAB!$C$14:$C$131,C787)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SUMIFS(RAB!$F$14:$F$131,RAB!$C$14:$C$131,C788)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SUMIFS(RAB!$F$14:$F$131,RAB!$C$14:$C$131,C789)</f>
        <v>1</v>
      </c>
      <c r="E789" s="26">
        <f t="shared" ca="1" si="34"/>
        <v>1</v>
      </c>
      <c r="F789" s="26">
        <f ca="1">IF(D789=0,0,SUM($E$713:E789))</f>
        <v>2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SUMIFS(RAB!$F$14:$F$131,RAB!$C$14:$C$131,C790)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SUMIFS(RAB!$F$14:$F$131,RAB!$C$14:$C$131,C791)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SUMIFS(RAB!$F$14:$F$131,RAB!$C$14:$C$131,C792)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SUMIFS(RAB!$F$14:$F$131,RAB!$C$14:$C$131,C793)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SUMIFS(RAB!$F$14:$F$131,RAB!$C$14:$C$131,C794)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SUMIFS(RAB!$F$14:$F$131,RAB!$C$14:$C$131,C795)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SUMIFS(RAB!$F$14:$F$131,RAB!$C$14:$C$131,C796)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SUMIFS(RAB!$F$14:$F$131,RAB!$C$14:$C$131,C797)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SUMIFS(RAB!$F$14:$F$131,RAB!$C$14:$C$131,C798)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SUMIFS(RAB!$F$14:$F$131,RAB!$C$14:$C$131,C799)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SUMIFS(RAB!$F$14:$F$131,RAB!$C$14:$C$131,C800)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SUMIFS(RAB!$F$14:$F$131,RAB!$C$14:$C$131,C801)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SUMIFS(RAB!$F$14:$F$131,RAB!$C$14:$C$131,C802)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SUMIFS(RAB!$F$14:$F$131,RAB!$C$14:$C$131,C803)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SUMIFS(RAB!$F$14:$F$131,RAB!$C$14:$C$131,C804)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SUMIFS(RAB!$F$14:$F$131,RAB!$C$14:$C$131,C805)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SUMIFS(RAB!$F$14:$F$131,RAB!$C$14:$C$131,C806)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SUMIFS(RAB!$F$14:$F$131,RAB!$C$14:$C$131,C807)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SUMIFS(RAB!$F$14:$F$131,RAB!$C$14:$C$131,C808)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SUMIFS(RAB!$F$14:$F$131,RAB!$C$14:$C$131,C809)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SUMIFS(RAB!$F$14:$F$131,RAB!$C$14:$C$131,C810)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SUMIFS(RAB!$F$14:$F$131,RAB!$C$14:$C$131,C811)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SUMIFS(RAB!$F$14:$F$131,RAB!$C$14:$C$131,C812)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SUMIFS(RAB!$F$14:$F$131,RAB!$C$14:$C$131,C813)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SUMIFS(RAB!$F$14:$F$131,RAB!$C$14:$C$131,C814)</f>
        <v>1</v>
      </c>
      <c r="E814" s="26">
        <f t="shared" ca="1" si="34"/>
        <v>1</v>
      </c>
      <c r="F814" s="26">
        <f ca="1">IF(D814=0,0,SUM($E$713:E814))</f>
        <v>4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SUMIFS(RAB!$F$14:$F$131,RAB!$C$14:$C$131,C815)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SUMIFS(RAB!$F$14:$F$131,RAB!$C$14:$C$131,C816)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SUMIFS(RAB!$F$14:$F$131,RAB!$C$14:$C$131,C817)</f>
        <v>3</v>
      </c>
      <c r="E817" s="26">
        <f t="shared" ca="1" si="34"/>
        <v>1</v>
      </c>
      <c r="F817" s="26">
        <f ca="1">IF(D817=0,0,SUM($E$713:E817))</f>
        <v>5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SUMIFS(RAB!$F$14:$F$131,RAB!$C$14:$C$131,C818)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SUMIFS(RAB!$F$14:$F$131,RAB!$C$14:$C$131,C819)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SUMIFS(RAB!$F$14:$F$131,RAB!$C$14:$C$131,C820)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SUMIFS(RAB!$F$14:$F$131,RAB!$C$14:$C$131,C821)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SUMIFS(RAB!$F$14:$F$131,RAB!$C$14:$C$131,C822)</f>
        <v>3</v>
      </c>
      <c r="E822" s="26">
        <f t="shared" ca="1" si="34"/>
        <v>1</v>
      </c>
      <c r="F822" s="26">
        <f ca="1">IF(D822=0,0,SUM($E$713:E822))</f>
        <v>6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SUMIFS(RAB!$F$14:$F$131,RAB!$C$14:$C$131,C823)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SUMIFS(RAB!$F$14:$F$131,RAB!$C$14:$C$131,C824)</f>
        <v>2</v>
      </c>
      <c r="E824" s="26">
        <f t="shared" ca="1" si="34"/>
        <v>1</v>
      </c>
      <c r="F824" s="26">
        <f ca="1">IF(D824=0,0,SUM($E$713:E824))</f>
        <v>7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SUMIFS(RAB!$F$14:$F$131,RAB!$C$14:$C$131,C825)</f>
        <v>1</v>
      </c>
      <c r="E825" s="26">
        <f t="shared" ca="1" si="34"/>
        <v>1</v>
      </c>
      <c r="F825" s="26">
        <f ca="1">IF(D825=0,0,SUM($E$713:E825))</f>
        <v>8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SUMIFS(RAB!$F$14:$F$131,RAB!$C$14:$C$131,C826)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SUMIFS(RAB!$F$14:$F$131,RAB!$C$14:$C$131,C827)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SUMIFS(RAB!$F$14:$F$131,RAB!$C$14:$C$131,C828)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SUMIFS(RAB!$F$14:$F$131,RAB!$C$14:$C$131,C829)</f>
        <v>9</v>
      </c>
      <c r="E829" s="26">
        <f t="shared" ca="1" si="34"/>
        <v>1</v>
      </c>
      <c r="F829" s="26">
        <f ca="1">IF(D829=0,0,SUM($E$713:E829))</f>
        <v>9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SUMIFS(RAB!$F$14:$F$131,RAB!$C$14:$C$131,C830)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SUMIFS(RAB!$F$14:$F$131,RAB!$C$14:$C$131,C831)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SUMIFS(RAB!$F$14:$F$131,RAB!$C$14:$C$131,C832)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SUMIFS(RAB!$F$14:$F$131,RAB!$C$14:$C$131,C833)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SUMIFS(RAB!$F$14:$F$131,RAB!$C$14:$C$131,C834)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SUMIFS(RAB!$F$14:$F$131,RAB!$C$14:$C$131,C835)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SUMIFS(RAB!$F$14:$F$131,RAB!$C$14:$C$131,C836)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SUMIFS(RAB!$F$14:$F$131,RAB!$C$14:$C$131,C837)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SUMIFS(RAB!$F$14:$F$131,RAB!$C$14:$C$131,C838)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SUMIFS(RAB!$F$14:$F$131,RAB!$C$14:$C$131,C839)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SUMIFS(RAB!$F$14:$F$131,RAB!$C$14:$C$131,C840)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SUMIFS(RAB!$F$14:$F$131,RAB!$C$14:$C$131,C841)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SUMIFS(RAB!$F$14:$F$131,RAB!$C$14:$C$131,C842)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SUMIFS(RAB!$F$14:$F$131,RAB!$C$14:$C$131,C843)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SUMIFS(RAB!$F$14:$F$131,RAB!$C$14:$C$131,C844)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SUMIFS(RAB!$F$14:$F$131,RAB!$C$14:$C$131,C845)</f>
        <v>68</v>
      </c>
      <c r="E845" s="26">
        <f t="shared" ca="1" si="35"/>
        <v>1</v>
      </c>
      <c r="F845" s="26">
        <f ca="1">IF(D845=0,0,SUM($E$713:E845))</f>
        <v>10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SUMIFS(RAB!$F$14:$F$131,RAB!$C$14:$C$131,C846)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SUMIFS(RAB!$F$14:$F$131,RAB!$C$14:$C$131,C847)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SUMIFS(RAB!$F$14:$F$131,RAB!$C$14:$C$131,C848)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SUMIFS(RAB!$F$14:$F$131,RAB!$C$14:$C$131,C849)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SUMIFS(RAB!$F$14:$F$131,RAB!$C$14:$C$131,C850)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SUMIFS(RAB!$F$14:$F$131,RAB!$C$14:$C$131,C851)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SUMIFS(RAB!$F$14:$F$131,RAB!$C$14:$C$131,C852)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SUMIFS(RAB!$F$14:$F$131,RAB!$C$14:$C$131,C853)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SUMIFS(RAB!$F$14:$F$131,RAB!$C$14:$C$131,C854)</f>
        <v>1</v>
      </c>
      <c r="E854" s="26">
        <f t="shared" ca="1" si="35"/>
        <v>1</v>
      </c>
      <c r="F854" s="26">
        <f ca="1">IF(D854=0,0,SUM($E$713:E854))</f>
        <v>11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SUMIFS(RAB!$F$14:$F$131,RAB!$C$14:$C$131,C855)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SUMIFS(RAB!$F$14:$F$131,RAB!$C$14:$C$131,C856)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SUMIFS(RAB!$F$14:$F$131,RAB!$C$14:$C$131,C857)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SUMIFS(RAB!$F$14:$F$131,RAB!$C$14:$C$131,C858)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SUMIFS(RAB!$F$14:$F$131,RAB!$C$14:$C$131,C859)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SUMIFS(RAB!$F$14:$F$131,RAB!$C$14:$C$131,C860)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SUMIFS(RAB!$F$14:$F$131,RAB!$C$14:$C$131,C861)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SUMIFS(RAB!$F$14:$F$131,RAB!$C$14:$C$131,C862)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SUMIFS(RAB!$F$14:$F$131,RAB!$C$14:$C$131,C863)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SUMIFS(RAB!$F$14:$F$131,RAB!$C$14:$C$131,C864)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SUMIFS(RAB!$F$14:$F$131,RAB!$C$14:$C$131,C865)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SUMIFS(RAB!$F$14:$F$131,RAB!$C$14:$C$131,C866)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SUMIFS(RAB!$F$14:$F$131,RAB!$C$14:$C$131,C867)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SUMIFS(RAB!$F$14:$F$131,RAB!$C$14:$C$131,C868)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SUMIFS(RAB!$F$14:$F$131,RAB!$C$14:$C$131,C869)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SUMIFS(RAB!$F$14:$F$131,RAB!$C$14:$C$131,C870)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SUMIFS(RAB!$F$14:$F$131,RAB!$C$14:$C$131,C871)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SUMIFS(RAB!$F$14:$F$131,RAB!$C$14:$C$131,C872)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SUMIFS(RAB!$F$14:$F$131,RAB!$C$14:$C$131,C873)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SUMIFS(RAB!$F$14:$F$131,RAB!$C$14:$C$131,C874)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SUMIFS(RAB!$F$14:$F$131,RAB!$C$14:$C$131,C875)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SUMIFS(RAB!$F$14:$F$131,RAB!$C$14:$C$131,C876)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SUMIFS(RAB!$F$14:$F$131,RAB!$C$14:$C$131,C877)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SUMIFS(RAB!$F$14:$F$131,RAB!$C$14:$C$131,C878)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SUMIFS(RAB!$F$14:$F$131,RAB!$C$14:$C$131,C879)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SUMIFS(RAB!$F$14:$F$131,RAB!$C$14:$C$131,C880)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SUMIFS(RAB!$F$14:$F$131,RAB!$C$14:$C$131,C881)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SUMIFS(RAB!$F$14:$F$131,RAB!$C$14:$C$131,C882)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SUMIFS(RAB!$F$14:$F$131,RAB!$C$14:$C$131,C883)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SUMIFS(RAB!$F$14:$F$131,RAB!$C$14:$C$131,C884)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SUMIFS(RAB!$F$14:$F$131,RAB!$C$14:$C$131,C885)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SUMIFS(RAB!$F$14:$F$131,RAB!$C$14:$C$131,C886)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SUMIFS(RAB!$F$14:$F$131,RAB!$C$14:$C$131,C887)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SUMIFS(RAB!$F$14:$F$131,RAB!$C$14:$C$131,C888)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SUMIFS(RAB!$F$14:$F$131,RAB!$C$14:$C$131,C889)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SUMIFS(RAB!$F$14:$F$131,RAB!$C$14:$C$131,C890)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SUMIFS(RAB!$F$14:$F$131,RAB!$C$14:$C$131,C891)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SUMIFS(RAB!$F$14:$F$131,RAB!$C$14:$C$131,C892)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SUMIFS(RAB!$F$14:$F$131,RAB!$C$14:$C$131,C893)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SUMIFS(RAB!$F$14:$F$131,RAB!$C$14:$C$131,C894)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SUMIFS(RAB!$F$14:$F$131,RAB!$C$14:$C$131,C895)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SUMIFS(RAB!$F$14:$F$131,RAB!$C$14:$C$131,C896)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SUMIFS(RAB!$F$14:$F$131,RAB!$C$14:$C$131,C897)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SUMIFS(RAB!$F$14:$F$131,RAB!$C$14:$C$131,C898)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SUMIFS(RAB!$F$14:$F$131,RAB!$C$14:$C$131,C899)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SUMIFS(RAB!$F$14:$F$131,RAB!$C$14:$C$131,C900)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SUMIFS(RAB!$F$14:$F$131,RAB!$C$14:$C$131,C901)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SUMIFS(RAB!$F$14:$F$131,RAB!$C$14:$C$131,C902)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SUMIFS(RAB!$F$14:$F$131,RAB!$C$14:$C$131,C903)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SUMIFS(RAB!$F$14:$F$131,RAB!$C$14:$C$131,C904)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SUMIFS(RAB!$F$14:$F$131,RAB!$C$14:$C$131,C905)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SUMIFS(RAB!$F$14:$F$131,RAB!$C$14:$C$131,C906)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SUMIFS(RAB!$F$14:$F$131,RAB!$C$14:$C$131,C907)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SUMIFS(RAB!$F$14:$F$131,RAB!$C$14:$C$131,C908)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SUMIFS(RAB!$F$14:$F$131,RAB!$C$14:$C$131,C909)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SUMIFS(RAB!$F$14:$F$131,RAB!$C$14:$C$131,C910)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SUMIFS(RAB!$F$14:$F$131,RAB!$C$14:$C$131,C911)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SUMIFS(RAB!$F$14:$F$131,RAB!$C$14:$C$131,C912)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SUMIFS(RAB!$F$14:$F$131,RAB!$C$14:$C$131,C913)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SUMIFS(RAB!$F$14:$F$131,RAB!$C$14:$C$131,C914)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SUMIFS(RAB!$F$14:$F$131,RAB!$C$14:$C$131,C915)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SUMIFS(RAB!$F$14:$F$131,RAB!$C$14:$C$131,C916)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SUMIFS(RAB!$F$14:$F$131,RAB!$C$14:$C$131,C917)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SUMIFS(RAB!$F$14:$F$131,RAB!$C$14:$C$131,C918)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SUMIFS(RAB!$F$14:$F$131,RAB!$C$14:$C$131,C919)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SUMIFS(RAB!$F$14:$F$131,RAB!$C$14:$C$131,C920)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SUMIFS(RAB!$F$14:$F$131,RAB!$C$14:$C$131,C921)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SUMIFS(RAB!$F$14:$F$131,RAB!$C$14:$C$131,C922)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SUMIFS(RAB!$F$14:$F$131,RAB!$C$14:$C$131,C923)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SUMIFS(RAB!$F$14:$F$131,RAB!$C$14:$C$131,C924)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SUMIFS(RAB!$F$14:$F$131,RAB!$C$14:$C$131,C925)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SUMIFS(RAB!$F$14:$F$131,RAB!$C$14:$C$131,C926)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SUMIFS(RAB!$F$14:$F$131,RAB!$C$14:$C$131,C927)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SUMIFS(RAB!$F$14:$F$131,RAB!$C$14:$C$131,C928)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SUMIFS(RAB!$F$14:$F$131,RAB!$C$14:$C$131,C929)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SUMIFS(RAB!$F$14:$F$131,RAB!$C$14:$C$131,C930)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SUMIFS(RAB!$F$14:$F$131,RAB!$C$14:$C$131,C931)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SUMIFS(RAB!$F$14:$F$131,RAB!$C$14:$C$131,C932)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SUMIFS(RAB!$F$14:$F$131,RAB!$C$14:$C$131,C933)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SUMIFS(RAB!$F$14:$F$131,RAB!$C$14:$C$131,C934)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SUMIFS(RAB!$F$14:$F$131,RAB!$C$14:$C$131,C935)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SUMIFS(RAB!$F$14:$F$131,RAB!$C$14:$C$131,C936)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SUMIFS(RAB!$F$14:$F$131,RAB!$C$14:$C$131,C937)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SUMIFS(RAB!$F$14:$F$131,RAB!$C$14:$C$131,C938)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SUMIFS(RAB!$F$14:$F$131,RAB!$C$14:$C$131,C939)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SUMIFS(RAB!$F$14:$F$131,RAB!$C$14:$C$131,C940)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SUMIFS(RAB!$F$14:$F$131,RAB!$C$14:$C$131,C941)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SUMIFS(RAB!$F$14:$F$131,RAB!$C$14:$C$131,C942)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SUMIFS(RAB!$F$14:$F$131,RAB!$C$14:$C$131,C943)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SUMIFS(RAB!$F$14:$F$131,RAB!$C$14:$C$131,C944)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SUMIFS(RAB!$F$14:$F$131,RAB!$C$14:$C$131,C945)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SUMIFS(RAB!$F$14:$F$131,RAB!$C$14:$C$131,C946)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SUMIFS(RAB!$F$14:$F$131,RAB!$C$14:$C$131,C947)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SUMIFS(RAB!$F$14:$F$131,RAB!$C$14:$C$131,C948)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SUMIFS(RAB!$F$14:$F$131,RAB!$C$14:$C$131,C949)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SUMIFS(RAB!$F$14:$F$131,RAB!$C$14:$C$131,C950)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SUMIFS(RAB!$F$14:$F$131,RAB!$C$14:$C$131,C951)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SUMIFS(RAB!$F$14:$F$131,RAB!$C$14:$C$131,C952)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SUMIFS(RAB!$F$14:$F$131,RAB!$C$14:$C$131,C953)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SUMIFS(RAB!$F$14:$F$131,RAB!$C$14:$C$131,C954)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SUMIFS(RAB!$F$14:$F$131,RAB!$C$14:$C$131,C955)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SUMIFS(RAB!$F$14:$F$131,RAB!$C$14:$C$131,C956)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SUMIFS(RAB!$F$14:$F$131,RAB!$C$14:$C$131,C957)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SUMIFS(RAB!$F$14:$F$131,RAB!$C$14:$C$131,C958)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SUMIFS(RAB!$F$14:$F$131,RAB!$C$14:$C$131,C959)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SUMIFS(RAB!$F$14:$F$131,RAB!$C$14:$C$131,C960)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SUMIFS(RAB!$F$14:$F$131,RAB!$C$14:$C$131,C961)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SUMIFS(RAB!$F$14:$F$131,RAB!$C$14:$C$131,C962)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SUMIFS(RAB!$F$14:$F$131,RAB!$C$14:$C$131,C963)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SUMIFS(RAB!$F$14:$F$131,RAB!$C$14:$C$131,C964)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SUMIFS(RAB!$F$14:$F$131,RAB!$C$14:$C$131,C965)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SUMIFS(RAB!$F$14:$F$131,RAB!$C$14:$C$131,C966)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SUMIFS(RAB!$F$14:$F$131,RAB!$C$14:$C$131,C967)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SUMIFS(RAB!$F$14:$F$131,RAB!$C$14:$C$131,C968)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SUMIFS(RAB!$F$14:$F$131,RAB!$C$14:$C$131,C969)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SUMIFS(RAB!$F$14:$F$131,RAB!$C$14:$C$131,C970)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SUMIFS(RAB!$F$14:$F$131,RAB!$C$14:$C$131,C971)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SUMIFS(RAB!$F$14:$F$131,RAB!$C$14:$C$131,C972)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SUMIFS(RAB!$F$14:$F$131,RAB!$C$14:$C$131,C973)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SUMIFS(RAB!$F$14:$F$131,RAB!$C$14:$C$131,C974)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SUMIFS(RAB!$F$14:$F$131,RAB!$C$14:$C$131,C975)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SUMIFS(RAB!$F$14:$F$131,RAB!$C$14:$C$131,C976)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SUMIFS(RAB!$F$14:$F$131,RAB!$C$14:$C$131,C977)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SUMIFS(RAB!$F$14:$F$131,RAB!$C$14:$C$131,C978)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SUMIFS(RAB!$F$14:$F$131,RAB!$C$14:$C$131,C979)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SUMIFS(RAB!$F$14:$F$131,RAB!$C$14:$C$131,C980)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SUMIFS(RAB!$F$14:$F$131,RAB!$C$14:$C$131,C981)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SUMIFS(RAB!$F$14:$F$131,RAB!$C$14:$C$131,C982)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SUMIFS(RAB!$F$14:$F$131,RAB!$C$14:$C$131,C983)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SUMIFS(RAB!$F$14:$F$131,RAB!$C$14:$C$131,C984)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SUMIFS(RAB!$F$14:$F$131,RAB!$C$14:$C$131,C985)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SUMIFS(RAB!$F$14:$F$131,RAB!$C$14:$C$131,C986)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SUMIFS(RAB!$F$14:$F$131,RAB!$C$14:$C$131,C987)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SUMIFS(RAB!$F$14:$F$131,RAB!$C$14:$C$131,C988)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SUMIFS(RAB!$F$14:$F$131,RAB!$C$14:$C$131,C989)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SUMIFS(RAB!$F$14:$F$131,RAB!$C$14:$C$131,C990)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SUMIFS(RAB!$F$14:$F$131,RAB!$C$14:$C$131,C991)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SUMIFS(RAB!$F$14:$F$131,RAB!$C$14:$C$131,C992)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SUMIFS(RAB!$F$14:$F$131,RAB!$C$14:$C$131,C993)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SUMIFS(RAB!$F$14:$F$131,RAB!$C$14:$C$131,C994)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SUMIFS(RAB!$F$14:$F$131,RAB!$C$14:$C$131,C995)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SUMIFS(RAB!$F$14:$F$131,RAB!$C$14:$C$131,C996)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SUMIFS(RAB!$F$14:$F$131,RAB!$C$14:$C$131,C997)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SUMIFS(RAB!$F$14:$F$131,RAB!$C$14:$C$131,C998)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SUMIFS(RAB!$F$14:$F$131,RAB!$C$14:$C$131,C999)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SUMIFS(RAB!$F$14:$F$131,RAB!$C$14:$C$131,C1000)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SUMIFS(RAB!$F$14:$F$131,RAB!$C$14:$C$131,C1001)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SUMIFS(RAB!$F$14:$F$131,RAB!$C$14:$C$131,C1002)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SUMIFS(RAB!$F$14:$F$131,RAB!$C$14:$C$131,C1003)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SUMIFS(RAB!$F$14:$F$131,RAB!$C$14:$C$131,C1004)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SUMIFS(RAB!$F$14:$F$131,RAB!$C$14:$C$131,C1005)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SUMIFS(RAB!$F$14:$F$131,RAB!$C$14:$C$131,C1006)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SUMIFS(RAB!$F$14:$F$131,RAB!$C$14:$C$131,C1007)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SUMIFS(RAB!$F$14:$F$131,RAB!$C$14:$C$131,C1008)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SUMIFS(RAB!$F$14:$F$131,RAB!$C$14:$C$131,C1009)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SUMIFS(RAB!$F$14:$F$131,RAB!$C$14:$C$131,C1010)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SUMIFS(RAB!$F$14:$F$131,RAB!$C$14:$C$131,C1011)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SUMIFS(RAB!$F$14:$F$131,RAB!$C$14:$C$131,C1012)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SUMIFS(RAB!$F$14:$F$131,RAB!$C$14:$C$131,C1013)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SUMIFS(RAB!$F$14:$F$131,RAB!$C$14:$C$131,C1014)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SUMIFS(RAB!$F$14:$F$131,RAB!$C$14:$C$131,C1015)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SUMIFS(RAB!$F$14:$F$131,RAB!$C$14:$C$131,C1016)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SUMIFS(RAB!$F$14:$F$131,RAB!$C$14:$C$131,C1017)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SUMIFS(RAB!$F$14:$F$131,RAB!$C$14:$C$131,C1018)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SUMIFS(RAB!$F$14:$F$131,RAB!$C$14:$C$131,C1019)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SUMIFS(RAB!$F$14:$F$131,RAB!$C$14:$C$131,C1020)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SUMIFS(RAB!$F$14:$F$131,RAB!$C$14:$C$131,C1021)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SUMIFS(RAB!$F$14:$F$131,RAB!$C$14:$C$131,C1022)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SUMIFS(RAB!$F$14:$F$131,RAB!$C$14:$C$131,C1023)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SUMIFS(RAB!$F$14:$F$131,RAB!$C$14:$C$131,C1024)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SUMIFS(RAB!$F$14:$F$131,RAB!$C$14:$C$131,C1025)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SUMIFS(RAB!$F$14:$F$131,RAB!$C$14:$C$131,C1026)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SUMIFS(RAB!$F$14:$F$131,RAB!$C$14:$C$131,C1027)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SUMIFS(RAB!$F$14:$F$131,RAB!$C$14:$C$131,C1028)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SUMIFS(RAB!$F$14:$F$131,RAB!$C$14:$C$131,C1029)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SUMIFS(RAB!$F$14:$F$131,RAB!$C$14:$C$131,C1030)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SUMIFS(RAB!$F$14:$F$131,RAB!$C$14:$C$131,C1031)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SUMIFS(RAB!$F$14:$F$131,RAB!$C$14:$C$131,C1032)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SUMIFS(RAB!$F$14:$F$131,RAB!$C$14:$C$131,C1033)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SUMIFS(RAB!$F$14:$F$131,RAB!$C$14:$C$131,C1034)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SUMIFS(RAB!$F$14:$F$131,RAB!$C$14:$C$131,C1035)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SUMIFS(RAB!$F$14:$F$131,RAB!$C$14:$C$131,C1036)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SUMIFS(RAB!$F$14:$F$131,RAB!$C$14:$C$131,C1037)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SUMIFS(RAB!$F$14:$F$131,RAB!$C$14:$C$131,C1038)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SUMIFS(RAB!$F$14:$F$131,RAB!$C$14:$C$131,C1039)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SUMIFS(RAB!$F$14:$F$131,RAB!$C$14:$C$131,C1040)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SUMIFS(RAB!$F$14:$F$131,RAB!$C$14:$C$131,C1041)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SUMIFS(RAB!$F$14:$F$131,RAB!$C$14:$C$131,C1042)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SUMIFS(RAB!$F$14:$F$131,RAB!$C$14:$C$131,C1043)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SUMIFS(RAB!$F$14:$F$131,RAB!$C$14:$C$131,C1044)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SUMIFS(RAB!$F$14:$F$131,RAB!$C$14:$C$131,C1045)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SUMIFS(RAB!$F$14:$F$131,RAB!$C$14:$C$131,C1046)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SUMIFS(RAB!$F$14:$F$131,RAB!$C$14:$C$131,C1047)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SUMIFS(RAB!$F$14:$F$131,RAB!$C$14:$C$131,C1048)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SUMIFS(RAB!$F$14:$F$131,RAB!$C$14:$C$131,C1049)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SUMIFS(RAB!$F$14:$F$131,RAB!$C$14:$C$131,C1050)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SUMIFS(RAB!$F$14:$F$131,RAB!$C$14:$C$131,C1051)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SUMIFS(RAB!$F$14:$F$131,RAB!$C$14:$C$131,C1052)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SUMIFS(RAB!$F$14:$F$131,RAB!$C$14:$C$131,C1053)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SUMIFS(RAB!$F$14:$F$131,RAB!$C$14:$C$131,C1054)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SUMIFS(RAB!$F$14:$F$131,RAB!$C$14:$C$131,C1055)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SUMIFS(RAB!$F$14:$F$131,RAB!$C$14:$C$131,C1056)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SUMIFS(RAB!$F$14:$F$131,RAB!$C$14:$C$131,C1057)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SUMIFS(RAB!$F$14:$F$131,RAB!$C$14:$C$131,C1058)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SUMIFS(RAB!$F$14:$F$131,RAB!$C$14:$C$131,C1059)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SUMIFS(RAB!$F$14:$F$131,RAB!$C$14:$C$131,C1060)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SUMIFS(RAB!$F$14:$F$131,RAB!$C$14:$C$131,C1061)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SUMIFS(RAB!$F$14:$F$131,RAB!$C$14:$C$131,C1062)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SUMIFS(RAB!$F$14:$F$131,RAB!$C$14:$C$131,C1063)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SUMIFS(RAB!$F$14:$F$131,RAB!$C$14:$C$131,C1064)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SUMIFS(RAB!$F$14:$F$131,RAB!$C$14:$C$131,C1065)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SUMIFS(RAB!$F$14:$F$131,RAB!$C$14:$C$131,C1066)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SUMIFS(RAB!$F$14:$F$131,RAB!$C$14:$C$131,C1067)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SUMIFS(RAB!$F$14:$F$131,RAB!$C$14:$C$131,C1068)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SUMIFS(RAB!$F$14:$F$131,RAB!$C$14:$C$131,C1069)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SUMIFS(RAB!$F$14:$F$131,RAB!$C$14:$C$131,C1070)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SUMIFS(RAB!$F$14:$F$131,RAB!$C$14:$C$131,C1071)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SUMIFS(RAB!$F$14:$F$131,RAB!$C$14:$C$131,C1072)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SUMIFS(RAB!$F$14:$F$131,RAB!$C$14:$C$131,C1073)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SUMIFS(RAB!$F$14:$F$131,RAB!$C$14:$C$131,C1074)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SUMIFS(RAB!$F$14:$F$131,RAB!$C$14:$C$131,C1075)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SUMIFS(RAB!$F$14:$F$131,RAB!$C$14:$C$131,C1076)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SUMIFS(RAB!$F$14:$F$131,RAB!$C$14:$C$131,C1077)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SUMIFS(RAB!$F$14:$F$131,RAB!$C$14:$C$131,C1078)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SUMIFS(RAB!$F$14:$F$131,RAB!$C$14:$C$131,C1079)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SUMIFS(RAB!$F$14:$F$131,RAB!$C$14:$C$131,C1080)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SUMIFS(RAB!$F$14:$F$131,RAB!$C$14:$C$131,C1081)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SUMIFS(RAB!$F$14:$F$131,RAB!$C$14:$C$131,C1082)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SUMIFS(RAB!$F$14:$F$131,RAB!$C$14:$C$131,C1083)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SUMIFS(RAB!$F$14:$F$131,RAB!$C$14:$C$131,C1084)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SUMIFS(RAB!$F$14:$F$131,RAB!$C$14:$C$131,C1085)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SUMIFS(RAB!$F$14:$F$131,RAB!$C$14:$C$131,C1086)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SUMIFS(RAB!$F$14:$F$131,RAB!$C$14:$C$131,C1087)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SUMIFS(RAB!$F$14:$F$131,RAB!$C$14:$C$131,C1088)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SUMIFS(RAB!$F$14:$F$131,RAB!$C$14:$C$131,C1089)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SUMIFS(RAB!$F$14:$F$131,RAB!$C$14:$C$131,C1090)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SUMIFS(RAB!$F$14:$F$131,RAB!$C$14:$C$131,C1091)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SUMIFS(RAB!$F$14:$F$131,RAB!$C$14:$C$131,C1092)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SUMIFS(RAB!$F$14:$F$131,RAB!$C$14:$C$131,C1093)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SUMIFS(RAB!$F$14:$F$131,RAB!$C$14:$C$131,C1094)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SUMIFS(RAB!$F$14:$F$131,RAB!$C$14:$C$131,C1095)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SUMIFS(RAB!$F$14:$F$131,RAB!$C$14:$C$131,C1096)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SUMIFS(RAB!$F$14:$F$131,RAB!$C$14:$C$131,C1097)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SUMIFS(RAB!$F$14:$F$131,RAB!$C$14:$C$131,C1098)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SUMIFS(RAB!$F$14:$F$131,RAB!$C$14:$C$131,C1099)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SUMIFS(RAB!$F$14:$F$131,RAB!$C$14:$C$131,C1100)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SUMIFS(RAB!$F$14:$F$131,RAB!$C$14:$C$131,C1101)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SUMIFS(RAB!$F$14:$F$131,RAB!$C$14:$C$131,C1102)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SUMIFS(RAB!$F$14:$F$131,RAB!$C$14:$C$131,C1103)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SUMIFS(RAB!$F$14:$F$131,RAB!$C$14:$C$131,C1104)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SUMIFS(RAB!$F$14:$F$131,RAB!$C$14:$C$131,C1105)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SUMIFS(RAB!$F$14:$F$131,RAB!$C$14:$C$131,C1106)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SUMIFS(RAB!$F$14:$F$131,RAB!$C$14:$C$131,C1107)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SUMIFS(RAB!$F$14:$F$131,RAB!$C$14:$C$131,C1108)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SUMIFS(RAB!$F$14:$F$131,RAB!$C$14:$C$131,C1109)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SUMIFS(RAB!$F$14:$F$131,RAB!$C$14:$C$131,C1110)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SUMIFS(RAB!$F$14:$F$131,RAB!$C$14:$C$131,C1111)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SUMIFS(RAB!$F$14:$F$131,RAB!$C$14:$C$131,C1112)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SUMIFS(RAB!$F$14:$F$131,RAB!$C$14:$C$131,C1113)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SUMIFS(RAB!$F$14:$F$131,RAB!$C$14:$C$131,C1114)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SUMIFS(RAB!$F$14:$F$131,RAB!$C$14:$C$131,C1115)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SUMIFS(RAB!$F$14:$F$131,RAB!$C$14:$C$131,C1116)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SUMIFS(RAB!$F$14:$F$131,RAB!$C$14:$C$131,C1117)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SUMIFS(RAB!$F$14:$F$131,RAB!$C$14:$C$131,C1118)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SUMIFS(RAB!$F$14:$F$131,RAB!$C$14:$C$131,C1119)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SUMIFS(RAB!$F$14:$F$131,RAB!$C$14:$C$131,C1120)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SUMIFS(RAB!$F$14:$F$131,RAB!$C$14:$C$131,C1121)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SUMIFS(RAB!$F$14:$F$131,RAB!$C$14:$C$131,C1122)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SUMIFS(RAB!$F$14:$F$131,RAB!$C$14:$C$131,C1123)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SUMIFS(RAB!$F$14:$F$131,RAB!$C$14:$C$131,C1124)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SUMIFS(RAB!$F$14:$F$131,RAB!$C$14:$C$131,C1125)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SUMIFS(RAB!$F$14:$F$131,RAB!$C$14:$C$131,C1126)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SUMIFS(RAB!$F$14:$F$131,RAB!$C$14:$C$131,C1127)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SUMIFS(RAB!$F$14:$F$131,RAB!$C$14:$C$131,C1128)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SUMIFS(RAB!$F$14:$F$131,RAB!$C$14:$C$131,C1129)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SUMIFS(RAB!$F$14:$F$131,RAB!$C$14:$C$131,C1130)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SUMIFS(RAB!$F$14:$F$131,RAB!$C$14:$C$131,C1131)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SUMIFS(RAB!$F$14:$F$131,RAB!$C$14:$C$131,C1132)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SUMIFS(RAB!$F$14:$F$131,RAB!$C$14:$C$131,C1133)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SUMIFS(RAB!$F$14:$F$131,RAB!$C$14:$C$131,C1134)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SUMIFS(RAB!$F$14:$F$131,RAB!$C$14:$C$131,C1135)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SUMIFS(RAB!$F$14:$F$131,RAB!$C$14:$C$131,C1136)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SUMIFS(RAB!$F$14:$F$131,RAB!$C$14:$C$131,C1137)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SUMIFS(RAB!$F$14:$F$131,RAB!$C$14:$C$131,C1138)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SUMIFS(RAB!$F$14:$F$131,RAB!$C$14:$C$131,C1139)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SUMIFS(RAB!$F$14:$F$131,RAB!$C$14:$C$131,C1140)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SUMIFS(RAB!$F$14:$F$131,RAB!$C$14:$C$131,C1141)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SUMIFS(RAB!$F$14:$F$131,RAB!$C$14:$C$131,C1142)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SUMIFS(RAB!$F$14:$F$131,RAB!$C$14:$C$131,C1143)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SUMIFS(RAB!$F$14:$F$131,RAB!$C$14:$C$131,C1144)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SUMIFS(RAB!$F$14:$F$131,RAB!$C$14:$C$131,C1145)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SUMIFS(RAB!$F$14:$F$131,RAB!$C$14:$C$131,C1146)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SUMIFS(RAB!$F$14:$F$131,RAB!$C$14:$C$131,C1147)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SUMIFS(RAB!$F$14:$F$131,RAB!$C$14:$C$131,C1148)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SUMIFS(RAB!$F$14:$F$131,RAB!$C$14:$C$131,C1149)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SUMIFS(RAB!$F$14:$F$131,RAB!$C$14:$C$131,C1150)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SUMIFS(RAB!$F$14:$F$131,RAB!$C$14:$C$131,C1151)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SUMIFS(RAB!$F$14:$F$131,RAB!$C$14:$C$131,C1152)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SUMIFS(RAB!$F$14:$F$131,RAB!$C$14:$C$131,C1153)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SUMIFS(RAB!$F$14:$F$131,RAB!$C$14:$C$131,C1154)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SUMIFS(RAB!$F$14:$F$131,RAB!$C$14:$C$131,C1155)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SUMIFS(RAB!$F$14:$F$131,RAB!$C$14:$C$131,C1156)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SUMIFS(RAB!$F$14:$F$131,RAB!$C$14:$C$131,C1157)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SUMIFS(RAB!$F$14:$F$131,RAB!$C$14:$C$131,C1158)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SUMIFS(RAB!$F$14:$F$131,RAB!$C$14:$C$131,C1159)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SUMIFS(RAB!$F$14:$F$131,RAB!$C$14:$C$131,C1160)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SUMIFS(RAB!$F$14:$F$131,RAB!$C$14:$C$131,C1161)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SUMIFS(RAB!$F$14:$F$131,RAB!$C$14:$C$131,C1162)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SUMIFS(RAB!$F$14:$F$131,RAB!$C$14:$C$131,C1163)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SUMIFS(RAB!$F$14:$F$131,RAB!$C$14:$C$131,C1164)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SUMIFS(RAB!$F$14:$F$131,RAB!$C$14:$C$131,C1165)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SUMIFS(RAB!$F$14:$F$131,RAB!$C$14:$C$131,C1166)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SUMIFS(RAB!$F$14:$F$131,RAB!$C$14:$C$131,C1167)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SUMIFS(RAB!$F$14:$F$131,RAB!$C$14:$C$131,C1168)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SUMIFS(RAB!$F$14:$F$131,RAB!$C$14:$C$131,C1169)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SUMIFS(RAB!$F$14:$F$131,RAB!$C$14:$C$131,C1170)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SUMIFS(RAB!$F$14:$F$131,RAB!$C$14:$C$131,C1171)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SUMIFS(RAB!$F$14:$F$131,RAB!$C$14:$C$131,C1172)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SUMIFS(RAB!$F$14:$F$131,RAB!$C$14:$C$131,C1173)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SUMIFS(RAB!$F$14:$F$131,RAB!$C$14:$C$131,C1174)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SUMIFS(RAB!$F$14:$F$131,RAB!$C$14:$C$131,C1175)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SUMIFS(RAB!$F$14:$F$131,RAB!$C$14:$C$131,C1176)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SUMIFS(RAB!$F$14:$F$131,RAB!$C$14:$C$131,C1177)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SUMIFS(RAB!$F$14:$F$131,RAB!$C$14:$C$131,C1178)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SUMIFS(RAB!$F$14:$F$131,RAB!$C$14:$C$131,C1179)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SUMIFS(RAB!$F$14:$F$131,RAB!$C$14:$C$131,C1180)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SUMIFS(RAB!$F$14:$F$131,RAB!$C$14:$C$131,C1181)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SUMIFS(RAB!$F$14:$F$131,RAB!$C$14:$C$131,C1182)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SUMIFS(RAB!$F$14:$F$131,RAB!$C$14:$C$131,C1183)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SUMIFS(RAB!$F$14:$F$131,RAB!$C$14:$C$131,C1184)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SUMIFS(RAB!$F$14:$F$131,RAB!$C$14:$C$131,C1185)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SUMIFS(RAB!$F$14:$F$131,RAB!$C$14:$C$131,C1186)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SUMIFS(RAB!$F$14:$F$131,RAB!$C$14:$C$131,C1187)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SUMIFS(RAB!$F$14:$F$131,RAB!$C$14:$C$131,C1188)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SUMIFS(RAB!$F$14:$F$131,RAB!$C$14:$C$131,C1189)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SUMIFS(RAB!$F$14:$F$131,RAB!$C$14:$C$131,C1190)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SUMIFS(RAB!$F$14:$F$131,RAB!$C$14:$C$131,C1191)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SUMIFS(RAB!$F$14:$F$131,RAB!$C$14:$C$131,C1192)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SUMIFS(RAB!$F$14:$F$131,RAB!$C$14:$C$131,C1193)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SUMIFS(RAB!$F$14:$F$131,RAB!$C$14:$C$131,C1194)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SUMIFS(RAB!$F$14:$F$131,RAB!$C$14:$C$131,C1195)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SUMIFS(RAB!$F$14:$F$131,RAB!$C$14:$C$131,C1196)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SUMIFS(RAB!$F$14:$F$131,RAB!$C$14:$C$131,C1197)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SUMIFS(RAB!$F$14:$F$131,RAB!$C$14:$C$131,C1198)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SUMIFS(RAB!$F$14:$F$131,RAB!$C$14:$C$131,C1199)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SUMIFS(RAB!$F$14:$F$131,RAB!$C$14:$C$131,C1200)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SUMIFS(RAB!$F$14:$F$131,RAB!$C$14:$C$131,C1201)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SUMIFS(RAB!$F$14:$F$131,RAB!$C$14:$C$131,C1202)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SUMIFS(RAB!$F$14:$F$131,RAB!$C$14:$C$131,C1203)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SUMIFS(RAB!$F$14:$F$131,RAB!$C$14:$C$131,C1204)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SUMIFS(RAB!$F$14:$F$131,RAB!$C$14:$C$131,C1205)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SUMIFS(RAB!$F$14:$F$131,RAB!$C$14:$C$131,C1206)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SUMIFS(RAB!$F$14:$F$131,RAB!$C$14:$C$131,C1207)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SUMIFS(RAB!$F$14:$F$131,RAB!$C$14:$C$131,C1208)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SUMIFS(RAB!$F$14:$F$131,RAB!$C$14:$C$131,C1209)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SUMIFS(RAB!$F$14:$F$131,RAB!$C$14:$C$131,C1210)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SUMIFS(RAB!$F$14:$F$131,RAB!$C$14:$C$131,C1211)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SUMIFS(RAB!$F$14:$F$131,RAB!$C$14:$C$131,C1212)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SUMIFS(RAB!$F$14:$F$131,RAB!$C$14:$C$131,C1213)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SUMIFS(RAB!$F$14:$F$131,RAB!$C$14:$C$131,C1214)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SUMIFS(RAB!$F$14:$F$131,RAB!$C$14:$C$131,C1215)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SUMIFS(RAB!$F$14:$F$131,RAB!$C$14:$C$131,C1216)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SUMIFS(RAB!$F$14:$F$131,RAB!$C$14:$C$131,C1217)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SUMIFS(RAB!$F$14:$F$131,RAB!$C$14:$C$131,C1218)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SUMIFS(RAB!$F$14:$F$131,RAB!$C$14:$C$131,C1219)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SUMIFS(RAB!$F$14:$F$131,RAB!$C$14:$C$131,C1220)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SUMIFS(RAB!$F$14:$F$131,RAB!$C$14:$C$131,C1221)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SUMIFS(RAB!$F$14:$F$131,RAB!$C$14:$C$131,C1222)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SUMIFS(RAB!$F$14:$F$131,RAB!$C$14:$C$131,C1223)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SUMIFS(RAB!$F$14:$F$131,RAB!$C$14:$C$131,C1224)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SUMIFS(RAB!$F$14:$F$131,RAB!$C$14:$C$131,C1225)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SUMIFS(RAB!$F$14:$F$131,RAB!$C$14:$C$131,C1226)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SUMIFS(RAB!$F$14:$F$131,RAB!$C$14:$C$131,C1227)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SUMIFS(RAB!$F$14:$F$131,RAB!$C$14:$C$131,C1228)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SUMIFS(RAB!$F$14:$F$131,RAB!$C$14:$C$131,C1229)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SUMIFS(RAB!$F$14:$F$131,RAB!$C$14:$C$131,C1230)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SUMIFS(RAB!$F$14:$F$131,RAB!$C$14:$C$131,C1231)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SUMIFS(RAB!$F$14:$F$131,RAB!$C$14:$C$131,C1232)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SUMIFS(RAB!$F$14:$F$131,RAB!$C$14:$C$131,C1233)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SUMIFS(RAB!$F$14:$F$131,RAB!$C$14:$C$131,C1234)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SUMIFS(RAB!$F$14:$F$131,RAB!$C$14:$C$131,C1235)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SUMIFS(RAB!$F$14:$F$131,RAB!$C$14:$C$131,C1236)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SUMIFS(RAB!$F$14:$F$131,RAB!$C$14:$C$131,C1237)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SUMIFS(RAB!$F$14:$F$131,RAB!$C$14:$C$131,C1238)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SUMIFS(RAB!$F$14:$F$131,RAB!$C$14:$C$131,C1239)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SUMIFS(RAB!$F$14:$F$131,RAB!$C$14:$C$131,C1240)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SUMIFS(RAB!$F$14:$F$131,RAB!$C$14:$C$131,C1241)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SUMIFS(RAB!$F$14:$F$131,RAB!$C$14:$C$131,C1242)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SUMIFS(RAB!$F$14:$F$131,RAB!$C$14:$C$131,C1243)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SUMIFS(RAB!$F$14:$F$131,RAB!$C$14:$C$131,C1244)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SUMIFS(RAB!$F$14:$F$131,RAB!$C$14:$C$131,C1245)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SUMIFS(RAB!$F$14:$F$131,RAB!$C$14:$C$131,C1246)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SUMIFS(RAB!$F$14:$F$131,RAB!$C$14:$C$131,C1247)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SUMIFS(RAB!$F$14:$F$131,RAB!$C$14:$C$131,C1248)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SUMIFS(RAB!$F$14:$F$131,RAB!$C$14:$C$131,C1249)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SUMIFS(RAB!$F$14:$F$131,RAB!$C$14:$C$131,C1250)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SUMIFS(RAB!$F$14:$F$131,RAB!$C$14:$C$131,C1251)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SUMIFS(RAB!$F$14:$F$131,RAB!$C$14:$C$131,C1252)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SUMIFS(RAB!$F$14:$F$131,RAB!$C$14:$C$131,C1253)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SUMIFS(RAB!$F$14:$F$131,RAB!$C$14:$C$131,C1254)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SUMIFS(RAB!$F$14:$F$131,RAB!$C$14:$C$131,C1255)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SUMIFS(RAB!$F$14:$F$131,RAB!$C$14:$C$131,C1256)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SUMIFS(RAB!$F$14:$F$131,RAB!$C$14:$C$131,C1257)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SUMIFS(RAB!$F$14:$F$131,RAB!$C$14:$C$131,C1258)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SUMIFS(RAB!$F$14:$F$131,RAB!$C$14:$C$131,C1259)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SUMIFS(RAB!$F$14:$F$131,RAB!$C$14:$C$131,C1260)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SUMIFS(RAB!$F$14:$F$131,RAB!$C$14:$C$131,C1261)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SUMIFS(RAB!$F$14:$F$131,RAB!$C$14:$C$131,C1262)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SUMIFS(RAB!$F$14:$F$131,RAB!$C$14:$C$131,C1263)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SUMIFS(RAB!$F$14:$F$131,RAB!$C$14:$C$131,C1264)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SUMIFS(RAB!$F$14:$F$131,RAB!$C$14:$C$131,C1265)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SUMIFS(RAB!$F$14:$F$131,RAB!$C$14:$C$131,C1266)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SUMIFS(RAB!$F$14:$F$131,RAB!$C$14:$C$131,C1267)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SUMIFS(RAB!$F$14:$F$131,RAB!$C$14:$C$131,C1268)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SUMIFS(RAB!$F$14:$F$131,RAB!$C$14:$C$131,C1269)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SUMIFS(RAB!$F$14:$F$131,RAB!$C$14:$C$131,C1270)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SUMIFS(RAB!$F$14:$F$131,RAB!$C$14:$C$131,C1271)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SUMIFS(RAB!$F$14:$F$131,RAB!$C$14:$C$131,C1272)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SUMIFS(RAB!$F$14:$F$131,RAB!$C$14:$C$131,C1273)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SUMIFS(RAB!$F$14:$F$131,RAB!$C$14:$C$131,C1274)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SUMIFS(RAB!$F$14:$F$131,RAB!$C$14:$C$131,C1275)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SUMIFS(RAB!$F$14:$F$131,RAB!$C$14:$C$131,C1276)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SUMIFS(RAB!$F$14:$F$131,RAB!$C$14:$C$131,C1277)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SUMIFS(RAB!$F$14:$F$131,RAB!$C$14:$C$131,C1278)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SUMIFS(RAB!$F$14:$F$131,RAB!$C$14:$C$131,C1279)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SUMIFS(RAB!$F$14:$F$131,RAB!$C$14:$C$131,C1280)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SUMIFS(RAB!$F$14:$F$131,RAB!$C$14:$C$131,C1281)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SUMIFS(RAB!$F$14:$F$131,RAB!$C$14:$C$131,C1282)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SUMIFS(RAB!$F$14:$F$131,RAB!$C$14:$C$131,C1283)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SUMIFS(RAB!$F$14:$F$131,RAB!$C$14:$C$131,C1284)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SUMIFS(RAB!$F$14:$F$131,RAB!$C$14:$C$131,C1285)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SUMIFS(RAB!$F$14:$F$131,RAB!$C$14:$C$131,C1286)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SUMIFS(RAB!$F$14:$F$131,RAB!$C$14:$C$131,C1287)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SUMIFS(RAB!$F$14:$F$131,RAB!$C$14:$C$131,C1288)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SUMIFS(RAB!$F$14:$F$131,RAB!$C$14:$C$131,C1289)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SUMIFS(RAB!$F$14:$F$131,RAB!$C$14:$C$131,C1290)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SUMIFS(RAB!$F$14:$F$131,RAB!$C$14:$C$131,C1291)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SUMIFS(RAB!$F$14:$F$131,RAB!$C$14:$C$131,C1292)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SUMIFS(RAB!$F$14:$F$131,RAB!$C$14:$C$131,C1293)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SUMIFS(RAB!$F$14:$F$131,RAB!$C$14:$C$131,C1294)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SUMIFS(RAB!$F$14:$F$131,RAB!$C$14:$C$131,C1295)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SUMIFS(RAB!$F$14:$F$131,RAB!$C$14:$C$131,C1296)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SUMIFS(RAB!$F$14:$F$131,RAB!$C$14:$C$131,C1297)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SUMIFS(RAB!$F$14:$F$131,RAB!$C$14:$C$131,C1298)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SUMIFS(RAB!$F$14:$F$131,RAB!$C$14:$C$131,C1299)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SUMIFS(RAB!$F$14:$F$131,RAB!$C$14:$C$131,C1300)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SUMIFS(RAB!$F$14:$F$131,RAB!$C$14:$C$131,C1301)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SUMIFS(RAB!$F$14:$F$131,RAB!$C$14:$C$131,C1302)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SUMIFS(RAB!$F$14:$F$131,RAB!$C$14:$C$131,C1303)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SUMIFS(RAB!$F$14:$F$131,RAB!$C$14:$C$131,C1304)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SUMIFS(RAB!$F$14:$F$131,RAB!$C$14:$C$131,C1305)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SUMIFS(RAB!$F$14:$F$131,RAB!$C$14:$C$131,C1306)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SUMIFS(RAB!$F$14:$F$131,RAB!$C$14:$C$131,C1307)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SUMIFS(RAB!$F$14:$F$131,RAB!$C$14:$C$131,C1308)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SUMIFS(RAB!$F$14:$F$131,RAB!$C$14:$C$131,C1309)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SUMIFS(RAB!$F$14:$F$131,RAB!$C$14:$C$131,C1310)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SUMIFS(RAB!$F$14:$F$131,RAB!$C$14:$C$131,C1311)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SUMIFS(RAB!$F$14:$F$131,RAB!$C$14:$C$131,C1312)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SUMIFS(RAB!$F$14:$F$131,RAB!$C$14:$C$131,C1313)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SUMIFS(RAB!$F$14:$F$131,RAB!$C$14:$C$131,C1314)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SUMIFS(RAB!$F$14:$F$131,RAB!$C$14:$C$131,C1315)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SUMIFS(RAB!$F$14:$F$131,RAB!$C$14:$C$131,C1316)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SUMIFS(RAB!$F$14:$F$131,RAB!$C$14:$C$131,C1317)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SUMIFS(RAB!$F$14:$F$131,RAB!$C$14:$C$131,C1318)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SUMIFS(RAB!$F$14:$F$131,RAB!$C$14:$C$131,C1319)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SUMIFS(RAB!$F$14:$F$131,RAB!$C$14:$C$131,C1320)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1127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1" t="str">
        <f>RAB!G6</f>
        <v>PB AHMAD IDRIS (PT. PERMATA MEDIKA UTAMI) 164KVA</v>
      </c>
      <c r="H6" s="561"/>
      <c r="I6" s="561"/>
      <c r="J6" s="561"/>
      <c r="K6" s="56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PUTAT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5" t="s">
        <v>41</v>
      </c>
      <c r="H11" s="543" t="s">
        <v>3</v>
      </c>
      <c r="I11" s="543"/>
      <c r="J11" s="543"/>
      <c r="K11" s="548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44"/>
      <c r="E12" s="544"/>
      <c r="F12" s="544"/>
      <c r="G12" s="546"/>
      <c r="H12" s="552" t="s">
        <v>46</v>
      </c>
      <c r="I12" s="552" t="s">
        <v>5</v>
      </c>
      <c r="J12" s="544" t="s">
        <v>47</v>
      </c>
      <c r="K12" s="55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44"/>
      <c r="E13" s="544"/>
      <c r="F13" s="544"/>
      <c r="G13" s="547"/>
      <c r="H13" s="553"/>
      <c r="I13" s="553"/>
      <c r="J13" s="544"/>
      <c r="K13" s="55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2" t="s">
        <v>1008</v>
      </c>
      <c r="D38" s="562"/>
      <c r="E38" s="562"/>
      <c r="F38" s="562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63" t="s">
        <v>462</v>
      </c>
      <c r="D39" s="563"/>
      <c r="E39" s="563"/>
      <c r="F39" s="563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4" t="s">
        <v>463</v>
      </c>
      <c r="D40" s="554"/>
      <c r="E40" s="554"/>
      <c r="F40" s="554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55" t="e">
        <f ca="1">"Terbilang : ( "&amp;L42&amp;" Rupiah )"</f>
        <v>#NAME?</v>
      </c>
      <c r="C41" s="556"/>
      <c r="D41" s="556"/>
      <c r="E41" s="556"/>
      <c r="F41" s="556"/>
      <c r="G41" s="556"/>
      <c r="H41" s="556"/>
      <c r="I41" s="556"/>
      <c r="J41" s="556"/>
      <c r="K41" s="557"/>
      <c r="L41" s="44"/>
      <c r="R41" s="58"/>
      <c r="S41" s="58"/>
      <c r="T41" s="58"/>
    </row>
    <row r="42" spans="1:20" s="36" customFormat="1">
      <c r="A42" s="30"/>
      <c r="B42" s="558"/>
      <c r="C42" s="559"/>
      <c r="D42" s="559"/>
      <c r="E42" s="559"/>
      <c r="F42" s="559"/>
      <c r="G42" s="559"/>
      <c r="H42" s="559"/>
      <c r="I42" s="559"/>
      <c r="J42" s="559"/>
      <c r="K42" s="56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9"/>
      <c r="I45" s="549"/>
      <c r="J45" s="550"/>
      <c r="K45" s="55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9"/>
      <c r="I46" s="549"/>
      <c r="J46" s="550"/>
      <c r="K46" s="55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9"/>
      <c r="I47" s="549"/>
      <c r="J47" s="550"/>
      <c r="K47" s="55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9"/>
      <c r="I52" s="549"/>
      <c r="J52" s="550"/>
      <c r="K52" s="55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SUMIFS(RAB!$F$14:$F$131,RAB!$C$14:$C$131,'REKAP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SUMIFS(RAB!$F$14:$F$131,RAB!$C$14:$C$131,'REKAP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SUMIFS(RAB!$F$14:$F$131,RAB!$C$14:$C$131,'REKAP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SUMIFS(RAB!$F$14:$F$131,RAB!$C$14:$C$131,'REKAP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SUMIFS(RAB!$F$14:$F$131,RAB!$C$14:$C$131,'REKAP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SUMIFS(RAB!$F$14:$F$131,RAB!$C$14:$C$131,'REKAP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SUMIFS(RAB!$F$14:$F$131,RAB!$C$14:$C$131,'REKAP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SUMIFS(RAB!$F$14:$F$131,RAB!$C$14:$C$131,'REKAP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SUMIFS(RAB!$F$14:$F$131,RAB!$C$14:$C$131,'REKAP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SUMIFS(RAB!$F$14:$F$131,RAB!$C$14:$C$131,'REKAP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SUMIFS(RAB!$F$14:$F$131,RAB!$C$14:$C$131,'REKAP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SUMIFS(RAB!$F$14:$F$131,RAB!$C$14:$C$131,'REKAP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SUMIFS(RAB!$F$14:$F$131,RAB!$C$14:$C$131,'REKAP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SUMIFS(RAB!$F$14:$F$131,RAB!$C$14:$C$131,'REKAP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SUMIFS(RAB!$F$14:$F$131,RAB!$C$14:$C$131,'REKAP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SUMIFS(RAB!$F$14:$F$131,RAB!$C$14:$C$131,'REKAP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SUMIFS(RAB!$F$14:$F$131,RAB!$C$14:$C$131,'REKAP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SUMIFS(RAB!$F$14:$F$131,RAB!$C$14:$C$131,'REKAP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SUMIFS(RAB!$F$14:$F$131,RAB!$C$14:$C$131,'REKAP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SUMIFS(RAB!$F$14:$F$131,RAB!$C$14:$C$131,'REKAP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1034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1" t="str">
        <f>RAB!G6</f>
        <v>PB AHMAD IDRIS (PT. PERMATA MEDIKA UTAMI) 164KVA</v>
      </c>
      <c r="H6" s="561"/>
      <c r="I6" s="561"/>
      <c r="J6" s="561"/>
      <c r="K6" s="56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PUTAT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5" t="s">
        <v>41</v>
      </c>
      <c r="H11" s="543" t="s">
        <v>3</v>
      </c>
      <c r="I11" s="543"/>
      <c r="J11" s="543"/>
      <c r="K11" s="548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44"/>
      <c r="E12" s="544"/>
      <c r="F12" s="544"/>
      <c r="G12" s="546"/>
      <c r="H12" s="552" t="s">
        <v>46</v>
      </c>
      <c r="I12" s="552" t="s">
        <v>5</v>
      </c>
      <c r="J12" s="544" t="s">
        <v>47</v>
      </c>
      <c r="K12" s="55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44"/>
      <c r="E13" s="544"/>
      <c r="F13" s="544"/>
      <c r="G13" s="547"/>
      <c r="H13" s="553"/>
      <c r="I13" s="553"/>
      <c r="J13" s="544"/>
      <c r="K13" s="55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164 kVA MCCB 250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LVCB 2 Jurusan 400 A LBS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1</v>
      </c>
      <c r="G19" s="41">
        <f ca="1">IF(ISERROR(OFFSET('HARGA SATUAN'!$I$6,MATCH(C19,'HARGA SATUAN'!$C$7:$C$1495,0),0)),"",OFFSET('HARGA SATUAN'!$I$6,MATCH(C19,'HARGA SATUAN'!$C$7:$C$1495,0),0))</f>
        <v>12223800</v>
      </c>
      <c r="H19" s="42">
        <f t="shared" ca="1" si="1"/>
        <v>12223800</v>
      </c>
      <c r="I19" s="42">
        <f t="shared" ca="1" si="2"/>
        <v>0</v>
      </c>
      <c r="J19" s="42">
        <f t="shared" ca="1" si="3"/>
        <v>0</v>
      </c>
      <c r="K19" s="43">
        <f t="shared" ca="1" si="0"/>
        <v>12223800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FCO Polymer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848250</v>
      </c>
      <c r="H20" s="42">
        <f t="shared" ca="1" si="1"/>
        <v>2544750</v>
      </c>
      <c r="I20" s="42">
        <f t="shared" ca="1" si="2"/>
        <v>0</v>
      </c>
      <c r="J20" s="42">
        <f t="shared" ca="1" si="3"/>
        <v>0</v>
      </c>
      <c r="K20" s="43">
        <f t="shared" ca="1" si="0"/>
        <v>2544750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Lightning Arester (Polymer) 21 KV, 10 KA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Bh</v>
      </c>
      <c r="F21" s="101">
        <f t="shared" ca="1" si="6"/>
        <v>3</v>
      </c>
      <c r="G21" s="41">
        <f ca="1">IF(ISERROR(OFFSET('HARGA SATUAN'!$I$6,MATCH(C21,'HARGA SATUAN'!$C$7:$C$1495,0),0)),"",OFFSET('HARGA SATUAN'!$I$6,MATCH(C21,'HARGA SATUAN'!$C$7:$C$1495,0),0))</f>
        <v>725900</v>
      </c>
      <c r="H21" s="42">
        <f t="shared" ca="1" si="1"/>
        <v>2177700</v>
      </c>
      <c r="I21" s="42">
        <f t="shared" ca="1" si="2"/>
        <v>0</v>
      </c>
      <c r="J21" s="42">
        <f t="shared" ca="1" si="3"/>
        <v>0</v>
      </c>
      <c r="K21" s="43">
        <f t="shared" ca="1" si="0"/>
        <v>2177700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Pin Post ) 20 KV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Bh</v>
      </c>
      <c r="F22" s="101">
        <f t="shared" ca="1" si="6"/>
        <v>2</v>
      </c>
      <c r="G22" s="41">
        <f ca="1">IF(ISERROR(OFFSET('HARGA SATUAN'!$I$6,MATCH(C22,'HARGA SATUAN'!$C$7:$C$1495,0),0)),"",OFFSET('HARGA SATUAN'!$I$6,MATCH(C22,'HARGA SATUAN'!$C$7:$C$1495,0),0))</f>
        <v>235900</v>
      </c>
      <c r="H22" s="42">
        <f t="shared" ca="1" si="1"/>
        <v>471800</v>
      </c>
      <c r="I22" s="42">
        <f t="shared" ca="1" si="2"/>
        <v>0</v>
      </c>
      <c r="J22" s="42">
        <f t="shared" ca="1" si="3"/>
        <v>0</v>
      </c>
      <c r="K22" s="43">
        <f t="shared" ca="1" si="0"/>
        <v>471800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Isolator Tumpu ( Line Post ) 20 KV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Bh</v>
      </c>
      <c r="F23" s="101">
        <f t="shared" ca="1" si="6"/>
        <v>1</v>
      </c>
      <c r="G23" s="41">
        <f ca="1">IF(ISERROR(OFFSET('HARGA SATUAN'!$I$6,MATCH(C23,'HARGA SATUAN'!$C$7:$C$1495,0),0)),"",OFFSET('HARGA SATUAN'!$I$6,MATCH(C23,'HARGA SATUAN'!$C$7:$C$1495,0),0))</f>
        <v>176900</v>
      </c>
      <c r="H23" s="42">
        <f t="shared" ca="1" si="1"/>
        <v>176900</v>
      </c>
      <c r="I23" s="42">
        <f t="shared" ca="1" si="2"/>
        <v>0</v>
      </c>
      <c r="J23" s="42">
        <f t="shared" ca="1" si="3"/>
        <v>0</v>
      </c>
      <c r="K23" s="43">
        <f t="shared" ca="1" si="0"/>
        <v>176900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70 mm²</v>
      </c>
      <c r="D24" s="101" t="str">
        <f ca="1">IF(ISERROR(OFFSET('HARGA SATUAN'!$D$6,MATCH(C24,'HARGA SATUAN'!$C$7:$C$1495,0),0)),"",OFFSET('HARGA SATUAN'!$D$6,MATCH(C24,'HARGA SATUAN'!$C$7:$C$1495,0),0))</f>
        <v>MDU-KD</v>
      </c>
      <c r="E24" s="101" t="str">
        <f ca="1">IF(B24="+","Unit",IF(ISERROR(OFFSET('HARGA SATUAN'!$E$6,MATCH(C24,'HARGA SATUAN'!$C$7:$C$1495,0),0)),"",OFFSET('HARGA SATUAN'!$E$6,MATCH(C24,'HARGA SATUAN'!$C$7:$C$1495,0),0)))</f>
        <v>Mtr</v>
      </c>
      <c r="F24" s="101">
        <f t="shared" ca="1" si="6"/>
        <v>9</v>
      </c>
      <c r="G24" s="41">
        <f ca="1">IF(ISERROR(OFFSET('HARGA SATUAN'!$I$6,MATCH(C24,'HARGA SATUAN'!$C$7:$C$1495,0),0)),"",OFFSET('HARGA SATUAN'!$I$6,MATCH(C24,'HARGA SATUAN'!$C$7:$C$1495,0),0))</f>
        <v>14200</v>
      </c>
      <c r="H24" s="42">
        <f t="shared" ca="1" si="1"/>
        <v>127800</v>
      </c>
      <c r="I24" s="42">
        <f t="shared" ca="1" si="2"/>
        <v>0</v>
      </c>
      <c r="J24" s="42">
        <f t="shared" ca="1" si="3"/>
        <v>0</v>
      </c>
      <c r="K24" s="43">
        <f t="shared" ca="1" si="0"/>
        <v>127800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150 mm²</v>
      </c>
      <c r="D25" s="101" t="str">
        <f ca="1">IF(ISERROR(OFFSET('HARGA SATUAN'!$D$6,MATCH(C25,'HARGA SATUAN'!$C$7:$C$1495,0),0)),"",OFFSET('HARGA SATUAN'!$D$6,MATCH(C25,'HARGA SATUAN'!$C$7:$C$1495,0),0))</f>
        <v>MDU-KD</v>
      </c>
      <c r="E25" s="101" t="str">
        <f ca="1">IF(B25="+","Unit",IF(ISERROR(OFFSET('HARGA SATUAN'!$E$6,MATCH(C25,'HARGA SATUAN'!$C$7:$C$1495,0),0)),"",OFFSET('HARGA SATUAN'!$E$6,MATCH(C25,'HARGA SATUAN'!$C$7:$C$1495,0),0)))</f>
        <v>Mtr</v>
      </c>
      <c r="F25" s="101">
        <f t="shared" ca="1" si="6"/>
        <v>68</v>
      </c>
      <c r="G25" s="41">
        <f ca="1">IF(ISERROR(OFFSET('HARGA SATUAN'!$I$6,MATCH(C25,'HARGA SATUAN'!$C$7:$C$1495,0),0)),"",OFFSET('HARGA SATUAN'!$I$6,MATCH(C25,'HARGA SATUAN'!$C$7:$C$1495,0),0))</f>
        <v>218600</v>
      </c>
      <c r="H25" s="42">
        <f t="shared" ca="1" si="1"/>
        <v>14864800</v>
      </c>
      <c r="I25" s="42">
        <f t="shared" ca="1" si="2"/>
        <v>0</v>
      </c>
      <c r="J25" s="42">
        <f t="shared" ca="1" si="3"/>
        <v>0</v>
      </c>
      <c r="K25" s="43">
        <f t="shared" ca="1" si="0"/>
        <v>14864800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2" t="s">
        <v>1008</v>
      </c>
      <c r="D168" s="562"/>
      <c r="E168" s="562"/>
      <c r="F168" s="562"/>
      <c r="G168" s="77" t="s">
        <v>9</v>
      </c>
      <c r="H168" s="55">
        <f ca="1">SUM(H14:H167)</f>
        <v>126742050</v>
      </c>
      <c r="I168" s="55">
        <f ca="1">SUM(I14:I167)</f>
        <v>0</v>
      </c>
      <c r="J168" s="55">
        <f ca="1">SUM(J14:J167)</f>
        <v>0</v>
      </c>
      <c r="K168" s="55">
        <f ca="1">SUM(K14:K167)</f>
        <v>126742050</v>
      </c>
      <c r="L168" s="44"/>
      <c r="R168" s="99"/>
      <c r="S168" s="99"/>
      <c r="T168" s="99"/>
    </row>
    <row r="169" spans="1:20" s="36" customFormat="1">
      <c r="A169" s="30"/>
      <c r="B169" s="56"/>
      <c r="C169" s="563" t="s">
        <v>462</v>
      </c>
      <c r="D169" s="563"/>
      <c r="E169" s="563"/>
      <c r="F169" s="563"/>
      <c r="G169" s="59" t="s">
        <v>9</v>
      </c>
      <c r="H169" s="60">
        <f ca="1">H168*0.1</f>
        <v>12674205</v>
      </c>
      <c r="I169" s="60">
        <f ca="1">I168*0.1</f>
        <v>0</v>
      </c>
      <c r="J169" s="60">
        <f ca="1">J168*0.1</f>
        <v>0</v>
      </c>
      <c r="K169" s="60">
        <f ca="1">K168*0.1</f>
        <v>12674205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4" t="s">
        <v>463</v>
      </c>
      <c r="D170" s="554"/>
      <c r="E170" s="554"/>
      <c r="F170" s="554"/>
      <c r="G170" s="61" t="s">
        <v>9</v>
      </c>
      <c r="H170" s="78">
        <f ca="1">SUM(H168:H169)</f>
        <v>139416255</v>
      </c>
      <c r="I170" s="78">
        <f ca="1">SUM(I168:I169)</f>
        <v>0</v>
      </c>
      <c r="J170" s="61">
        <f ca="1">SUM(J168:J169)</f>
        <v>0</v>
      </c>
      <c r="K170" s="61">
        <f ca="1">SUM(K168:K169)</f>
        <v>139416255</v>
      </c>
      <c r="L170" s="44"/>
      <c r="R170" s="99"/>
      <c r="S170" s="99"/>
      <c r="T170" s="99"/>
    </row>
    <row r="171" spans="1:20" s="36" customFormat="1">
      <c r="A171" s="30"/>
      <c r="B171" s="555" t="e">
        <f ca="1">"Terbilang : ( "&amp;L172&amp;" Rupiah )"</f>
        <v>#NAME?</v>
      </c>
      <c r="C171" s="556"/>
      <c r="D171" s="556"/>
      <c r="E171" s="556"/>
      <c r="F171" s="556"/>
      <c r="G171" s="556"/>
      <c r="H171" s="556"/>
      <c r="I171" s="556"/>
      <c r="J171" s="556"/>
      <c r="K171" s="557"/>
      <c r="L171" s="44"/>
      <c r="R171" s="58"/>
      <c r="S171" s="58"/>
      <c r="T171" s="58"/>
    </row>
    <row r="172" spans="1:20" s="36" customFormat="1">
      <c r="A172" s="30"/>
      <c r="B172" s="558"/>
      <c r="C172" s="559"/>
      <c r="D172" s="559"/>
      <c r="E172" s="559"/>
      <c r="F172" s="559"/>
      <c r="G172" s="559"/>
      <c r="H172" s="559"/>
      <c r="I172" s="559"/>
      <c r="J172" s="559"/>
      <c r="K172" s="560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9"/>
      <c r="I175" s="549"/>
      <c r="J175" s="550"/>
      <c r="K175" s="55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9"/>
      <c r="I176" s="549"/>
      <c r="J176" s="550"/>
      <c r="K176" s="55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9"/>
      <c r="I177" s="549"/>
      <c r="J177" s="550"/>
      <c r="K177" s="55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9"/>
      <c r="I182" s="549"/>
      <c r="J182" s="550"/>
      <c r="K182" s="55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SUMIFS(RAB!$F$14:$F$131,RAB!$C$14:$C$131,C224)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SUMIFS(RAB!$F$14:$F$131,RAB!$C$14:$C$131,C225)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SUMIFS(RAB!$F$14:$F$131,RAB!$C$14:$C$131,C226)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SUMIFS(RAB!$F$14:$F$131,RAB!$C$14:$C$131,C227)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SUMIFS(RAB!$F$14:$F$131,RAB!$C$14:$C$131,C228)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SUMIFS(RAB!$F$14:$F$131,RAB!$C$14:$C$131,C229)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SUMIFS(RAB!$F$14:$F$131,RAB!$C$14:$C$131,C230)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SUMIFS(RAB!$F$14:$F$131,RAB!$C$14:$C$131,C231)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SUMIFS(RAB!$F$14:$F$131,RAB!$C$14:$C$131,C232)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SUMIFS(RAB!$F$14:$F$131,RAB!$C$14:$C$131,C233)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SUMIFS(RAB!$F$14:$F$131,RAB!$C$14:$C$131,C234)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SUMIFS(RAB!$F$14:$F$131,RAB!$C$14:$C$131,C235)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SUMIFS(RAB!$F$14:$F$131,RAB!$C$14:$C$131,C236)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SUMIFS(RAB!$F$14:$F$131,RAB!$C$14:$C$131,C237)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SUMIFS(RAB!$F$14:$F$131,RAB!$C$14:$C$131,C238)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SUMIFS(RAB!$F$14:$F$131,RAB!$C$14:$C$131,C239)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SUMIFS(RAB!$F$14:$F$131,RAB!$C$14:$C$131,C240)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SUMIFS(RAB!$F$14:$F$131,RAB!$C$14:$C$131,C241)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SUMIFS(RAB!$F$14:$F$131,RAB!$C$14:$C$131,C242)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SUMIFS(RAB!$F$14:$F$131,RAB!$C$14:$C$131,C243)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SUMIFS(RAB!$F$14:$F$131,RAB!$C$14:$C$131,C244)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SUMIFS(RAB!$F$14:$F$131,RAB!$C$14:$C$131,C245)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SUMIFS(RAB!$F$14:$F$131,RAB!$C$14:$C$131,C246)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SUMIFS(RAB!$F$14:$F$131,RAB!$C$14:$C$131,C247)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SUMIFS(RAB!$F$14:$F$131,RAB!$C$14:$C$131,C248)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SUMIFS(RAB!$F$14:$F$131,RAB!$C$14:$C$131,C249)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SUMIFS(RAB!$F$14:$F$131,RAB!$C$14:$C$131,C250)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SUMIFS(RAB!$F$14:$F$131,RAB!$C$14:$C$131,C251)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SUMIFS(RAB!$F$14:$F$131,RAB!$C$14:$C$131,C252)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SUMIFS(RAB!$F$14:$F$131,RAB!$C$14:$C$131,C253)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SUMIFS(RAB!$F$14:$F$131,RAB!$C$14:$C$131,C254)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SUMIFS(RAB!$F$14:$F$131,RAB!$C$14:$C$131,C255)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SUMIFS(RAB!$F$14:$F$131,RAB!$C$14:$C$131,C256)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SUMIFS(RAB!$F$14:$F$131,RAB!$C$14:$C$131,C257)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SUMIFS(RAB!$F$14:$F$131,RAB!$C$14:$C$131,C258)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SUMIFS(RAB!$F$14:$F$131,RAB!$C$14:$C$131,C259)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SUMIFS(RAB!$F$14:$F$131,RAB!$C$14:$C$131,C260)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SUMIFS(RAB!$F$14:$F$131,RAB!$C$14:$C$131,C261)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SUMIFS(RAB!$F$14:$F$131,RAB!$C$14:$C$131,C262)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SUMIFS(RAB!$F$14:$F$131,RAB!$C$14:$C$131,C263)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SUMIFS(RAB!$F$14:$F$131,RAB!$C$14:$C$131,C264)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SUMIFS(RAB!$F$14:$F$131,RAB!$C$14:$C$131,C265)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SUMIFS(RAB!$F$14:$F$131,RAB!$C$14:$C$131,C266)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SUMIFS(RAB!$F$14:$F$131,RAB!$C$14:$C$131,C267)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SUMIFS(RAB!$F$14:$F$131,RAB!$C$14:$C$131,C268)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SUMIFS(RAB!$F$14:$F$131,RAB!$C$14:$C$131,C269)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SUMIFS(RAB!$F$14:$F$131,RAB!$C$14:$C$131,C270)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SUMIFS(RAB!$F$14:$F$131,RAB!$C$14:$C$131,C271)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SUMIFS(RAB!$F$14:$F$131,RAB!$C$14:$C$131,C272)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SUMIFS(RAB!$F$14:$F$131,RAB!$C$14:$C$131,C273)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SUMIFS(RAB!$F$14:$F$131,RAB!$C$14:$C$131,C274)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SUMIFS(RAB!$F$14:$F$131,RAB!$C$14:$C$131,C275)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SUMIFS(RAB!$F$14:$F$131,RAB!$C$14:$C$131,C276)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SUMIFS(RAB!$F$14:$F$131,RAB!$C$14:$C$131,C277)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SUMIFS(RAB!$F$14:$F$131,RAB!$C$14:$C$131,C278)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SUMIFS(RAB!$F$14:$F$131,RAB!$C$14:$C$131,C279)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SUMIFS(RAB!$F$14:$F$131,RAB!$C$14:$C$131,C280)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SUMIFS(RAB!$F$14:$F$131,RAB!$C$14:$C$131,C281)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SUMIFS(RAB!$F$14:$F$131,RAB!$C$14:$C$131,C282)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SUMIFS(RAB!$F$14:$F$131,RAB!$C$14:$C$131,C283)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SUMIFS(RAB!$F$14:$F$131,RAB!$C$14:$C$131,C284)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SUMIFS(RAB!$F$14:$F$131,RAB!$C$14:$C$131,C285)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SUMIFS(RAB!$F$14:$F$131,RAB!$C$14:$C$131,C286)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SUMIFS(RAB!$F$14:$F$131,RAB!$C$14:$C$131,C287)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SUMIFS(RAB!$F$14:$F$131,RAB!$C$14:$C$131,C288)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SUMIFS(RAB!$F$14:$F$131,RAB!$C$14:$C$131,C289)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SUMIFS(RAB!$F$14:$F$131,RAB!$C$14:$C$131,C290)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SUMIFS(RAB!$F$14:$F$131,RAB!$C$14:$C$131,C291)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SUMIFS(RAB!$F$14:$F$131,RAB!$C$14:$C$131,C292)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SUMIFS(RAB!$F$14:$F$131,RAB!$C$14:$C$131,C293)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SUMIFS(RAB!$F$14:$F$131,RAB!$C$14:$C$131,C294)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SUMIFS(RAB!$F$14:$F$131,RAB!$C$14:$C$131,C295)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SUMIFS(RAB!$F$14:$F$131,RAB!$C$14:$C$131,C296)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SUMIFS(RAB!$F$14:$F$131,RAB!$C$14:$C$131,C297)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SUMIFS(RAB!$F$14:$F$131,RAB!$C$14:$C$131,C298)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SUMIFS(RAB!$F$14:$F$131,RAB!$C$14:$C$131,C299)</f>
        <v>1</v>
      </c>
      <c r="E299" s="24">
        <f t="shared" ca="1" si="22"/>
        <v>1</v>
      </c>
      <c r="F299" s="24">
        <f ca="1">IF(D299=0,0,SUM($E$223:E299))</f>
        <v>2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SUMIFS(RAB!$F$14:$F$131,RAB!$C$14:$C$131,C300)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SUMIFS(RAB!$F$14:$F$131,RAB!$C$14:$C$131,C301)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SUMIFS(RAB!$F$14:$F$131,RAB!$C$14:$C$131,C302)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SUMIFS(RAB!$F$14:$F$131,RAB!$C$14:$C$131,C303)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SUMIFS(RAB!$F$14:$F$131,RAB!$C$14:$C$131,C304)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SUMIFS(RAB!$F$14:$F$131,RAB!$C$14:$C$131,C305)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SUMIFS(RAB!$F$14:$F$131,RAB!$C$14:$C$131,C306)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SUMIFS(RAB!$F$14:$F$131,RAB!$C$14:$C$131,C307)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SUMIFS(RAB!$F$14:$F$131,RAB!$C$14:$C$131,C308)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SUMIFS(RAB!$F$14:$F$131,RAB!$C$14:$C$131,C309)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SUMIFS(RAB!$F$14:$F$131,RAB!$C$14:$C$131,C310)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SUMIFS(RAB!$F$14:$F$131,RAB!$C$14:$C$131,C311)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SUMIFS(RAB!$F$14:$F$131,RAB!$C$14:$C$131,C312)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SUMIFS(RAB!$F$14:$F$131,RAB!$C$14:$C$131,C313)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SUMIFS(RAB!$F$14:$F$131,RAB!$C$14:$C$131,C314)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SUMIFS(RAB!$F$14:$F$131,RAB!$C$14:$C$131,C315)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SUMIFS(RAB!$F$14:$F$131,RAB!$C$14:$C$131,C316)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SUMIFS(RAB!$F$14:$F$131,RAB!$C$14:$C$131,C317)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SUMIFS(RAB!$F$14:$F$131,RAB!$C$14:$C$131,C318)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SUMIFS(RAB!$F$14:$F$131,RAB!$C$14:$C$131,C319)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SUMIFS(RAB!$F$14:$F$131,RAB!$C$14:$C$131,C320)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SUMIFS(RAB!$F$14:$F$131,RAB!$C$14:$C$131,C321)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SUMIFS(RAB!$F$14:$F$131,RAB!$C$14:$C$131,C322)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SUMIFS(RAB!$F$14:$F$131,RAB!$C$14:$C$131,C323)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SUMIFS(RAB!$F$14:$F$131,RAB!$C$14:$C$131,C324)</f>
        <v>1</v>
      </c>
      <c r="E324" s="24">
        <f t="shared" ca="1" si="22"/>
        <v>1</v>
      </c>
      <c r="F324" s="24">
        <f ca="1">IF(D324=0,0,SUM($E$223:E324))</f>
        <v>4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SUMIFS(RAB!$F$14:$F$131,RAB!$C$14:$C$131,C325)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SUMIFS(RAB!$F$14:$F$131,RAB!$C$14:$C$131,C326)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SUMIFS(RAB!$F$14:$F$131,RAB!$C$14:$C$131,C327)</f>
        <v>3</v>
      </c>
      <c r="E327" s="24">
        <f t="shared" ca="1" si="22"/>
        <v>1</v>
      </c>
      <c r="F327" s="24">
        <f ca="1">IF(D327=0,0,SUM($E$223:E327))</f>
        <v>5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SUMIFS(RAB!$F$14:$F$131,RAB!$C$14:$C$131,C328)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SUMIFS(RAB!$F$14:$F$131,RAB!$C$14:$C$131,C329)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SUMIFS(RAB!$F$14:$F$131,RAB!$C$14:$C$131,C330)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SUMIFS(RAB!$F$14:$F$131,RAB!$C$14:$C$131,C331)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SUMIFS(RAB!$F$14:$F$131,RAB!$C$14:$C$131,C332)</f>
        <v>3</v>
      </c>
      <c r="E332" s="24">
        <f t="shared" ca="1" si="22"/>
        <v>1</v>
      </c>
      <c r="F332" s="24">
        <f ca="1">IF(D332=0,0,SUM($E$223:E332))</f>
        <v>6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SUMIFS(RAB!$F$14:$F$131,RAB!$C$14:$C$131,C333)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SUMIFS(RAB!$F$14:$F$131,RAB!$C$14:$C$131,C334)</f>
        <v>2</v>
      </c>
      <c r="E334" s="24">
        <f t="shared" ca="1" si="22"/>
        <v>1</v>
      </c>
      <c r="F334" s="24">
        <f ca="1">IF(D334=0,0,SUM($E$223:E334))</f>
        <v>7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SUMIFS(RAB!$F$14:$F$131,RAB!$C$14:$C$131,C335)</f>
        <v>1</v>
      </c>
      <c r="E335" s="24">
        <f t="shared" ca="1" si="22"/>
        <v>1</v>
      </c>
      <c r="F335" s="24">
        <f ca="1">IF(D335=0,0,SUM($E$223:E335))</f>
        <v>8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SUMIFS(RAB!$F$14:$F$131,RAB!$C$14:$C$131,C336)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SUMIFS(RAB!$F$14:$F$131,RAB!$C$14:$C$131,C337)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SUMIFS(RAB!$F$14:$F$131,RAB!$C$14:$C$131,C338)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SUMIFS(RAB!$F$14:$F$131,RAB!$C$14:$C$131,C339)</f>
        <v>9</v>
      </c>
      <c r="E339" s="24">
        <f t="shared" ca="1" si="22"/>
        <v>1</v>
      </c>
      <c r="F339" s="24">
        <f ca="1">IF(D339=0,0,SUM($E$223:E339))</f>
        <v>9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SUMIFS(RAB!$F$14:$F$131,RAB!$C$14:$C$131,C340)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SUMIFS(RAB!$F$14:$F$131,RAB!$C$14:$C$131,C341)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SUMIFS(RAB!$F$14:$F$131,RAB!$C$14:$C$131,C342)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SUMIFS(RAB!$F$14:$F$131,RAB!$C$14:$C$131,C343)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SUMIFS(RAB!$F$14:$F$131,RAB!$C$14:$C$131,C344)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SUMIFS(RAB!$F$14:$F$131,RAB!$C$14:$C$131,C345)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SUMIFS(RAB!$F$14:$F$131,RAB!$C$14:$C$131,C346)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SUMIFS(RAB!$F$14:$F$131,RAB!$C$14:$C$131,C347)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SUMIFS(RAB!$F$14:$F$131,RAB!$C$14:$C$131,C348)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SUMIFS(RAB!$F$14:$F$131,RAB!$C$14:$C$131,C349)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SUMIFS(RAB!$F$14:$F$131,RAB!$C$14:$C$131,C350)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SUMIFS(RAB!$F$14:$F$131,RAB!$C$14:$C$131,C351)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SUMIFS(RAB!$F$14:$F$131,RAB!$C$14:$C$131,C352)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SUMIFS(RAB!$F$14:$F$131,RAB!$C$14:$C$131,C353)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SUMIFS(RAB!$F$14:$F$131,RAB!$C$14:$C$131,C354)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SUMIFS(RAB!$F$14:$F$131,RAB!$C$14:$C$131,C355)</f>
        <v>68</v>
      </c>
      <c r="E355" s="24">
        <f t="shared" ca="1" si="23"/>
        <v>1</v>
      </c>
      <c r="F355" s="24">
        <f ca="1">IF(D355=0,0,SUM($E$223:E355))</f>
        <v>10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SUMIFS(RAB!$F$14:$F$131,RAB!$C$14:$C$131,C356)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SUMIFS(RAB!$F$14:$F$131,RAB!$C$14:$C$131,C357)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SUMIFS(RAB!$F$14:$F$131,RAB!$C$14:$C$131,C358)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SUMIFS(RAB!$F$14:$F$131,RAB!$C$14:$C$131,C359)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SUMIFS(RAB!$F$14:$F$131,RAB!$C$14:$C$131,C360)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SUMIFS(RAB!$F$14:$F$131,RAB!$C$14:$C$131,C361)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SUMIFS(RAB!$F$14:$F$131,RAB!$C$14:$C$131,C362)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SUMIFS(RAB!$F$14:$F$131,RAB!$C$14:$C$131,C363)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SUMIFS(RAB!$F$14:$F$131,RAB!$C$14:$C$131,C364)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SUMIFS(RAB!$F$14:$F$131,RAB!$C$14:$C$131,C365)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SUMIFS(RAB!$F$14:$F$131,RAB!$C$14:$C$131,C366)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SUMIFS(RAB!$F$14:$F$131,RAB!$C$14:$C$131,C367)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SUMIFS(RAB!$F$14:$F$131,RAB!$C$14:$C$131,C368)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SUMIFS(RAB!$F$14:$F$131,RAB!$C$14:$C$131,C369)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SUMIFS(RAB!$F$14:$F$131,RAB!$C$14:$C$131,C370)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SUMIFS(RAB!$F$14:$F$131,RAB!$C$14:$C$131,C371)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SUMIFS(RAB!$F$14:$F$131,RAB!$C$14:$C$131,C372)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SUMIFS(RAB!$F$14:$F$131,RAB!$C$14:$C$131,C373)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41" activePane="bottomRight" state="frozen"/>
      <selection activeCell="D209" sqref="D209"/>
      <selection pane="topRight" activeCell="D209" sqref="D209"/>
      <selection pane="bottomLeft" activeCell="D209" sqref="D209"/>
      <selection pane="bottomRight" activeCell="C252" sqref="C25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5" t="s">
        <v>41</v>
      </c>
      <c r="C2" s="56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6" t="s">
        <v>23</v>
      </c>
      <c r="C4" s="567" t="s">
        <v>1012</v>
      </c>
      <c r="D4" s="567" t="s">
        <v>42</v>
      </c>
      <c r="E4" s="566" t="s">
        <v>43</v>
      </c>
      <c r="F4" s="108" t="s">
        <v>1599</v>
      </c>
      <c r="G4" s="108" t="s">
        <v>1598</v>
      </c>
      <c r="H4" s="564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6"/>
      <c r="C5" s="567"/>
      <c r="D5" s="567"/>
      <c r="E5" s="566"/>
      <c r="F5" s="93"/>
      <c r="G5" s="93"/>
      <c r="H5" s="564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3" priority="4" operator="equal">
      <formula>0</formula>
    </cfRule>
  </conditionalFormatting>
  <conditionalFormatting sqref="B217 D217:G217">
    <cfRule type="cellIs" dxfId="32" priority="11" operator="equal">
      <formula>0</formula>
    </cfRule>
  </conditionalFormatting>
  <conditionalFormatting sqref="B8:C135">
    <cfRule type="cellIs" dxfId="31" priority="66" operator="equal">
      <formula>0</formula>
    </cfRule>
  </conditionalFormatting>
  <conditionalFormatting sqref="B216:G216">
    <cfRule type="cellIs" dxfId="30" priority="16" operator="equal">
      <formula>0</formula>
    </cfRule>
  </conditionalFormatting>
  <conditionalFormatting sqref="B218:G1496">
    <cfRule type="cellIs" dxfId="29" priority="1" operator="equal">
      <formula>0</formula>
    </cfRule>
  </conditionalFormatting>
  <conditionalFormatting sqref="C143:G149">
    <cfRule type="cellIs" dxfId="28" priority="20" operator="equal">
      <formula>0</formula>
    </cfRule>
  </conditionalFormatting>
  <conditionalFormatting sqref="D9:G142">
    <cfRule type="cellIs" dxfId="27" priority="26" operator="equal">
      <formula>0</formula>
    </cfRule>
  </conditionalFormatting>
  <conditionalFormatting sqref="D1:IV5 A1:C7 D6:K6 H1458:IV1460 H1461:XFD1488 H1489:H1496 I1489:XFD1497 A1497:H1497 A1498:XFD65539">
    <cfRule type="cellIs" dxfId="26" priority="178" operator="equal">
      <formula>0</formula>
    </cfRule>
  </conditionalFormatting>
  <conditionalFormatting sqref="D7:IV8 C136:C142 B136:B149 B150:G213 B214:B215 D214:G215">
    <cfRule type="cellIs" dxfId="25" priority="77" operator="equal">
      <formula>0</formula>
    </cfRule>
  </conditionalFormatting>
  <conditionalFormatting sqref="H9:H1421">
    <cfRule type="cellIs" dxfId="24" priority="3" operator="equal">
      <formula>0</formula>
    </cfRule>
  </conditionalFormatting>
  <conditionalFormatting sqref="H1422:I1457">
    <cfRule type="cellIs" dxfId="23" priority="143" operator="equal">
      <formula>0</formula>
    </cfRule>
  </conditionalFormatting>
  <conditionalFormatting sqref="I108:I1421">
    <cfRule type="cellIs" dxfId="22" priority="2" operator="equal">
      <formula>0</formula>
    </cfRule>
  </conditionalFormatting>
  <conditionalFormatting sqref="I9:IV107">
    <cfRule type="cellIs" dxfId="21" priority="153" operator="equal">
      <formula>0</formula>
    </cfRule>
  </conditionalFormatting>
  <conditionalFormatting sqref="J108:IV1457">
    <cfRule type="cellIs" dxfId="20" priority="5" operator="equal">
      <formula>0</formula>
    </cfRule>
  </conditionalFormatting>
  <conditionalFormatting sqref="M6:IV6">
    <cfRule type="cellIs" dxfId="1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55" zoomScaleNormal="55" zoomScaleSheetLayoutView="85" workbookViewId="0">
      <selection activeCell="K15" sqref="K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9" t="s">
        <v>1453</v>
      </c>
      <c r="C2" s="599"/>
      <c r="D2" s="599"/>
      <c r="E2" s="599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4" t="s">
        <v>1528</v>
      </c>
      <c r="C4" s="605"/>
      <c r="D4" s="605"/>
      <c r="E4" s="606"/>
      <c r="F4" s="373"/>
      <c r="G4" s="373"/>
      <c r="H4" s="374"/>
      <c r="I4" s="568" t="s">
        <v>1529</v>
      </c>
      <c r="J4" s="569"/>
      <c r="K4" s="569"/>
      <c r="L4" s="570"/>
    </row>
    <row r="5" spans="1:12" ht="34.5" customHeight="1">
      <c r="A5" s="193"/>
      <c r="B5" s="376" t="s">
        <v>1378</v>
      </c>
      <c r="C5" s="224" t="s">
        <v>9</v>
      </c>
      <c r="D5" s="600" t="str">
        <f>DATA!D14</f>
        <v>PB AHMAD IDRIS (PT. PERMATA MEDIKA UTAMI) 164KVA</v>
      </c>
      <c r="E5" s="601"/>
      <c r="F5" s="197"/>
      <c r="G5" s="197"/>
      <c r="I5" s="377" t="s">
        <v>1378</v>
      </c>
      <c r="J5" s="224" t="s">
        <v>9</v>
      </c>
      <c r="K5" s="571" t="str">
        <f>D5</f>
        <v>PB AHMAD IDRIS (PT. PERMATA MEDIKA UTAMI) 164KVA</v>
      </c>
      <c r="L5" s="572"/>
    </row>
    <row r="6" spans="1:12" ht="31.5" customHeight="1">
      <c r="A6" s="193"/>
      <c r="B6" s="376" t="s">
        <v>1525</v>
      </c>
      <c r="C6" s="224" t="s">
        <v>9</v>
      </c>
      <c r="D6" s="609">
        <f>DATA!D17*1000</f>
        <v>0</v>
      </c>
      <c r="E6" s="610"/>
      <c r="F6" s="197"/>
      <c r="G6" s="197"/>
      <c r="I6" s="377" t="s">
        <v>1526</v>
      </c>
      <c r="J6" s="224" t="s">
        <v>9</v>
      </c>
      <c r="K6" s="573">
        <f>DATA!D20*1000</f>
        <v>164000</v>
      </c>
      <c r="L6" s="574"/>
    </row>
    <row r="7" spans="1:12" ht="30.75" customHeight="1">
      <c r="A7" s="193"/>
      <c r="B7" s="376" t="s">
        <v>1440</v>
      </c>
      <c r="C7" s="224" t="s">
        <v>9</v>
      </c>
      <c r="D7" s="607">
        <f>DATA!D18</f>
        <v>1</v>
      </c>
      <c r="E7" s="608"/>
      <c r="F7" s="375" t="s">
        <v>1452</v>
      </c>
      <c r="I7" s="377" t="s">
        <v>1440</v>
      </c>
      <c r="J7" s="224" t="s">
        <v>9</v>
      </c>
      <c r="K7" s="575">
        <f>DATA!D21</f>
        <v>3</v>
      </c>
      <c r="L7" s="576"/>
    </row>
    <row r="8" spans="1:12" ht="51" customHeight="1">
      <c r="A8" s="193"/>
      <c r="B8" s="376" t="s">
        <v>1441</v>
      </c>
      <c r="C8" s="224" t="s">
        <v>9</v>
      </c>
      <c r="D8" s="607">
        <f>DATA!D19</f>
        <v>220</v>
      </c>
      <c r="E8" s="608"/>
      <c r="F8" s="375" t="s">
        <v>1452</v>
      </c>
      <c r="G8" s="370">
        <v>220</v>
      </c>
      <c r="I8" s="377" t="s">
        <v>1441</v>
      </c>
      <c r="J8" s="224" t="s">
        <v>9</v>
      </c>
      <c r="K8" s="575">
        <f>DATA!D22</f>
        <v>380</v>
      </c>
      <c r="L8" s="576"/>
    </row>
    <row r="9" spans="1:12" ht="30" customHeight="1" thickBot="1">
      <c r="A9" s="193"/>
      <c r="B9" s="382" t="s">
        <v>1537</v>
      </c>
      <c r="C9" s="372" t="s">
        <v>9</v>
      </c>
      <c r="D9" s="602">
        <f>IF(D7=1,D6/(380/3^0.5),(D6/(380*3^0.5)))</f>
        <v>0</v>
      </c>
      <c r="E9" s="603"/>
      <c r="F9" s="196"/>
      <c r="G9" s="371">
        <v>380</v>
      </c>
      <c r="I9" s="383" t="s">
        <v>1537</v>
      </c>
      <c r="J9" s="372" t="s">
        <v>9</v>
      </c>
      <c r="K9" s="579">
        <f>IF(K7=1,K6/(380/3^0.5),(K6/(380*3^0.5)))</f>
        <v>249.17222143973325</v>
      </c>
      <c r="L9" s="580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11"/>
      <c r="E12" s="612"/>
      <c r="F12" s="197"/>
      <c r="G12" s="197"/>
      <c r="I12" s="399" t="s">
        <v>1530</v>
      </c>
      <c r="J12" s="400" t="s">
        <v>9</v>
      </c>
      <c r="K12" s="611" t="s">
        <v>1639</v>
      </c>
      <c r="L12" s="612"/>
    </row>
    <row r="13" spans="1:12" ht="31.5" customHeight="1">
      <c r="A13" s="193"/>
      <c r="B13" s="407" t="s">
        <v>1379</v>
      </c>
      <c r="C13" s="387" t="s">
        <v>9</v>
      </c>
      <c r="D13" s="577"/>
      <c r="E13" s="578"/>
      <c r="F13" s="197"/>
      <c r="G13" s="197"/>
      <c r="I13" s="401" t="s">
        <v>1379</v>
      </c>
      <c r="J13" s="387" t="s">
        <v>9</v>
      </c>
      <c r="K13" s="577" t="s">
        <v>1638</v>
      </c>
      <c r="L13" s="578"/>
    </row>
    <row r="14" spans="1:12" ht="30.75" customHeight="1">
      <c r="A14" s="193"/>
      <c r="B14" s="407" t="s">
        <v>1531</v>
      </c>
      <c r="C14" s="387" t="s">
        <v>9</v>
      </c>
      <c r="D14" s="581"/>
      <c r="E14" s="582"/>
      <c r="F14" s="375" t="s">
        <v>1452</v>
      </c>
      <c r="G14" s="379">
        <v>50</v>
      </c>
      <c r="I14" s="401" t="s">
        <v>1531</v>
      </c>
      <c r="J14" s="387" t="s">
        <v>9</v>
      </c>
      <c r="K14" s="583">
        <v>160</v>
      </c>
      <c r="L14" s="584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85">
        <v>0</v>
      </c>
      <c r="E16" s="586"/>
      <c r="F16" s="375"/>
      <c r="G16" s="379">
        <v>160</v>
      </c>
      <c r="I16" s="401" t="s">
        <v>1533</v>
      </c>
      <c r="J16" s="387" t="s">
        <v>9</v>
      </c>
      <c r="K16" s="589">
        <f>K9</f>
        <v>249.17222143973325</v>
      </c>
      <c r="L16" s="590"/>
    </row>
    <row r="17" spans="1:12" ht="34.5" customHeight="1">
      <c r="A17" s="193"/>
      <c r="B17" s="407" t="s">
        <v>1534</v>
      </c>
      <c r="C17" s="387" t="s">
        <v>9</v>
      </c>
      <c r="D17" s="587">
        <f>IF(D15=1,D14/(20/3^0.5),(D14/(20*3^0.5)))</f>
        <v>0</v>
      </c>
      <c r="E17" s="588"/>
      <c r="F17" s="375" t="s">
        <v>1452</v>
      </c>
      <c r="G17" s="380">
        <v>200</v>
      </c>
      <c r="I17" s="401" t="s">
        <v>1534</v>
      </c>
      <c r="J17" s="387" t="s">
        <v>9</v>
      </c>
      <c r="K17" s="593">
        <f>IF(K15=1,K14/(20/3^0.5),(K14/(20*3^0.5)))</f>
        <v>4.6188021535170067</v>
      </c>
      <c r="L17" s="594"/>
    </row>
    <row r="18" spans="1:12" ht="34.5" customHeight="1">
      <c r="A18" s="193"/>
      <c r="B18" s="407" t="s">
        <v>1535</v>
      </c>
      <c r="C18" s="387" t="s">
        <v>9</v>
      </c>
      <c r="D18" s="587">
        <f>IF(D15=1,D14/(380/3^0.5),(D14/(380*3^0.5)))*1000</f>
        <v>0</v>
      </c>
      <c r="E18" s="588"/>
      <c r="F18" s="375" t="s">
        <v>1452</v>
      </c>
      <c r="G18" s="380">
        <v>250</v>
      </c>
      <c r="I18" s="401" t="s">
        <v>1535</v>
      </c>
      <c r="J18" s="387" t="s">
        <v>9</v>
      </c>
      <c r="K18" s="593">
        <f>IF(K15=1,K14/(380/3^0.5),(K14/(380*3^0.5)))*1000</f>
        <v>243.0948501851056</v>
      </c>
      <c r="L18" s="594"/>
    </row>
    <row r="19" spans="1:12" ht="30" customHeight="1">
      <c r="A19" s="193"/>
      <c r="B19" s="408" t="s">
        <v>1527</v>
      </c>
      <c r="C19" s="386" t="s">
        <v>9</v>
      </c>
      <c r="D19" s="587">
        <f>IF(D15=1,D14/(380/3^0.5),(D14/(380*3^0.5)))</f>
        <v>0</v>
      </c>
      <c r="E19" s="588"/>
      <c r="F19" s="196"/>
      <c r="G19" s="371"/>
      <c r="I19" s="403" t="s">
        <v>1527</v>
      </c>
      <c r="J19" s="386" t="s">
        <v>9</v>
      </c>
      <c r="K19" s="593">
        <f>IF(K15=1,K14/(380/3^0.5),(K14/(380*3^0.5)))</f>
        <v>0.2430948501851056</v>
      </c>
      <c r="L19" s="594"/>
    </row>
    <row r="20" spans="1:12" ht="30" customHeight="1" thickBot="1">
      <c r="A20" s="193"/>
      <c r="B20" s="409" t="s">
        <v>1536</v>
      </c>
      <c r="C20" s="405" t="s">
        <v>9</v>
      </c>
      <c r="D20" s="613" t="e">
        <f>D16/D18</f>
        <v>#DIV/0!</v>
      </c>
      <c r="E20" s="614"/>
      <c r="F20" s="196"/>
      <c r="G20" s="371"/>
      <c r="I20" s="404" t="s">
        <v>1527</v>
      </c>
      <c r="J20" s="405" t="s">
        <v>9</v>
      </c>
      <c r="K20" s="591">
        <f>K16/K18</f>
        <v>1.0250000000000001</v>
      </c>
      <c r="L20" s="592"/>
    </row>
    <row r="21" spans="1:12" ht="9.75" customHeight="1">
      <c r="A21" s="193"/>
      <c r="B21" s="394" t="s">
        <v>1536</v>
      </c>
      <c r="C21" s="395" t="s">
        <v>9</v>
      </c>
      <c r="D21" s="598">
        <v>1</v>
      </c>
      <c r="E21" s="598"/>
      <c r="F21" s="396"/>
      <c r="G21" s="397"/>
      <c r="H21" s="398"/>
      <c r="I21" s="394" t="s">
        <v>1527</v>
      </c>
      <c r="J21" s="395" t="s">
        <v>9</v>
      </c>
      <c r="K21" s="598">
        <v>1</v>
      </c>
      <c r="L21" s="598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5"/>
      <c r="C24" s="596"/>
      <c r="D24" s="596"/>
      <c r="E24" s="597"/>
      <c r="I24" s="595"/>
      <c r="J24" s="596"/>
      <c r="K24" s="596"/>
      <c r="L24" s="597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5"/>
      <c r="C1" s="615"/>
      <c r="D1" s="615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164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127100000</v>
      </c>
    </row>
    <row r="10" spans="2:11" ht="20.100000000000001" customHeight="1">
      <c r="B10" s="238" t="s">
        <v>1445</v>
      </c>
      <c r="C10" s="239" t="s">
        <v>9</v>
      </c>
      <c r="D10" s="245">
        <f ca="1">RAB!K137</f>
        <v>189421411.44734502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3788428.2289469005</v>
      </c>
    </row>
    <row r="12" spans="2:11" ht="9" customHeight="1">
      <c r="B12" s="616"/>
      <c r="C12" s="616"/>
      <c r="D12" s="616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AHMAD IDRIS (PT. PERMATA MEDIKA UTAMI) 164KVA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1625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/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164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775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W26" sqref="W2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23" t="s">
        <v>1356</v>
      </c>
      <c r="C3" s="623"/>
      <c r="D3" s="623"/>
      <c r="E3" s="623"/>
      <c r="F3" s="252" t="str">
        <f>DATA!D14</f>
        <v>PB AHMAD IDRIS (PT. PERMATA MEDIKA UTAMI) 164KVA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7" t="s">
        <v>1348</v>
      </c>
      <c r="C5" s="617" t="s">
        <v>1357</v>
      </c>
      <c r="D5" s="622" t="s">
        <v>1358</v>
      </c>
      <c r="E5" s="622" t="s">
        <v>1359</v>
      </c>
      <c r="F5" s="617" t="s">
        <v>1360</v>
      </c>
      <c r="G5" s="617"/>
      <c r="H5" s="617"/>
      <c r="I5" s="617"/>
      <c r="J5" s="617"/>
      <c r="K5" s="617" t="s">
        <v>1361</v>
      </c>
      <c r="L5" s="617"/>
      <c r="M5" s="254"/>
      <c r="N5" s="620" t="s">
        <v>1362</v>
      </c>
      <c r="O5" s="622" t="s">
        <v>1363</v>
      </c>
      <c r="P5" s="622" t="s">
        <v>1364</v>
      </c>
      <c r="Q5" s="622" t="s">
        <v>1365</v>
      </c>
      <c r="R5" s="255"/>
      <c r="S5" s="256"/>
      <c r="T5" s="618" t="s">
        <v>1366</v>
      </c>
      <c r="U5" s="257"/>
    </row>
    <row r="6" spans="1:21" ht="20.100000000000001" customHeight="1">
      <c r="B6" s="617"/>
      <c r="C6" s="617"/>
      <c r="D6" s="617"/>
      <c r="E6" s="617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21"/>
      <c r="O6" s="617"/>
      <c r="P6" s="617"/>
      <c r="Q6" s="617"/>
      <c r="R6" s="255"/>
      <c r="S6" s="256"/>
      <c r="T6" s="617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26240</v>
      </c>
      <c r="D7" s="263">
        <f>C7*4/24</f>
        <v>4373.333333333333</v>
      </c>
      <c r="E7" s="263">
        <f>C7-D7</f>
        <v>21866.666666666668</v>
      </c>
      <c r="F7" s="264">
        <f ca="1">DATA!D10/1000000</f>
        <v>189.42141144734501</v>
      </c>
      <c r="G7" s="265">
        <f ca="1">DATA!$D$11/1000000</f>
        <v>3.7884282289469007</v>
      </c>
      <c r="H7" s="265">
        <f>C7*DATA!$D$5/1000000</f>
        <v>28.447441204063967</v>
      </c>
      <c r="I7" s="265">
        <f>(C7*DATA!$D$5*DATA!$D$7)/1000000</f>
        <v>0.64006742709143927</v>
      </c>
      <c r="J7" s="263">
        <f ca="1">SUM(F7:I7)</f>
        <v>222.29734830744735</v>
      </c>
      <c r="K7" s="266">
        <f>DATA!D9/1000000</f>
        <v>127.1</v>
      </c>
      <c r="L7" s="263">
        <f>((D7*DATA!$D$23)/1000000)+((E7*DATA!$D$24)/1000000)</f>
        <v>37.908928000000003</v>
      </c>
      <c r="M7" s="263">
        <f>K7+L7</f>
        <v>165.008928</v>
      </c>
      <c r="N7" s="263">
        <f ca="1">M7-J7</f>
        <v>-57.288420307447353</v>
      </c>
      <c r="O7" s="261">
        <v>1</v>
      </c>
      <c r="P7" s="263">
        <f ca="1">O7*N7</f>
        <v>-57.288420307447353</v>
      </c>
      <c r="Q7" s="263">
        <f ca="1">P7</f>
        <v>-57.288420307447353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78720</v>
      </c>
      <c r="D8" s="263">
        <f>C8*4/24</f>
        <v>13120</v>
      </c>
      <c r="E8" s="263">
        <f t="shared" ref="E8:E32" si="0">C8-D8</f>
        <v>65600</v>
      </c>
      <c r="F8" s="261"/>
      <c r="G8" s="265">
        <f ca="1">DATA!$D$11/1000000</f>
        <v>3.7884282289469007</v>
      </c>
      <c r="H8" s="265">
        <f>C8*DATA!$D$5/1000000</f>
        <v>85.342323612191905</v>
      </c>
      <c r="I8" s="265">
        <f>(C8*DATA!$D$5*DATA!$D$7)/1000000</f>
        <v>1.9202022812743178</v>
      </c>
      <c r="J8" s="263">
        <f t="shared" ref="J8:J32" ca="1" si="1">SUM(F8:I8)</f>
        <v>91.050954122413117</v>
      </c>
      <c r="K8" s="268"/>
      <c r="L8" s="263">
        <f>((D8*DATA!$D$23)/1000000)+((E8*DATA!$D$24)/1000000)</f>
        <v>113.72678399999999</v>
      </c>
      <c r="M8" s="263">
        <f t="shared" ref="M8:M32" si="2">K8+L8</f>
        <v>113.72678399999999</v>
      </c>
      <c r="N8" s="263">
        <f ca="1">M8-J8</f>
        <v>22.675829877586878</v>
      </c>
      <c r="O8" s="262">
        <f>1/(1+'[93]Asumsi I'!$C$3)^(KKF!A8)</f>
        <v>0.89285714285714279</v>
      </c>
      <c r="P8" s="263">
        <f ca="1">O8*N8</f>
        <v>20.246276676416855</v>
      </c>
      <c r="Q8" s="263">
        <f ca="1">Q7+P8</f>
        <v>-37.042143631030498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78720</v>
      </c>
      <c r="D9" s="263">
        <f t="shared" ref="D9:D32" si="5">C9*4/24</f>
        <v>13120</v>
      </c>
      <c r="E9" s="263">
        <f t="shared" si="0"/>
        <v>65600</v>
      </c>
      <c r="F9" s="261"/>
      <c r="G9" s="265">
        <f ca="1">DATA!$D$11/1000000</f>
        <v>3.7884282289469007</v>
      </c>
      <c r="H9" s="265">
        <f>C9*DATA!$D$5/1000000</f>
        <v>85.342323612191905</v>
      </c>
      <c r="I9" s="265">
        <f>(C9*DATA!$D$5*DATA!$D$7)/1000000</f>
        <v>1.9202022812743178</v>
      </c>
      <c r="J9" s="263">
        <f t="shared" ca="1" si="1"/>
        <v>91.050954122413117</v>
      </c>
      <c r="K9" s="263"/>
      <c r="L9" s="263">
        <f>((D9*DATA!$D$23)/1000000)+((E9*DATA!$D$24)/1000000)</f>
        <v>113.72678399999999</v>
      </c>
      <c r="M9" s="263">
        <f t="shared" si="2"/>
        <v>113.72678399999999</v>
      </c>
      <c r="N9" s="263">
        <f t="shared" ref="N9:N32" ca="1" si="6">M9-J9</f>
        <v>22.675829877586878</v>
      </c>
      <c r="O9" s="269">
        <f>1/(1+'[93]Asumsi I'!$C$3)^(KKF!A9)</f>
        <v>0.79719387755102034</v>
      </c>
      <c r="P9" s="263">
        <f t="shared" ref="P9:P32" ca="1" si="7">O9*N9</f>
        <v>18.077032746800761</v>
      </c>
      <c r="Q9" s="263">
        <f ca="1">Q8+P9</f>
        <v>-18.965110884229738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78720</v>
      </c>
      <c r="D10" s="263">
        <f t="shared" si="5"/>
        <v>13120</v>
      </c>
      <c r="E10" s="263">
        <f t="shared" si="0"/>
        <v>65600</v>
      </c>
      <c r="F10" s="261"/>
      <c r="G10" s="265">
        <f ca="1">DATA!$D$11/1000000</f>
        <v>3.7884282289469007</v>
      </c>
      <c r="H10" s="265">
        <f>C10*DATA!$D$5/1000000</f>
        <v>85.342323612191905</v>
      </c>
      <c r="I10" s="265">
        <f>(C10*DATA!$D$5*DATA!$D$7)/1000000</f>
        <v>1.9202022812743178</v>
      </c>
      <c r="J10" s="263">
        <f t="shared" ca="1" si="1"/>
        <v>91.050954122413117</v>
      </c>
      <c r="K10" s="261"/>
      <c r="L10" s="263">
        <f>((D10*DATA!$D$23)/1000000)+((E10*DATA!$D$24)/1000000)</f>
        <v>113.72678399999999</v>
      </c>
      <c r="M10" s="263">
        <f t="shared" si="2"/>
        <v>113.72678399999999</v>
      </c>
      <c r="N10" s="263">
        <f t="shared" ca="1" si="6"/>
        <v>22.675829877586878</v>
      </c>
      <c r="O10" s="262">
        <f>1/(1+'[93]Asumsi I'!$C$3)^(KKF!A10)</f>
        <v>0.71178024781341087</v>
      </c>
      <c r="P10" s="263">
        <f t="shared" ca="1" si="7"/>
        <v>16.140207809643535</v>
      </c>
      <c r="Q10" s="263">
        <f t="shared" ref="Q10:Q30" ca="1" si="9">Q9+P10</f>
        <v>-2.8249030745862029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78720</v>
      </c>
      <c r="D11" s="263">
        <f t="shared" si="5"/>
        <v>13120</v>
      </c>
      <c r="E11" s="263">
        <f t="shared" si="0"/>
        <v>65600</v>
      </c>
      <c r="F11" s="261"/>
      <c r="G11" s="265">
        <f ca="1">DATA!$D$11/1000000</f>
        <v>3.7884282289469007</v>
      </c>
      <c r="H11" s="265">
        <f>C11*DATA!$D$5/1000000</f>
        <v>85.342323612191905</v>
      </c>
      <c r="I11" s="265">
        <f>(C11*DATA!$D$5*DATA!$D$7)/1000000</f>
        <v>1.9202022812743178</v>
      </c>
      <c r="J11" s="263">
        <f t="shared" ca="1" si="1"/>
        <v>91.050954122413117</v>
      </c>
      <c r="K11" s="261"/>
      <c r="L11" s="263">
        <f>((D11*DATA!$D$23)/1000000)+((E11*DATA!$D$24)/1000000)</f>
        <v>113.72678399999999</v>
      </c>
      <c r="M11" s="263">
        <f t="shared" si="2"/>
        <v>113.72678399999999</v>
      </c>
      <c r="N11" s="263">
        <f t="shared" ca="1" si="6"/>
        <v>22.675829877586878</v>
      </c>
      <c r="O11" s="262">
        <f>1/(1+'[93]Asumsi I'!$C$3)^(KKF!A11)</f>
        <v>0.63551807840483121</v>
      </c>
      <c r="P11" s="263">
        <f t="shared" ca="1" si="7"/>
        <v>14.410899830038872</v>
      </c>
      <c r="Q11" s="263">
        <f t="shared" ca="1" si="9"/>
        <v>11.585996755452669</v>
      </c>
      <c r="S11" s="251" t="str">
        <f t="shared" ca="1" si="3"/>
        <v/>
      </c>
      <c r="T11" s="267">
        <f t="shared" ca="1" si="10"/>
        <v>3.4890596367145781</v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78720</v>
      </c>
      <c r="D12" s="263">
        <f t="shared" si="5"/>
        <v>13120</v>
      </c>
      <c r="E12" s="263">
        <f t="shared" si="0"/>
        <v>65600</v>
      </c>
      <c r="F12" s="261"/>
      <c r="G12" s="265">
        <f ca="1">DATA!$D$11/1000000</f>
        <v>3.7884282289469007</v>
      </c>
      <c r="H12" s="265">
        <f>C12*DATA!$D$5/1000000</f>
        <v>85.342323612191905</v>
      </c>
      <c r="I12" s="265">
        <f>(C12*DATA!$D$5*DATA!$D$7)/1000000</f>
        <v>1.9202022812743178</v>
      </c>
      <c r="J12" s="263">
        <f t="shared" ca="1" si="1"/>
        <v>91.050954122413117</v>
      </c>
      <c r="K12" s="261"/>
      <c r="L12" s="263">
        <f>((D12*DATA!$D$23)/1000000)+((E12*DATA!$D$24)/1000000)</f>
        <v>113.72678399999999</v>
      </c>
      <c r="M12" s="263">
        <f t="shared" si="2"/>
        <v>113.72678399999999</v>
      </c>
      <c r="N12" s="263">
        <f t="shared" ca="1" si="6"/>
        <v>22.675829877586878</v>
      </c>
      <c r="O12" s="262">
        <f>1/(1+'[93]Asumsi I'!$C$3)^(KKF!A12)</f>
        <v>0.56742685571859919</v>
      </c>
      <c r="P12" s="263">
        <f t="shared" ca="1" si="7"/>
        <v>12.86687484824899</v>
      </c>
      <c r="Q12" s="263">
        <f t="shared" ca="1" si="9"/>
        <v>24.452871603701659</v>
      </c>
      <c r="S12" s="251" t="str">
        <f t="shared" ca="1" si="3"/>
        <v/>
      </c>
      <c r="T12" s="267">
        <f t="shared" ca="1" si="10"/>
        <v>3.9216327809959788</v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78720</v>
      </c>
      <c r="D13" s="263">
        <f t="shared" si="5"/>
        <v>13120</v>
      </c>
      <c r="E13" s="263">
        <f t="shared" si="0"/>
        <v>65600</v>
      </c>
      <c r="F13" s="261"/>
      <c r="G13" s="265">
        <f ca="1">DATA!$D$11/1000000</f>
        <v>3.7884282289469007</v>
      </c>
      <c r="H13" s="265">
        <f>C13*DATA!$D$5/1000000</f>
        <v>85.342323612191905</v>
      </c>
      <c r="I13" s="265">
        <f>(C13*DATA!$D$5*DATA!$D$7)/1000000</f>
        <v>1.9202022812743178</v>
      </c>
      <c r="J13" s="263">
        <f t="shared" ca="1" si="1"/>
        <v>91.050954122413117</v>
      </c>
      <c r="K13" s="261"/>
      <c r="L13" s="263">
        <f>((D13*DATA!$D$23)/1000000)+((E13*DATA!$D$24)/1000000)</f>
        <v>113.72678399999999</v>
      </c>
      <c r="M13" s="263">
        <f t="shared" si="2"/>
        <v>113.72678399999999</v>
      </c>
      <c r="N13" s="263">
        <f t="shared" ca="1" si="6"/>
        <v>22.675829877586878</v>
      </c>
      <c r="O13" s="262">
        <f>1/(1+'[93]Asumsi I'!$C$3)^(KKF!A13)</f>
        <v>0.50663112117732068</v>
      </c>
      <c r="P13" s="263">
        <f t="shared" ca="1" si="7"/>
        <v>11.488281114508027</v>
      </c>
      <c r="Q13" s="263">
        <f t="shared" ca="1" si="9"/>
        <v>35.941152718209686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78720</v>
      </c>
      <c r="D14" s="263">
        <f t="shared" si="5"/>
        <v>13120</v>
      </c>
      <c r="E14" s="263">
        <f t="shared" si="0"/>
        <v>65600</v>
      </c>
      <c r="F14" s="261"/>
      <c r="G14" s="265">
        <f ca="1">DATA!$D$11/1000000</f>
        <v>3.7884282289469007</v>
      </c>
      <c r="H14" s="265">
        <f>C14*DATA!$D$5/1000000</f>
        <v>85.342323612191905</v>
      </c>
      <c r="I14" s="265">
        <f>(C14*DATA!$D$5*DATA!$D$7)/1000000</f>
        <v>1.9202022812743178</v>
      </c>
      <c r="J14" s="263">
        <f t="shared" ca="1" si="1"/>
        <v>91.050954122413117</v>
      </c>
      <c r="K14" s="261"/>
      <c r="L14" s="263">
        <f>((D14*DATA!$D$23)/1000000)+((E14*DATA!$D$24)/1000000)</f>
        <v>113.72678399999999</v>
      </c>
      <c r="M14" s="263">
        <f t="shared" si="2"/>
        <v>113.72678399999999</v>
      </c>
      <c r="N14" s="263">
        <f t="shared" ca="1" si="6"/>
        <v>22.675829877586878</v>
      </c>
      <c r="O14" s="262">
        <f>1/(1+'[93]Asumsi I'!$C$3)^(KKF!A14)</f>
        <v>0.45234921533689343</v>
      </c>
      <c r="P14" s="263">
        <f t="shared" ca="1" si="7"/>
        <v>10.257393852239309</v>
      </c>
      <c r="Q14" s="263">
        <f t="shared" ca="1" si="9"/>
        <v>46.198546570448997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78720</v>
      </c>
      <c r="D15" s="263">
        <f t="shared" si="5"/>
        <v>13120</v>
      </c>
      <c r="E15" s="263">
        <f t="shared" si="0"/>
        <v>65600</v>
      </c>
      <c r="F15" s="261"/>
      <c r="G15" s="265">
        <f ca="1">DATA!$D$11/1000000</f>
        <v>3.7884282289469007</v>
      </c>
      <c r="H15" s="265">
        <f>C15*DATA!$D$5/1000000</f>
        <v>85.342323612191905</v>
      </c>
      <c r="I15" s="265">
        <f>(C15*DATA!$D$5*DATA!$D$7)/1000000</f>
        <v>1.9202022812743178</v>
      </c>
      <c r="J15" s="263">
        <f t="shared" ca="1" si="1"/>
        <v>91.050954122413117</v>
      </c>
      <c r="K15" s="261"/>
      <c r="L15" s="263">
        <f>((D15*DATA!$D$23)/1000000)+((E15*DATA!$D$24)/1000000)</f>
        <v>113.72678399999999</v>
      </c>
      <c r="M15" s="263">
        <f t="shared" si="2"/>
        <v>113.72678399999999</v>
      </c>
      <c r="N15" s="263">
        <f t="shared" ca="1" si="6"/>
        <v>22.675829877586878</v>
      </c>
      <c r="O15" s="262">
        <f>1/(1+'[93]Asumsi I'!$C$3)^(KKF!A15)</f>
        <v>0.4038832279793691</v>
      </c>
      <c r="P15" s="263">
        <f t="shared" ca="1" si="7"/>
        <v>9.1583873680708106</v>
      </c>
      <c r="Q15" s="263">
        <f t="shared" ca="1" si="9"/>
        <v>55.356933938519809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78720</v>
      </c>
      <c r="D16" s="263">
        <f t="shared" si="5"/>
        <v>13120</v>
      </c>
      <c r="E16" s="263">
        <f t="shared" si="0"/>
        <v>65600</v>
      </c>
      <c r="F16" s="261"/>
      <c r="G16" s="265">
        <f ca="1">DATA!$D$11/1000000</f>
        <v>3.7884282289469007</v>
      </c>
      <c r="H16" s="265">
        <f>C16*DATA!$D$5/1000000</f>
        <v>85.342323612191905</v>
      </c>
      <c r="I16" s="265">
        <f>(C16*DATA!$D$5*DATA!$D$7)/1000000</f>
        <v>1.9202022812743178</v>
      </c>
      <c r="J16" s="263">
        <f t="shared" ca="1" si="1"/>
        <v>91.050954122413117</v>
      </c>
      <c r="K16" s="261"/>
      <c r="L16" s="263">
        <f>((D16*DATA!$D$23)/1000000)+((E16*DATA!$D$24)/1000000)</f>
        <v>113.72678399999999</v>
      </c>
      <c r="M16" s="263">
        <f t="shared" si="2"/>
        <v>113.72678399999999</v>
      </c>
      <c r="N16" s="263">
        <f t="shared" ca="1" si="6"/>
        <v>22.675829877586878</v>
      </c>
      <c r="O16" s="262">
        <f>1/(1+'[93]Asumsi I'!$C$3)^(KKF!A16)</f>
        <v>0.36061002498157957</v>
      </c>
      <c r="P16" s="263">
        <f t="shared" ca="1" si="7"/>
        <v>8.1771315786346523</v>
      </c>
      <c r="Q16" s="263">
        <f t="shared" ca="1" si="9"/>
        <v>63.53406551715446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78720</v>
      </c>
      <c r="D17" s="263">
        <f t="shared" si="5"/>
        <v>13120</v>
      </c>
      <c r="E17" s="263">
        <f t="shared" si="0"/>
        <v>65600</v>
      </c>
      <c r="F17" s="261"/>
      <c r="G17" s="265">
        <f ca="1">DATA!$D$11/1000000</f>
        <v>3.7884282289469007</v>
      </c>
      <c r="H17" s="265">
        <f>C17*DATA!$D$5/1000000</f>
        <v>85.342323612191905</v>
      </c>
      <c r="I17" s="265">
        <f>(C17*DATA!$D$5*DATA!$D$7)/1000000</f>
        <v>1.9202022812743178</v>
      </c>
      <c r="J17" s="263">
        <f t="shared" ca="1" si="1"/>
        <v>91.050954122413117</v>
      </c>
      <c r="K17" s="261"/>
      <c r="L17" s="263">
        <f>((D17*DATA!$D$23)/1000000)+((E17*DATA!$D$24)/1000000)</f>
        <v>113.72678399999999</v>
      </c>
      <c r="M17" s="263">
        <f t="shared" si="2"/>
        <v>113.72678399999999</v>
      </c>
      <c r="N17" s="263">
        <f t="shared" ca="1" si="6"/>
        <v>22.675829877586878</v>
      </c>
      <c r="O17" s="262">
        <f>1/(1+'[93]Asumsi I'!$C$3)^(KKF!A17)</f>
        <v>0.32197323659069599</v>
      </c>
      <c r="P17" s="263">
        <f t="shared" ca="1" si="7"/>
        <v>7.3010103380666527</v>
      </c>
      <c r="Q17" s="263">
        <f t="shared" ca="1" si="9"/>
        <v>70.835075855221106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78720</v>
      </c>
      <c r="D18" s="263">
        <f t="shared" si="5"/>
        <v>13120</v>
      </c>
      <c r="E18" s="263">
        <f t="shared" si="0"/>
        <v>65600</v>
      </c>
      <c r="F18" s="261"/>
      <c r="G18" s="265">
        <f ca="1">DATA!$D$11/1000000</f>
        <v>3.7884282289469007</v>
      </c>
      <c r="H18" s="265">
        <f>C18*DATA!$D$5/1000000</f>
        <v>85.342323612191905</v>
      </c>
      <c r="I18" s="265">
        <f>(C18*DATA!$D$5*DATA!$D$7)/1000000</f>
        <v>1.9202022812743178</v>
      </c>
      <c r="J18" s="263">
        <f t="shared" ca="1" si="1"/>
        <v>91.050954122413117</v>
      </c>
      <c r="K18" s="261"/>
      <c r="L18" s="263">
        <f>((D18*DATA!$D$23)/1000000)+((E18*DATA!$D$24)/1000000)</f>
        <v>113.72678399999999</v>
      </c>
      <c r="M18" s="263">
        <f t="shared" si="2"/>
        <v>113.72678399999999</v>
      </c>
      <c r="N18" s="263">
        <f t="shared" ca="1" si="6"/>
        <v>22.675829877586878</v>
      </c>
      <c r="O18" s="262">
        <f>1/(1+'[93]Asumsi I'!$C$3)^(KKF!A18)</f>
        <v>0.28747610409883567</v>
      </c>
      <c r="P18" s="263">
        <f t="shared" ca="1" si="7"/>
        <v>6.5187592304166539</v>
      </c>
      <c r="Q18" s="263">
        <f t="shared" ca="1" si="9"/>
        <v>77.353835085637755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78720</v>
      </c>
      <c r="D19" s="263">
        <f t="shared" si="5"/>
        <v>13120</v>
      </c>
      <c r="E19" s="263">
        <f t="shared" si="0"/>
        <v>65600</v>
      </c>
      <c r="F19" s="261"/>
      <c r="G19" s="265">
        <f ca="1">DATA!$D$11/1000000</f>
        <v>3.7884282289469007</v>
      </c>
      <c r="H19" s="265">
        <f>C19*DATA!$D$5/1000000</f>
        <v>85.342323612191905</v>
      </c>
      <c r="I19" s="265">
        <f>(C19*DATA!$D$5*DATA!$D$7)/1000000</f>
        <v>1.9202022812743178</v>
      </c>
      <c r="J19" s="263">
        <f t="shared" ca="1" si="1"/>
        <v>91.050954122413117</v>
      </c>
      <c r="K19" s="261"/>
      <c r="L19" s="263">
        <f>((D19*DATA!$D$23)/1000000)+((E19*DATA!$D$24)/1000000)</f>
        <v>113.72678399999999</v>
      </c>
      <c r="M19" s="263">
        <f t="shared" si="2"/>
        <v>113.72678399999999</v>
      </c>
      <c r="N19" s="263">
        <f t="shared" ca="1" si="6"/>
        <v>22.675829877586878</v>
      </c>
      <c r="O19" s="262">
        <f>1/(1+'[93]Asumsi I'!$C$3)^(KKF!A19)</f>
        <v>0.25667509294538904</v>
      </c>
      <c r="P19" s="263">
        <f t="shared" ca="1" si="7"/>
        <v>5.8203207414434415</v>
      </c>
      <c r="Q19" s="263">
        <f t="shared" ca="1" si="9"/>
        <v>83.174155827081194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78720</v>
      </c>
      <c r="D20" s="263">
        <f t="shared" si="5"/>
        <v>13120</v>
      </c>
      <c r="E20" s="263">
        <f t="shared" si="0"/>
        <v>65600</v>
      </c>
      <c r="F20" s="261"/>
      <c r="G20" s="265">
        <f ca="1">DATA!$D$11/1000000</f>
        <v>3.7884282289469007</v>
      </c>
      <c r="H20" s="265">
        <f>C20*DATA!$D$5/1000000</f>
        <v>85.342323612191905</v>
      </c>
      <c r="I20" s="265">
        <f>(C20*DATA!$D$5*DATA!$D$7)/1000000</f>
        <v>1.9202022812743178</v>
      </c>
      <c r="J20" s="263">
        <f t="shared" ca="1" si="1"/>
        <v>91.050954122413117</v>
      </c>
      <c r="K20" s="261"/>
      <c r="L20" s="263">
        <f>((D20*DATA!$D$23)/1000000)+((E20*DATA!$D$24)/1000000)</f>
        <v>113.72678399999999</v>
      </c>
      <c r="M20" s="263">
        <f t="shared" si="2"/>
        <v>113.72678399999999</v>
      </c>
      <c r="N20" s="263">
        <f t="shared" ca="1" si="6"/>
        <v>22.675829877586878</v>
      </c>
      <c r="O20" s="262">
        <f>1/(1+'[93]Asumsi I'!$C$3)^(KKF!A20)</f>
        <v>0.22917419012981158</v>
      </c>
      <c r="P20" s="263">
        <f t="shared" ca="1" si="7"/>
        <v>5.1967149477173571</v>
      </c>
      <c r="Q20" s="263">
        <f t="shared" ca="1" si="9"/>
        <v>88.370870774798547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78720</v>
      </c>
      <c r="D21" s="263">
        <f t="shared" si="5"/>
        <v>13120</v>
      </c>
      <c r="E21" s="263">
        <f t="shared" si="0"/>
        <v>65600</v>
      </c>
      <c r="F21" s="261"/>
      <c r="G21" s="265">
        <f ca="1">DATA!$D$11/1000000</f>
        <v>3.7884282289469007</v>
      </c>
      <c r="H21" s="265">
        <f>C21*DATA!$D$5/1000000</f>
        <v>85.342323612191905</v>
      </c>
      <c r="I21" s="265">
        <f>(C21*DATA!$D$5*DATA!$D$7)/1000000</f>
        <v>1.9202022812743178</v>
      </c>
      <c r="J21" s="263">
        <f t="shared" ca="1" si="1"/>
        <v>91.050954122413117</v>
      </c>
      <c r="K21" s="261"/>
      <c r="L21" s="263">
        <f>((D21*DATA!$D$23)/1000000)+((E21*DATA!$D$24)/1000000)</f>
        <v>113.72678399999999</v>
      </c>
      <c r="M21" s="263">
        <f t="shared" si="2"/>
        <v>113.72678399999999</v>
      </c>
      <c r="N21" s="263">
        <f t="shared" ca="1" si="6"/>
        <v>22.675829877586878</v>
      </c>
      <c r="O21" s="262">
        <f>1/(1+'[93]Asumsi I'!$C$3)^(KKF!A21)</f>
        <v>0.20461981261590317</v>
      </c>
      <c r="P21" s="263">
        <f t="shared" ca="1" si="7"/>
        <v>4.6399240604619258</v>
      </c>
      <c r="Q21" s="263">
        <f t="shared" ca="1" si="9"/>
        <v>93.010794835260469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78720</v>
      </c>
      <c r="D22" s="263">
        <f t="shared" si="5"/>
        <v>13120</v>
      </c>
      <c r="E22" s="263">
        <f t="shared" si="0"/>
        <v>65600</v>
      </c>
      <c r="F22" s="261"/>
      <c r="G22" s="265">
        <f ca="1">DATA!$D$11/1000000</f>
        <v>3.7884282289469007</v>
      </c>
      <c r="H22" s="265">
        <f>C22*DATA!$D$5/1000000</f>
        <v>85.342323612191905</v>
      </c>
      <c r="I22" s="265">
        <f>(C22*DATA!$D$5*DATA!$D$7)/1000000</f>
        <v>1.9202022812743178</v>
      </c>
      <c r="J22" s="263">
        <f t="shared" ca="1" si="1"/>
        <v>91.050954122413117</v>
      </c>
      <c r="K22" s="261"/>
      <c r="L22" s="263">
        <f>((D22*DATA!$D$23)/1000000)+((E22*DATA!$D$24)/1000000)</f>
        <v>113.72678399999999</v>
      </c>
      <c r="M22" s="263">
        <f t="shared" si="2"/>
        <v>113.72678399999999</v>
      </c>
      <c r="N22" s="263">
        <f t="shared" ca="1" si="6"/>
        <v>22.675829877586878</v>
      </c>
      <c r="O22" s="262">
        <f>1/(1+'[93]Asumsi I'!$C$3)^(KKF!A22)</f>
        <v>0.18269626126419927</v>
      </c>
      <c r="P22" s="263">
        <f t="shared" ca="1" si="7"/>
        <v>4.1427893396981483</v>
      </c>
      <c r="Q22" s="263">
        <f t="shared" ca="1" si="9"/>
        <v>97.153584174958624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78720</v>
      </c>
      <c r="D23" s="263">
        <f t="shared" si="5"/>
        <v>13120</v>
      </c>
      <c r="E23" s="263">
        <f t="shared" si="0"/>
        <v>65600</v>
      </c>
      <c r="F23" s="261"/>
      <c r="G23" s="265">
        <f ca="1">DATA!$D$11/1000000</f>
        <v>3.7884282289469007</v>
      </c>
      <c r="H23" s="265">
        <f>C23*DATA!$D$5/1000000</f>
        <v>85.342323612191905</v>
      </c>
      <c r="I23" s="265">
        <f>(C23*DATA!$D$5*DATA!$D$7)/1000000</f>
        <v>1.9202022812743178</v>
      </c>
      <c r="J23" s="263">
        <f t="shared" ca="1" si="1"/>
        <v>91.050954122413117</v>
      </c>
      <c r="K23" s="261"/>
      <c r="L23" s="263">
        <f>((D23*DATA!$D$23)/1000000)+((E23*DATA!$D$24)/1000000)</f>
        <v>113.72678399999999</v>
      </c>
      <c r="M23" s="263">
        <f t="shared" si="2"/>
        <v>113.72678399999999</v>
      </c>
      <c r="N23" s="263">
        <f t="shared" ca="1" si="6"/>
        <v>22.675829877586878</v>
      </c>
      <c r="O23" s="262">
        <f>1/(1+'[93]Asumsi I'!$C$3)^(KKF!A23)</f>
        <v>0.16312166184303503</v>
      </c>
      <c r="P23" s="263">
        <f t="shared" ca="1" si="7"/>
        <v>3.6989190533019172</v>
      </c>
      <c r="Q23" s="263">
        <f t="shared" ca="1" si="9"/>
        <v>100.85250322826055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78720</v>
      </c>
      <c r="D24" s="263">
        <f t="shared" si="5"/>
        <v>13120</v>
      </c>
      <c r="E24" s="263">
        <f t="shared" si="0"/>
        <v>65600</v>
      </c>
      <c r="F24" s="261"/>
      <c r="G24" s="265">
        <f ca="1">DATA!$D$11/1000000</f>
        <v>3.7884282289469007</v>
      </c>
      <c r="H24" s="265">
        <f>C24*DATA!$D$5/1000000</f>
        <v>85.342323612191905</v>
      </c>
      <c r="I24" s="265">
        <f>(C24*DATA!$D$5*DATA!$D$7)/1000000</f>
        <v>1.9202022812743178</v>
      </c>
      <c r="J24" s="263">
        <f t="shared" ca="1" si="1"/>
        <v>91.050954122413117</v>
      </c>
      <c r="K24" s="261"/>
      <c r="L24" s="263">
        <f>((D24*DATA!$D$23)/1000000)+((E24*DATA!$D$24)/1000000)</f>
        <v>113.72678399999999</v>
      </c>
      <c r="M24" s="263">
        <f t="shared" si="2"/>
        <v>113.72678399999999</v>
      </c>
      <c r="N24" s="263">
        <f t="shared" ca="1" si="6"/>
        <v>22.675829877586878</v>
      </c>
      <c r="O24" s="262">
        <f>1/(1+'[93]Asumsi I'!$C$3)^(KKF!A24)</f>
        <v>0.14564434093128129</v>
      </c>
      <c r="P24" s="263">
        <f t="shared" ca="1" si="7"/>
        <v>3.3026062975909976</v>
      </c>
      <c r="Q24" s="263">
        <f t="shared" ca="1" si="9"/>
        <v>104.15510952585154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78720</v>
      </c>
      <c r="D25" s="263">
        <f t="shared" si="5"/>
        <v>13120</v>
      </c>
      <c r="E25" s="263">
        <f t="shared" si="0"/>
        <v>65600</v>
      </c>
      <c r="F25" s="261"/>
      <c r="G25" s="265">
        <f ca="1">DATA!$D$11/1000000</f>
        <v>3.7884282289469007</v>
      </c>
      <c r="H25" s="265">
        <f>C25*DATA!$D$5/1000000</f>
        <v>85.342323612191905</v>
      </c>
      <c r="I25" s="265">
        <f>(C25*DATA!$D$5*DATA!$D$7)/1000000</f>
        <v>1.9202022812743178</v>
      </c>
      <c r="J25" s="263">
        <f t="shared" ca="1" si="1"/>
        <v>91.050954122413117</v>
      </c>
      <c r="K25" s="261"/>
      <c r="L25" s="263">
        <f>((D25*DATA!$D$23)/1000000)+((E25*DATA!$D$24)/1000000)</f>
        <v>113.72678399999999</v>
      </c>
      <c r="M25" s="263">
        <f t="shared" si="2"/>
        <v>113.72678399999999</v>
      </c>
      <c r="N25" s="263">
        <f t="shared" ca="1" si="6"/>
        <v>22.675829877586878</v>
      </c>
      <c r="O25" s="262">
        <f>1/(1+'[93]Asumsi I'!$C$3)^(KKF!A25)</f>
        <v>0.13003959011721541</v>
      </c>
      <c r="P25" s="263">
        <f t="shared" ca="1" si="7"/>
        <v>2.9487556228491045</v>
      </c>
      <c r="Q25" s="263">
        <f t="shared" ca="1" si="9"/>
        <v>107.10386514870065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78720</v>
      </c>
      <c r="D26" s="263">
        <f t="shared" si="5"/>
        <v>13120</v>
      </c>
      <c r="E26" s="263">
        <f t="shared" si="0"/>
        <v>65600</v>
      </c>
      <c r="F26" s="261"/>
      <c r="G26" s="265">
        <f ca="1">DATA!$D$11/1000000</f>
        <v>3.7884282289469007</v>
      </c>
      <c r="H26" s="265">
        <f>C26*DATA!$D$5/1000000</f>
        <v>85.342323612191905</v>
      </c>
      <c r="I26" s="265">
        <f>(C26*DATA!$D$5*DATA!$D$7)/1000000</f>
        <v>1.9202022812743178</v>
      </c>
      <c r="J26" s="263">
        <f t="shared" ca="1" si="1"/>
        <v>91.050954122413117</v>
      </c>
      <c r="K26" s="261"/>
      <c r="L26" s="263">
        <f>((D26*DATA!$D$23)/1000000)+((E26*DATA!$D$24)/1000000)</f>
        <v>113.72678399999999</v>
      </c>
      <c r="M26" s="263">
        <f t="shared" si="2"/>
        <v>113.72678399999999</v>
      </c>
      <c r="N26" s="263">
        <f t="shared" ca="1" si="6"/>
        <v>22.675829877586878</v>
      </c>
      <c r="O26" s="262">
        <f>1/(1+'[93]Asumsi I'!$C$3)^(KKF!A26)</f>
        <v>0.1161067768903709</v>
      </c>
      <c r="P26" s="263">
        <f t="shared" ca="1" si="7"/>
        <v>2.632817520400986</v>
      </c>
      <c r="Q26" s="263">
        <f t="shared" ca="1" si="9"/>
        <v>109.73668266910164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78720</v>
      </c>
      <c r="D27" s="263">
        <f t="shared" si="5"/>
        <v>13120</v>
      </c>
      <c r="E27" s="263">
        <f t="shared" si="0"/>
        <v>65600</v>
      </c>
      <c r="F27" s="261"/>
      <c r="G27" s="265">
        <f ca="1">DATA!$D$11/1000000</f>
        <v>3.7884282289469007</v>
      </c>
      <c r="H27" s="265">
        <f>C27*DATA!$D$5/1000000</f>
        <v>85.342323612191905</v>
      </c>
      <c r="I27" s="265">
        <f>(C27*DATA!$D$5*DATA!$D$7)/1000000</f>
        <v>1.9202022812743178</v>
      </c>
      <c r="J27" s="263">
        <f t="shared" ca="1" si="1"/>
        <v>91.050954122413117</v>
      </c>
      <c r="K27" s="261"/>
      <c r="L27" s="263">
        <f>((D27*DATA!$D$23)/1000000)+((E27*DATA!$D$24)/1000000)</f>
        <v>113.72678399999999</v>
      </c>
      <c r="M27" s="263">
        <f t="shared" si="2"/>
        <v>113.72678399999999</v>
      </c>
      <c r="N27" s="263">
        <f t="shared" ca="1" si="6"/>
        <v>22.675829877586878</v>
      </c>
      <c r="O27" s="262">
        <f>1/(1+'[93]Asumsi I'!$C$3)^(KKF!A27)</f>
        <v>0.1036667650806883</v>
      </c>
      <c r="P27" s="263">
        <f t="shared" ca="1" si="7"/>
        <v>2.3507299289294519</v>
      </c>
      <c r="Q27" s="263">
        <f t="shared" ca="1" si="9"/>
        <v>112.08741259803109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78720</v>
      </c>
      <c r="D28" s="263">
        <f t="shared" si="5"/>
        <v>13120</v>
      </c>
      <c r="E28" s="263">
        <f t="shared" si="0"/>
        <v>65600</v>
      </c>
      <c r="F28" s="261"/>
      <c r="G28" s="265">
        <f ca="1">DATA!$D$11/1000000</f>
        <v>3.7884282289469007</v>
      </c>
      <c r="H28" s="265">
        <f>C28*DATA!$D$5/1000000</f>
        <v>85.342323612191905</v>
      </c>
      <c r="I28" s="265">
        <f>(C28*DATA!$D$5*DATA!$D$7)/1000000</f>
        <v>1.9202022812743178</v>
      </c>
      <c r="J28" s="263">
        <f t="shared" ca="1" si="1"/>
        <v>91.050954122413117</v>
      </c>
      <c r="K28" s="261"/>
      <c r="L28" s="263">
        <f>((D28*DATA!$D$23)/1000000)+((E28*DATA!$D$24)/1000000)</f>
        <v>113.72678399999999</v>
      </c>
      <c r="M28" s="263">
        <f t="shared" si="2"/>
        <v>113.72678399999999</v>
      </c>
      <c r="N28" s="263">
        <f t="shared" ca="1" si="6"/>
        <v>22.675829877586878</v>
      </c>
      <c r="O28" s="262">
        <f>1/(1+'[93]Asumsi I'!$C$3)^(KKF!A28)</f>
        <v>9.2559611679185971E-2</v>
      </c>
      <c r="P28" s="263">
        <f t="shared" ca="1" si="7"/>
        <v>2.0988660079727244</v>
      </c>
      <c r="Q28" s="263">
        <f t="shared" ca="1" si="9"/>
        <v>114.18627860600382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78720</v>
      </c>
      <c r="D29" s="263">
        <f t="shared" si="5"/>
        <v>13120</v>
      </c>
      <c r="E29" s="263">
        <f t="shared" si="0"/>
        <v>65600</v>
      </c>
      <c r="F29" s="261"/>
      <c r="G29" s="265">
        <f ca="1">DATA!$D$11/1000000</f>
        <v>3.7884282289469007</v>
      </c>
      <c r="H29" s="265">
        <f>C29*DATA!$D$5/1000000</f>
        <v>85.342323612191905</v>
      </c>
      <c r="I29" s="265">
        <f>(C29*DATA!$D$5*DATA!$D$7)/1000000</f>
        <v>1.9202022812743178</v>
      </c>
      <c r="J29" s="263">
        <f t="shared" ca="1" si="1"/>
        <v>91.050954122413117</v>
      </c>
      <c r="K29" s="261"/>
      <c r="L29" s="263">
        <f>((D29*DATA!$D$23)/1000000)+((E29*DATA!$D$24)/1000000)</f>
        <v>113.72678399999999</v>
      </c>
      <c r="M29" s="263">
        <f t="shared" si="2"/>
        <v>113.72678399999999</v>
      </c>
      <c r="N29" s="263">
        <f t="shared" ca="1" si="6"/>
        <v>22.675829877586878</v>
      </c>
      <c r="O29" s="262">
        <f>1/(1+'[93]Asumsi I'!$C$3)^(KKF!A29)</f>
        <v>8.2642510427844609E-2</v>
      </c>
      <c r="P29" s="263">
        <f t="shared" ca="1" si="7"/>
        <v>1.8739875071185039</v>
      </c>
      <c r="Q29" s="263">
        <f t="shared" ca="1" si="9"/>
        <v>116.06026611312232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78720</v>
      </c>
      <c r="D30" s="263">
        <f t="shared" si="5"/>
        <v>13120</v>
      </c>
      <c r="E30" s="263">
        <f t="shared" si="0"/>
        <v>65600</v>
      </c>
      <c r="F30" s="261"/>
      <c r="G30" s="265">
        <f ca="1">DATA!$D$11/1000000</f>
        <v>3.7884282289469007</v>
      </c>
      <c r="H30" s="265">
        <f>C30*DATA!$D$5/1000000</f>
        <v>85.342323612191905</v>
      </c>
      <c r="I30" s="265">
        <f>(C30*DATA!$D$5*DATA!$D$7)/1000000</f>
        <v>1.9202022812743178</v>
      </c>
      <c r="J30" s="263">
        <f t="shared" ca="1" si="1"/>
        <v>91.050954122413117</v>
      </c>
      <c r="K30" s="261"/>
      <c r="L30" s="263">
        <f>((D30*DATA!$D$23)/1000000)+((E30*DATA!$D$24)/1000000)</f>
        <v>113.72678399999999</v>
      </c>
      <c r="M30" s="263">
        <f t="shared" si="2"/>
        <v>113.72678399999999</v>
      </c>
      <c r="N30" s="263">
        <f t="shared" ca="1" si="6"/>
        <v>22.675829877586878</v>
      </c>
      <c r="O30" s="262">
        <f>1/(1+'[93]Asumsi I'!$C$3)^(KKF!A30)</f>
        <v>7.3787955739146982E-2</v>
      </c>
      <c r="P30" s="263">
        <f t="shared" ca="1" si="7"/>
        <v>1.6732031313558073</v>
      </c>
      <c r="Q30" s="263">
        <f t="shared" ca="1" si="9"/>
        <v>117.73346924447813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78720</v>
      </c>
      <c r="D31" s="263">
        <f t="shared" si="5"/>
        <v>13120</v>
      </c>
      <c r="E31" s="263">
        <f t="shared" si="0"/>
        <v>65600</v>
      </c>
      <c r="F31" s="261"/>
      <c r="G31" s="265">
        <f ca="1">DATA!$D$11/1000000</f>
        <v>3.7884282289469007</v>
      </c>
      <c r="H31" s="265">
        <f>C31*DATA!$D$5/1000000</f>
        <v>85.342323612191905</v>
      </c>
      <c r="I31" s="265">
        <f>(C31*DATA!$D$5*DATA!$D$7)/1000000</f>
        <v>1.9202022812743178</v>
      </c>
      <c r="J31" s="263">
        <f t="shared" ca="1" si="1"/>
        <v>91.050954122413117</v>
      </c>
      <c r="K31" s="261"/>
      <c r="L31" s="263">
        <f>((D31*DATA!$D$23)/1000000)+((E31*DATA!$D$24)/1000000)</f>
        <v>113.72678399999999</v>
      </c>
      <c r="M31" s="263">
        <f t="shared" si="2"/>
        <v>113.72678399999999</v>
      </c>
      <c r="N31" s="263">
        <f t="shared" ca="1" si="6"/>
        <v>22.675829877586878</v>
      </c>
      <c r="O31" s="262">
        <f>1/(1+'[93]Asumsi I'!$C$3)^(KKF!A31)</f>
        <v>6.5882103338524081E-2</v>
      </c>
      <c r="P31" s="263">
        <f t="shared" ca="1" si="7"/>
        <v>1.4939313672819705</v>
      </c>
      <c r="Q31" s="263">
        <f ca="1">Q30+P31</f>
        <v>119.2274006117601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78720</v>
      </c>
      <c r="D32" s="263">
        <f t="shared" si="5"/>
        <v>13120</v>
      </c>
      <c r="E32" s="263">
        <f t="shared" si="0"/>
        <v>65600</v>
      </c>
      <c r="F32" s="261"/>
      <c r="G32" s="265">
        <f ca="1">DATA!$D$11/1000000</f>
        <v>3.7884282289469007</v>
      </c>
      <c r="H32" s="265">
        <f>C32*DATA!$D$5/1000000</f>
        <v>85.342323612191905</v>
      </c>
      <c r="I32" s="265">
        <f>(C32*DATA!$D$5*DATA!$D$7)/1000000</f>
        <v>1.9202022812743178</v>
      </c>
      <c r="J32" s="263">
        <f t="shared" ca="1" si="1"/>
        <v>91.050954122413117</v>
      </c>
      <c r="K32" s="261"/>
      <c r="L32" s="263">
        <f>((D32*DATA!$D$23)/1000000)+((E32*DATA!$D$24)/1000000)</f>
        <v>113.72678399999999</v>
      </c>
      <c r="M32" s="263">
        <f t="shared" si="2"/>
        <v>113.72678399999999</v>
      </c>
      <c r="N32" s="263">
        <f t="shared" ca="1" si="6"/>
        <v>22.675829877586878</v>
      </c>
      <c r="O32" s="262">
        <f>1/(1+'[93]Asumsi I'!$C$3)^(KKF!A32)</f>
        <v>5.8823306552253637E-2</v>
      </c>
      <c r="P32" s="263">
        <f t="shared" ca="1" si="7"/>
        <v>1.3338672922160451</v>
      </c>
      <c r="Q32" s="263">
        <f ca="1">Q31+P32</f>
        <v>120.56126790397614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9" t="s">
        <v>1373</v>
      </c>
      <c r="G33" s="619"/>
      <c r="H33" s="619"/>
      <c r="I33" s="271"/>
      <c r="J33" s="272">
        <f ca="1">SUM(J7:J32)</f>
        <v>2498.5712013677753</v>
      </c>
      <c r="K33" s="619" t="s">
        <v>1374</v>
      </c>
      <c r="L33" s="619"/>
      <c r="M33" s="272">
        <f>SUM(M7:M32)</f>
        <v>3008.178527999999</v>
      </c>
      <c r="N33" s="270"/>
      <c r="O33" s="270"/>
      <c r="P33" s="273"/>
      <c r="Q33" s="273"/>
      <c r="S33" s="251">
        <f ca="1">COUNTIF(S7:S32,"a")</f>
        <v>4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9.8032728904519306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3.7053462088552784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1.2039594974732972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107.64398919997865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0.39572377872545261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52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H10" sqref="H10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43" t="s">
        <v>1036</v>
      </c>
      <c r="P3" s="643"/>
      <c r="Q3" s="293"/>
      <c r="T3" s="291"/>
      <c r="U3" s="292" t="s">
        <v>1041</v>
      </c>
      <c r="V3" s="291"/>
    </row>
    <row r="4" spans="1:22" ht="15.75" customHeight="1">
      <c r="B4" s="644" t="s">
        <v>1023</v>
      </c>
      <c r="C4" s="644"/>
      <c r="D4" s="644"/>
      <c r="E4" s="644"/>
      <c r="F4" s="644"/>
      <c r="G4" s="644"/>
      <c r="H4" s="644"/>
      <c r="I4" s="644"/>
      <c r="J4" s="644"/>
      <c r="K4" s="644"/>
      <c r="O4" s="643"/>
      <c r="P4" s="643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6" t="s">
        <v>1642</v>
      </c>
      <c r="H6" s="627"/>
      <c r="I6" s="627"/>
      <c r="J6" s="627"/>
      <c r="K6" s="627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1637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6" t="s">
        <v>0</v>
      </c>
      <c r="C11" s="648" t="s">
        <v>1</v>
      </c>
      <c r="D11" s="637" t="s">
        <v>42</v>
      </c>
      <c r="E11" s="637" t="s">
        <v>43</v>
      </c>
      <c r="F11" s="637" t="s">
        <v>2</v>
      </c>
      <c r="G11" s="651" t="s">
        <v>41</v>
      </c>
      <c r="H11" s="637" t="s">
        <v>3</v>
      </c>
      <c r="I11" s="637"/>
      <c r="J11" s="637"/>
      <c r="K11" s="638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7"/>
      <c r="C12" s="649"/>
      <c r="D12" s="641"/>
      <c r="E12" s="641"/>
      <c r="F12" s="641"/>
      <c r="G12" s="652"/>
      <c r="H12" s="639" t="s">
        <v>46</v>
      </c>
      <c r="I12" s="639" t="s">
        <v>5</v>
      </c>
      <c r="J12" s="641" t="s">
        <v>47</v>
      </c>
      <c r="K12" s="642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7"/>
      <c r="C13" s="650"/>
      <c r="D13" s="641"/>
      <c r="E13" s="641"/>
      <c r="F13" s="641"/>
      <c r="G13" s="653"/>
      <c r="H13" s="640"/>
      <c r="I13" s="640"/>
      <c r="J13" s="641"/>
      <c r="K13" s="642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5" ca="1" si="4">IF(OR(D15="MDU",D15="MDU-KD"),(IF($O$3="RAB NON MDU","PLN KD",G15*F15)),0)</f>
        <v>0</v>
      </c>
      <c r="I15" s="308">
        <f t="shared" ref="I15:I25" ca="1" si="5">IF(D15="HDW",G15*F15,0)</f>
        <v>0</v>
      </c>
      <c r="J15" s="308">
        <f t="shared" ref="J15:J25" ca="1" si="6">IF(D15="JASA",G15*F15,0)</f>
        <v>0</v>
      </c>
      <c r="K15" s="309">
        <f t="shared" ref="K15:K25" ca="1" si="7">SUM(H15:J15)</f>
        <v>0</v>
      </c>
      <c r="L15" s="289"/>
      <c r="M15" s="289" t="str">
        <f t="shared" ref="M15:M19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104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1</v>
      </c>
      <c r="G17" s="307">
        <f ca="1">IF(ISERROR(OFFSET('HARGA SATUAN'!$I$6,MATCH(RAB!C17,'HARGA SATUAN'!$C$7:$C$1495,0),0)),0,OFFSET('HARGA SATUAN'!$I$6,MATCH(RAB!C17,'HARGA SATUAN'!$C$7:$C$1495,0),0))</f>
        <v>6074400</v>
      </c>
      <c r="H17" s="308">
        <f t="shared" ref="H17" ca="1" si="9">IF(OR(D17="MDU",D17="MDU-KD"),(IF($O$3="RAB NON MDU","PLN KD",G17*F17)),0)</f>
        <v>0</v>
      </c>
      <c r="I17" s="308">
        <f t="shared" ref="I17" ca="1" si="10">IF(D17="HDW",G17*F17,0)</f>
        <v>6074400</v>
      </c>
      <c r="J17" s="308">
        <f t="shared" ref="J17" ca="1" si="11">IF(D17="JASA",G17*F17,0)</f>
        <v>0</v>
      </c>
      <c r="K17" s="309">
        <f t="shared" ref="K17" ca="1" si="12">SUM(H17:J17)</f>
        <v>6074400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10066.666666666668</v>
      </c>
      <c r="K18" s="309">
        <f t="shared" ca="1" si="7"/>
        <v>10066.666666666668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7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22" t="s">
        <v>1035</v>
      </c>
      <c r="C20" s="525" t="s">
        <v>1644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4"/>
        <v>0</v>
      </c>
      <c r="I20" s="308">
        <f t="shared" ca="1" si="5"/>
        <v>0</v>
      </c>
      <c r="J20" s="308">
        <f t="shared" ca="1" si="6"/>
        <v>0</v>
      </c>
      <c r="K20" s="309">
        <f t="shared" ca="1" si="7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22">
        <v>1</v>
      </c>
      <c r="C21" s="109" t="s">
        <v>1147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1</v>
      </c>
      <c r="G21" s="307">
        <f ca="1">IF(ISERROR(OFFSET('HARGA SATUAN'!$I$6,MATCH(RAB!C21,'HARGA SATUAN'!$C$7:$C$1495,0),0)),0,OFFSET('HARGA SATUAN'!$I$6,MATCH(RAB!C21,'HARGA SATUAN'!$C$7:$C$1495,0),0))</f>
        <v>77674900</v>
      </c>
      <c r="H21" s="308">
        <f t="shared" ca="1" si="4"/>
        <v>77674900</v>
      </c>
      <c r="I21" s="308">
        <f t="shared" ca="1" si="5"/>
        <v>0</v>
      </c>
      <c r="J21" s="308">
        <f t="shared" ca="1" si="6"/>
        <v>0</v>
      </c>
      <c r="K21" s="309">
        <f t="shared" ca="1" si="7"/>
        <v>77674900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7">
        <v>2</v>
      </c>
      <c r="C22" s="518" t="s">
        <v>1632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4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4"/>
        <v>0</v>
      </c>
      <c r="I22" s="308">
        <f t="shared" ca="1" si="5"/>
        <v>0</v>
      </c>
      <c r="J22" s="308">
        <f t="shared" ca="1" si="6"/>
        <v>0</v>
      </c>
      <c r="K22" s="309">
        <f t="shared" ca="1" si="7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22"/>
      <c r="C23" s="5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4"/>
        <v>127800</v>
      </c>
      <c r="I23" s="308">
        <f t="shared" ca="1" si="5"/>
        <v>0</v>
      </c>
      <c r="J23" s="308">
        <f t="shared" ca="1" si="6"/>
        <v>0</v>
      </c>
      <c r="K23" s="309">
        <f t="shared" ca="1" si="7"/>
        <v>127800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22"/>
      <c r="C24" s="518" t="s">
        <v>1633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2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4"/>
        <v>0</v>
      </c>
      <c r="I24" s="308">
        <f t="shared" ca="1" si="5"/>
        <v>0</v>
      </c>
      <c r="J24" s="308">
        <f t="shared" ca="1" si="6"/>
        <v>0</v>
      </c>
      <c r="K24" s="309">
        <f t="shared" ca="1" si="7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22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2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4"/>
        <v>2177700</v>
      </c>
      <c r="I25" s="308">
        <f t="shared" ca="1" si="5"/>
        <v>0</v>
      </c>
      <c r="J25" s="308">
        <f t="shared" ca="1" si="6"/>
        <v>0</v>
      </c>
      <c r="K25" s="309">
        <f t="shared" ca="1" si="7"/>
        <v>2177700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22">
        <v>4</v>
      </c>
      <c r="C26" s="525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2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ref="H26:H91" ca="1" si="13">IF(OR(D26="MDU",D26="MDU-KD"),(IF($O$3="RAB NON MDU","PLN KD",G26*F26)),0)</f>
        <v>2544750</v>
      </c>
      <c r="I26" s="308">
        <f t="shared" ref="I26:I91" ca="1" si="14">IF(D26="HDW",G26*F26,0)</f>
        <v>0</v>
      </c>
      <c r="J26" s="308">
        <f t="shared" ref="J26:J91" ca="1" si="15">IF(D26="JASA",G26*F26,0)</f>
        <v>0</v>
      </c>
      <c r="K26" s="309">
        <f t="shared" ref="K26:K91" ca="1" si="16">SUM(H26:J26)</f>
        <v>2544750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22">
        <v>5</v>
      </c>
      <c r="C27" s="525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>
        <f>F20*3</f>
        <v>3</v>
      </c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13"/>
        <v>0</v>
      </c>
      <c r="I27" s="308">
        <f t="shared" ca="1" si="14"/>
        <v>54000</v>
      </c>
      <c r="J27" s="308">
        <f t="shared" ca="1" si="15"/>
        <v>0</v>
      </c>
      <c r="K27" s="309">
        <f t="shared" ca="1" si="16"/>
        <v>54000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22">
        <v>6</v>
      </c>
      <c r="C28" s="525" t="s">
        <v>1615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13"/>
        <v>0</v>
      </c>
      <c r="I28" s="308">
        <f t="shared" ca="1" si="14"/>
        <v>637000</v>
      </c>
      <c r="J28" s="308">
        <f t="shared" ca="1" si="15"/>
        <v>0</v>
      </c>
      <c r="K28" s="309">
        <f t="shared" ca="1" si="16"/>
        <v>637000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22">
        <v>7</v>
      </c>
      <c r="C29" s="525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>
        <f>F20*28</f>
        <v>28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13"/>
        <v>0</v>
      </c>
      <c r="I29" s="308">
        <f t="shared" ca="1" si="14"/>
        <v>222264</v>
      </c>
      <c r="J29" s="308">
        <f t="shared" ca="1" si="15"/>
        <v>0</v>
      </c>
      <c r="K29" s="309">
        <f t="shared" ca="1" si="16"/>
        <v>222264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22">
        <v>8</v>
      </c>
      <c r="C30" s="525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>
        <f>F20*2</f>
        <v>2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13"/>
        <v>0</v>
      </c>
      <c r="I30" s="308">
        <f t="shared" ca="1" si="14"/>
        <v>809200</v>
      </c>
      <c r="J30" s="308">
        <f t="shared" ca="1" si="15"/>
        <v>0</v>
      </c>
      <c r="K30" s="309">
        <f t="shared" ca="1" si="16"/>
        <v>809200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22">
        <v>9</v>
      </c>
      <c r="C31" s="525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13"/>
        <v>0</v>
      </c>
      <c r="I31" s="308">
        <f t="shared" ca="1" si="14"/>
        <v>47700</v>
      </c>
      <c r="J31" s="308">
        <f t="shared" ca="1" si="15"/>
        <v>0</v>
      </c>
      <c r="K31" s="309">
        <f t="shared" ca="1" si="16"/>
        <v>47700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22">
        <v>10</v>
      </c>
      <c r="C32" s="525" t="s">
        <v>593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>
        <f>F20*5</f>
        <v>5</v>
      </c>
      <c r="G32" s="307">
        <f ca="1">IF(ISERROR(OFFSET('HARGA SATUAN'!$I$6,MATCH(RAB!C32,'HARGA SATUAN'!$C$7:$C$1495,0),0)),0,OFFSET('HARGA SATUAN'!$I$6,MATCH(RAB!C32,'HARGA SATUAN'!$C$7:$C$1495,0),0))</f>
        <v>380500</v>
      </c>
      <c r="H32" s="308">
        <f t="shared" ca="1" si="13"/>
        <v>0</v>
      </c>
      <c r="I32" s="308">
        <f t="shared" ca="1" si="14"/>
        <v>1902500</v>
      </c>
      <c r="J32" s="308">
        <f t="shared" ca="1" si="15"/>
        <v>0</v>
      </c>
      <c r="K32" s="309">
        <f t="shared" ca="1" si="16"/>
        <v>1902500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22">
        <v>11</v>
      </c>
      <c r="C33" s="525" t="s">
        <v>594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>
        <f>F20*4</f>
        <v>4</v>
      </c>
      <c r="G33" s="307">
        <f ca="1">IF(ISERROR(OFFSET('HARGA SATUAN'!$I$6,MATCH(RAB!C33,'HARGA SATUAN'!$C$7:$C$1495,0),0)),0,OFFSET('HARGA SATUAN'!$I$6,MATCH(RAB!C33,'HARGA SATUAN'!$C$7:$C$1495,0),0))</f>
        <v>559200</v>
      </c>
      <c r="H33" s="308">
        <f t="shared" ca="1" si="13"/>
        <v>0</v>
      </c>
      <c r="I33" s="308">
        <f t="shared" ca="1" si="14"/>
        <v>2236800</v>
      </c>
      <c r="J33" s="308">
        <f t="shared" ca="1" si="15"/>
        <v>0</v>
      </c>
      <c r="K33" s="309">
        <f t="shared" ca="1" si="16"/>
        <v>2236800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22">
        <v>12</v>
      </c>
      <c r="C34" s="525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13"/>
        <v>0</v>
      </c>
      <c r="I34" s="308">
        <f t="shared" ca="1" si="14"/>
        <v>520200</v>
      </c>
      <c r="J34" s="308">
        <f t="shared" ca="1" si="15"/>
        <v>0</v>
      </c>
      <c r="K34" s="309">
        <f t="shared" ca="1" si="16"/>
        <v>520200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22">
        <v>13</v>
      </c>
      <c r="C35" s="525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>
        <f>F20*2</f>
        <v>2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13"/>
        <v>0</v>
      </c>
      <c r="I35" s="308">
        <f t="shared" ca="1" si="14"/>
        <v>115380</v>
      </c>
      <c r="J35" s="308">
        <f t="shared" ca="1" si="15"/>
        <v>0</v>
      </c>
      <c r="K35" s="309">
        <f t="shared" ca="1" si="16"/>
        <v>115380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22">
        <v>14</v>
      </c>
      <c r="C36" s="525" t="s">
        <v>248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>
        <f>F20*2</f>
        <v>2</v>
      </c>
      <c r="G36" s="307">
        <f ca="1">IF(ISERROR(OFFSET('HARGA SATUAN'!$I$6,MATCH(RAB!C36,'HARGA SATUAN'!$C$7:$C$1495,0),0)),0,OFFSET('HARGA SATUAN'!$I$6,MATCH(RAB!C36,'HARGA SATUAN'!$C$7:$C$1495,0),0))</f>
        <v>60300</v>
      </c>
      <c r="H36" s="308">
        <f t="shared" ca="1" si="13"/>
        <v>0</v>
      </c>
      <c r="I36" s="308">
        <f t="shared" ca="1" si="14"/>
        <v>120600</v>
      </c>
      <c r="J36" s="308">
        <f t="shared" ca="1" si="15"/>
        <v>0</v>
      </c>
      <c r="K36" s="309">
        <f t="shared" ca="1" si="16"/>
        <v>120600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22">
        <v>15</v>
      </c>
      <c r="C37" s="525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>
        <f>F20*4</f>
        <v>4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13"/>
        <v>0</v>
      </c>
      <c r="I37" s="308">
        <f t="shared" ca="1" si="14"/>
        <v>516000</v>
      </c>
      <c r="J37" s="308">
        <f t="shared" ca="1" si="15"/>
        <v>0</v>
      </c>
      <c r="K37" s="309">
        <f t="shared" ca="1" si="16"/>
        <v>516000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22">
        <v>16</v>
      </c>
      <c r="C38" s="525" t="s">
        <v>787</v>
      </c>
      <c r="D38" s="305" t="str">
        <f ca="1">IF(ISERROR(OFFSET('HARGA SATUAN'!$D$6,MATCH(RAB!C38,'HARGA SATUAN'!$C$7:$C$1495,0),0)),"",OFFSET('HARGA SATUAN'!$D$6,MATCH(RAB!C38,'HARGA SATUAN'!$C$7:$C$1495,0),0))</f>
        <v>JASA</v>
      </c>
      <c r="E38" s="306" t="str">
        <f ca="1">IF(B38="+","Unit",IF(ISERROR(OFFSET('HARGA SATUAN'!$E$6,MATCH(RAB!C38,'HARGA SATUAN'!$C$7:$C$1495,0),0)),"",OFFSET('HARGA SATUAN'!$E$6,MATCH(RAB!C38,'HARGA SATUAN'!$C$7:$C$1495,0),0)))</f>
        <v>Unit</v>
      </c>
      <c r="F38" s="452">
        <f>F20*1</f>
        <v>1</v>
      </c>
      <c r="G38" s="307">
        <f ca="1">IF(ISERROR(OFFSET('HARGA SATUAN'!$I$6,MATCH(RAB!C38,'HARGA SATUAN'!$C$7:$C$1495,0),0)),0,OFFSET('HARGA SATUAN'!$I$6,MATCH(RAB!C38,'HARGA SATUAN'!$C$7:$C$1495,0),0))</f>
        <v>3784400</v>
      </c>
      <c r="H38" s="308">
        <f t="shared" ca="1" si="13"/>
        <v>0</v>
      </c>
      <c r="I38" s="308">
        <f t="shared" ca="1" si="14"/>
        <v>0</v>
      </c>
      <c r="J38" s="308">
        <f t="shared" ca="1" si="15"/>
        <v>3784400</v>
      </c>
      <c r="K38" s="309">
        <f t="shared" ca="1" si="16"/>
        <v>3784400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13"/>
      <c r="C39" s="514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2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13"/>
        <v>0</v>
      </c>
      <c r="I39" s="308">
        <f t="shared" ca="1" si="14"/>
        <v>0</v>
      </c>
      <c r="J39" s="308">
        <f t="shared" ca="1" si="15"/>
        <v>0</v>
      </c>
      <c r="K39" s="309">
        <f t="shared" ca="1" si="16"/>
        <v>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7" t="s">
        <v>1035</v>
      </c>
      <c r="C40" s="519" t="s">
        <v>1630</v>
      </c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2">
        <v>2</v>
      </c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13"/>
        <v>0</v>
      </c>
      <c r="I40" s="308">
        <f t="shared" ca="1" si="14"/>
        <v>0</v>
      </c>
      <c r="J40" s="308">
        <f t="shared" ca="1" si="15"/>
        <v>0</v>
      </c>
      <c r="K40" s="309">
        <f t="shared" ca="1" si="16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7">
        <v>1</v>
      </c>
      <c r="C41" s="520" t="s">
        <v>29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2">
        <f>F40*1</f>
        <v>2</v>
      </c>
      <c r="G41" s="307">
        <f ca="1">IF(ISERROR(OFFSET('HARGA SATUAN'!$I$6,MATCH(RAB!C41,'HARGA SATUAN'!$C$7:$C$1495,0),0)),0,OFFSET('HARGA SATUAN'!$I$6,MATCH(RAB!C41,'HARGA SATUAN'!$C$7:$C$1495,0),0))</f>
        <v>185200</v>
      </c>
      <c r="H41" s="308">
        <f t="shared" ca="1" si="13"/>
        <v>0</v>
      </c>
      <c r="I41" s="308">
        <f t="shared" ca="1" si="14"/>
        <v>370400</v>
      </c>
      <c r="J41" s="308">
        <f t="shared" ca="1" si="15"/>
        <v>0</v>
      </c>
      <c r="K41" s="309">
        <f t="shared" ca="1" si="16"/>
        <v>370400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5">
        <v>2</v>
      </c>
      <c r="C42" s="516" t="s">
        <v>30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2">
        <f>F40*1</f>
        <v>2</v>
      </c>
      <c r="G42" s="307">
        <f ca="1">IF(ISERROR(OFFSET('HARGA SATUAN'!$I$6,MATCH(RAB!C42,'HARGA SATUAN'!$C$7:$C$1495,0),0)),0,OFFSET('HARGA SATUAN'!$I$6,MATCH(RAB!C42,'HARGA SATUAN'!$C$7:$C$1495,0),0))</f>
        <v>47459</v>
      </c>
      <c r="H42" s="308">
        <f t="shared" ca="1" si="13"/>
        <v>0</v>
      </c>
      <c r="I42" s="308">
        <f t="shared" ca="1" si="14"/>
        <v>94918</v>
      </c>
      <c r="J42" s="308">
        <f t="shared" ca="1" si="15"/>
        <v>0</v>
      </c>
      <c r="K42" s="309">
        <f t="shared" ca="1" si="16"/>
        <v>94918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5">
        <v>3</v>
      </c>
      <c r="C43" s="516" t="s">
        <v>31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2">
        <f>F40*1</f>
        <v>2</v>
      </c>
      <c r="G43" s="307">
        <f ca="1">IF(ISERROR(OFFSET('HARGA SATUAN'!$I$6,MATCH(RAB!C43,'HARGA SATUAN'!$C$7:$C$1495,0),0)),0,OFFSET('HARGA SATUAN'!$I$6,MATCH(RAB!C43,'HARGA SATUAN'!$C$7:$C$1495,0),0))</f>
        <v>4880</v>
      </c>
      <c r="H43" s="308">
        <f t="shared" ca="1" si="13"/>
        <v>0</v>
      </c>
      <c r="I43" s="308">
        <f t="shared" ca="1" si="14"/>
        <v>9760</v>
      </c>
      <c r="J43" s="308">
        <f t="shared" ca="1" si="15"/>
        <v>0</v>
      </c>
      <c r="K43" s="309">
        <f t="shared" ca="1" si="16"/>
        <v>9760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5">
        <v>4</v>
      </c>
      <c r="C44" s="516" t="s">
        <v>32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52">
        <f>F40*10</f>
        <v>20</v>
      </c>
      <c r="G44" s="307">
        <f ca="1">IF(ISERROR(OFFSET('HARGA SATUAN'!$I$6,MATCH(RAB!C44,'HARGA SATUAN'!$C$7:$C$1495,0),0)),0,OFFSET('HARGA SATUAN'!$I$6,MATCH(RAB!C44,'HARGA SATUAN'!$C$7:$C$1495,0),0))</f>
        <v>30000</v>
      </c>
      <c r="H44" s="308">
        <f t="shared" ca="1" si="13"/>
        <v>0</v>
      </c>
      <c r="I44" s="308">
        <f t="shared" ca="1" si="14"/>
        <v>600000</v>
      </c>
      <c r="J44" s="308">
        <f t="shared" ca="1" si="15"/>
        <v>0</v>
      </c>
      <c r="K44" s="309">
        <f t="shared" ca="1" si="16"/>
        <v>600000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5">
        <v>5</v>
      </c>
      <c r="C45" s="516" t="s">
        <v>33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2">
        <f>F40*2</f>
        <v>4</v>
      </c>
      <c r="G45" s="307">
        <f ca="1">IF(ISERROR(OFFSET('HARGA SATUAN'!$I$6,MATCH(RAB!C45,'HARGA SATUAN'!$C$7:$C$1495,0),0)),0,OFFSET('HARGA SATUAN'!$I$6,MATCH(RAB!C45,'HARGA SATUAN'!$C$7:$C$1495,0),0))</f>
        <v>9500</v>
      </c>
      <c r="H45" s="308">
        <f t="shared" ca="1" si="13"/>
        <v>0</v>
      </c>
      <c r="I45" s="308">
        <f t="shared" ca="1" si="14"/>
        <v>38000</v>
      </c>
      <c r="J45" s="308">
        <f t="shared" ca="1" si="15"/>
        <v>0</v>
      </c>
      <c r="K45" s="309">
        <f t="shared" ca="1" si="16"/>
        <v>38000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5">
        <v>6</v>
      </c>
      <c r="C46" s="516" t="s">
        <v>34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2">
        <f>F40*5.5</f>
        <v>11</v>
      </c>
      <c r="G46" s="307">
        <f ca="1">IF(ISERROR(OFFSET('HARGA SATUAN'!$I$6,MATCH(RAB!C46,'HARGA SATUAN'!$C$7:$C$1495,0),0)),0,OFFSET('HARGA SATUAN'!$I$6,MATCH(RAB!C46,'HARGA SATUAN'!$C$7:$C$1495,0),0))</f>
        <v>6100</v>
      </c>
      <c r="H46" s="308">
        <f t="shared" ca="1" si="13"/>
        <v>0</v>
      </c>
      <c r="I46" s="308">
        <f t="shared" ca="1" si="14"/>
        <v>67100</v>
      </c>
      <c r="J46" s="308">
        <f t="shared" ca="1" si="15"/>
        <v>0</v>
      </c>
      <c r="K46" s="309">
        <f t="shared" ca="1" si="16"/>
        <v>67100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15">
        <v>7</v>
      </c>
      <c r="C47" s="516" t="s">
        <v>35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52">
        <f>F40*6</f>
        <v>12</v>
      </c>
      <c r="G47" s="307">
        <f ca="1">IF(ISERROR(OFFSET('HARGA SATUAN'!$I$6,MATCH(RAB!C47,'HARGA SATUAN'!$C$7:$C$1495,0),0)),0,OFFSET('HARGA SATUAN'!$I$6,MATCH(RAB!C47,'HARGA SATUAN'!$C$7:$C$1495,0),0))</f>
        <v>2300</v>
      </c>
      <c r="H47" s="308">
        <f t="shared" ca="1" si="13"/>
        <v>0</v>
      </c>
      <c r="I47" s="308">
        <f t="shared" ca="1" si="14"/>
        <v>27600</v>
      </c>
      <c r="J47" s="308">
        <f t="shared" ca="1" si="15"/>
        <v>0</v>
      </c>
      <c r="K47" s="309">
        <f t="shared" ca="1" si="16"/>
        <v>27600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15">
        <v>8</v>
      </c>
      <c r="C48" s="516" t="s">
        <v>1634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Mtr</v>
      </c>
      <c r="F48" s="452">
        <f>F40*4.8</f>
        <v>9.6</v>
      </c>
      <c r="G48" s="307">
        <f ca="1">IF(ISERROR(OFFSET('HARGA SATUAN'!$I$6,MATCH(RAB!C48,'HARGA SATUAN'!$C$7:$C$1495,0),0)),0,OFFSET('HARGA SATUAN'!$I$6,MATCH(RAB!C48,'HARGA SATUAN'!$C$7:$C$1495,0),0))</f>
        <v>23310</v>
      </c>
      <c r="H48" s="308">
        <f t="shared" ca="1" si="13"/>
        <v>0</v>
      </c>
      <c r="I48" s="308">
        <f t="shared" ca="1" si="14"/>
        <v>223776</v>
      </c>
      <c r="J48" s="308">
        <f t="shared" ca="1" si="15"/>
        <v>0</v>
      </c>
      <c r="K48" s="309">
        <f t="shared" ca="1" si="16"/>
        <v>223776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15">
        <v>9</v>
      </c>
      <c r="C49" s="516" t="s">
        <v>736</v>
      </c>
      <c r="D49" s="305" t="str">
        <f ca="1">IF(ISERROR(OFFSET('HARGA SATUAN'!$D$6,MATCH(RAB!C49,'HARGA SATUAN'!$C$7:$C$1495,0),0)),"",OFFSET('HARGA SATUAN'!$D$6,MATCH(RAB!C49,'HARGA SATUAN'!$C$7:$C$1495,0),0))</f>
        <v>JASA</v>
      </c>
      <c r="E49" s="306" t="str">
        <f ca="1">IF(B49="+","Unit",IF(ISERROR(OFFSET('HARGA SATUAN'!$E$6,MATCH(RAB!C49,'HARGA SATUAN'!$C$7:$C$1495,0),0)),"",OFFSET('HARGA SATUAN'!$E$6,MATCH(RAB!C49,'HARGA SATUAN'!$C$7:$C$1495,0),0)))</f>
        <v>Unit</v>
      </c>
      <c r="F49" s="452">
        <f>F40*1</f>
        <v>2</v>
      </c>
      <c r="G49" s="307">
        <f ca="1">IF(ISERROR(OFFSET('HARGA SATUAN'!$I$6,MATCH(RAB!C49,'HARGA SATUAN'!$C$7:$C$1495,0),0)),0,OFFSET('HARGA SATUAN'!$I$6,MATCH(RAB!C49,'HARGA SATUAN'!$C$7:$C$1495,0),0))</f>
        <v>65400</v>
      </c>
      <c r="H49" s="308">
        <f t="shared" ca="1" si="13"/>
        <v>0</v>
      </c>
      <c r="I49" s="308">
        <f t="shared" ca="1" si="14"/>
        <v>0</v>
      </c>
      <c r="J49" s="308">
        <f t="shared" ca="1" si="15"/>
        <v>130800</v>
      </c>
      <c r="K49" s="309">
        <f t="shared" ca="1" si="16"/>
        <v>130800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15"/>
      <c r="C50" s="516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2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3"/>
        <v>0</v>
      </c>
      <c r="I50" s="308">
        <f t="shared" ca="1" si="14"/>
        <v>0</v>
      </c>
      <c r="J50" s="308">
        <f t="shared" ca="1" si="15"/>
        <v>0</v>
      </c>
      <c r="K50" s="309">
        <f t="shared" ca="1" si="16"/>
        <v>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15" t="s">
        <v>1035</v>
      </c>
      <c r="C51" s="516" t="s">
        <v>1629</v>
      </c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>Unit</v>
      </c>
      <c r="F51" s="452">
        <v>1</v>
      </c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3"/>
        <v>0</v>
      </c>
      <c r="I51" s="308">
        <f t="shared" ca="1" si="14"/>
        <v>0</v>
      </c>
      <c r="J51" s="308">
        <f t="shared" ca="1" si="15"/>
        <v>0</v>
      </c>
      <c r="K51" s="309">
        <f t="shared" ca="1" si="16"/>
        <v>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15">
        <v>1</v>
      </c>
      <c r="C52" s="516" t="s">
        <v>1608</v>
      </c>
      <c r="D52" s="305" t="str">
        <f ca="1">IF(ISERROR(OFFSET('HARGA SATUAN'!$D$6,MATCH(RAB!C52,'HARGA SATUAN'!$C$7:$C$1495,0),0)),"",OFFSET('HARGA SATUAN'!$D$6,MATCH(RAB!C52,'HARGA SATUAN'!$C$7:$C$1495,0),0))</f>
        <v>MDU-KD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2">
        <f>F51*1</f>
        <v>1</v>
      </c>
      <c r="G52" s="307">
        <f ca="1">IF(ISERROR(OFFSET('HARGA SATUAN'!$I$6,MATCH(RAB!C52,'HARGA SATUAN'!$C$7:$C$1495,0),0)),0,OFFSET('HARGA SATUAN'!$I$6,MATCH(RAB!C52,'HARGA SATUAN'!$C$7:$C$1495,0),0))</f>
        <v>176900</v>
      </c>
      <c r="H52" s="308">
        <f t="shared" ca="1" si="13"/>
        <v>176900</v>
      </c>
      <c r="I52" s="308">
        <f t="shared" ca="1" si="14"/>
        <v>0</v>
      </c>
      <c r="J52" s="308">
        <f t="shared" ca="1" si="15"/>
        <v>0</v>
      </c>
      <c r="K52" s="309">
        <f t="shared" ca="1" si="16"/>
        <v>176900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15">
        <v>2</v>
      </c>
      <c r="C53" s="516" t="s">
        <v>1609</v>
      </c>
      <c r="D53" s="305" t="str">
        <f ca="1">IF(ISERROR(OFFSET('HARGA SATUAN'!$D$6,MATCH(RAB!C53,'HARGA SATUAN'!$C$7:$C$1495,0),0)),"",OFFSET('HARGA SATUAN'!$D$6,MATCH(RAB!C53,'HARGA SATUAN'!$C$7:$C$1495,0),0))</f>
        <v>MDU-KD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452">
        <f>F51*2</f>
        <v>2</v>
      </c>
      <c r="G53" s="307">
        <f ca="1">IF(ISERROR(OFFSET('HARGA SATUAN'!$I$6,MATCH(RAB!C53,'HARGA SATUAN'!$C$7:$C$1495,0),0)),0,OFFSET('HARGA SATUAN'!$I$6,MATCH(RAB!C53,'HARGA SATUAN'!$C$7:$C$1495,0),0))</f>
        <v>235900</v>
      </c>
      <c r="H53" s="308">
        <f t="shared" ca="1" si="13"/>
        <v>471800</v>
      </c>
      <c r="I53" s="308">
        <f t="shared" ca="1" si="14"/>
        <v>0</v>
      </c>
      <c r="J53" s="308">
        <f t="shared" ca="1" si="15"/>
        <v>0</v>
      </c>
      <c r="K53" s="309">
        <f t="shared" ca="1" si="16"/>
        <v>471800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515">
        <v>3</v>
      </c>
      <c r="C54" s="516" t="s">
        <v>28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52">
        <f>F51*3</f>
        <v>3</v>
      </c>
      <c r="G54" s="307">
        <f ca="1">IF(ISERROR(OFFSET('HARGA SATUAN'!$I$6,MATCH(RAB!C54,'HARGA SATUAN'!$C$7:$C$1495,0),0)),0,OFFSET('HARGA SATUAN'!$I$6,MATCH(RAB!C54,'HARGA SATUAN'!$C$7:$C$1495,0),0))</f>
        <v>26500</v>
      </c>
      <c r="H54" s="308">
        <f t="shared" ca="1" si="13"/>
        <v>0</v>
      </c>
      <c r="I54" s="308">
        <f t="shared" ca="1" si="14"/>
        <v>79500</v>
      </c>
      <c r="J54" s="308">
        <f t="shared" ca="1" si="15"/>
        <v>0</v>
      </c>
      <c r="K54" s="309">
        <f t="shared" ca="1" si="16"/>
        <v>79500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515">
        <v>4</v>
      </c>
      <c r="C55" s="516" t="s">
        <v>163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52">
        <f>F51*2</f>
        <v>2</v>
      </c>
      <c r="G55" s="307">
        <f ca="1">IF(ISERROR(OFFSET('HARGA SATUAN'!$I$6,MATCH(RAB!C55,'HARGA SATUAN'!$C$7:$C$1495,0),0)),0,OFFSET('HARGA SATUAN'!$I$6,MATCH(RAB!C55,'HARGA SATUAN'!$C$7:$C$1495,0),0))</f>
        <v>7938</v>
      </c>
      <c r="H55" s="308">
        <f t="shared" ca="1" si="13"/>
        <v>0</v>
      </c>
      <c r="I55" s="308">
        <f t="shared" ca="1" si="14"/>
        <v>15876</v>
      </c>
      <c r="J55" s="308">
        <f t="shared" ca="1" si="15"/>
        <v>0</v>
      </c>
      <c r="K55" s="309">
        <f t="shared" ca="1" si="16"/>
        <v>15876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515">
        <v>5</v>
      </c>
      <c r="C56" s="516" t="s">
        <v>168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2">
        <f>F51*1</f>
        <v>1</v>
      </c>
      <c r="G56" s="307">
        <f ca="1">IF(ISERROR(OFFSET('HARGA SATUAN'!$I$6,MATCH(RAB!C56,'HARGA SATUAN'!$C$7:$C$1495,0),0)),0,OFFSET('HARGA SATUAN'!$I$6,MATCH(RAB!C56,'HARGA SATUAN'!$C$7:$C$1495,0),0))</f>
        <v>33600</v>
      </c>
      <c r="H56" s="308">
        <f t="shared" ca="1" si="13"/>
        <v>0</v>
      </c>
      <c r="I56" s="308">
        <f t="shared" ca="1" si="14"/>
        <v>33600</v>
      </c>
      <c r="J56" s="308">
        <f t="shared" ca="1" si="15"/>
        <v>0</v>
      </c>
      <c r="K56" s="309">
        <f t="shared" ca="1" si="16"/>
        <v>33600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515">
        <v>6</v>
      </c>
      <c r="C57" s="516" t="s">
        <v>173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2">
        <f>F51*2</f>
        <v>2</v>
      </c>
      <c r="G57" s="307">
        <f ca="1">IF(ISERROR(OFFSET('HARGA SATUAN'!$I$6,MATCH(RAB!C57,'HARGA SATUAN'!$C$7:$C$1495,0),0)),0,OFFSET('HARGA SATUAN'!$I$6,MATCH(RAB!C57,'HARGA SATUAN'!$C$7:$C$1495,0),0))</f>
        <v>45000</v>
      </c>
      <c r="H57" s="308">
        <f t="shared" ca="1" si="13"/>
        <v>0</v>
      </c>
      <c r="I57" s="308">
        <f t="shared" ca="1" si="14"/>
        <v>90000</v>
      </c>
      <c r="J57" s="308">
        <f t="shared" ca="1" si="15"/>
        <v>0</v>
      </c>
      <c r="K57" s="309">
        <f t="shared" ca="1" si="16"/>
        <v>90000</v>
      </c>
      <c r="L57" s="289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515">
        <v>7</v>
      </c>
      <c r="C58" s="516" t="s">
        <v>178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2">
        <f>F51*1</f>
        <v>1</v>
      </c>
      <c r="G58" s="307">
        <f ca="1">IF(ISERROR(OFFSET('HARGA SATUAN'!$I$6,MATCH(RAB!C58,'HARGA SATUAN'!$C$7:$C$1495,0),0)),0,OFFSET('HARGA SATUAN'!$I$6,MATCH(RAB!C58,'HARGA SATUAN'!$C$7:$C$1495,0),0))</f>
        <v>95000</v>
      </c>
      <c r="H58" s="308">
        <f t="shared" ca="1" si="13"/>
        <v>0</v>
      </c>
      <c r="I58" s="308">
        <f t="shared" ca="1" si="14"/>
        <v>95000</v>
      </c>
      <c r="J58" s="308">
        <f t="shared" ca="1" si="15"/>
        <v>0</v>
      </c>
      <c r="K58" s="309">
        <f t="shared" ca="1" si="16"/>
        <v>95000</v>
      </c>
      <c r="L58" s="289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515">
        <v>8</v>
      </c>
      <c r="C59" s="516" t="s">
        <v>593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52">
        <f>F51*1</f>
        <v>1</v>
      </c>
      <c r="G59" s="307">
        <f ca="1">IF(ISERROR(OFFSET('HARGA SATUAN'!$I$6,MATCH(RAB!C59,'HARGA SATUAN'!$C$7:$C$1495,0),0)),0,OFFSET('HARGA SATUAN'!$I$6,MATCH(RAB!C59,'HARGA SATUAN'!$C$7:$C$1495,0),0))</f>
        <v>380500</v>
      </c>
      <c r="H59" s="308">
        <f t="shared" ca="1" si="13"/>
        <v>0</v>
      </c>
      <c r="I59" s="308">
        <f t="shared" ca="1" si="14"/>
        <v>380500</v>
      </c>
      <c r="J59" s="308">
        <f t="shared" ca="1" si="15"/>
        <v>0</v>
      </c>
      <c r="K59" s="309">
        <f t="shared" ca="1" si="16"/>
        <v>380500</v>
      </c>
      <c r="L59" s="289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515">
        <v>9</v>
      </c>
      <c r="C60" s="516" t="s">
        <v>217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52">
        <f>F51*4</f>
        <v>4</v>
      </c>
      <c r="G60" s="307">
        <f ca="1">IF(ISERROR(OFFSET('HARGA SATUAN'!$I$6,MATCH(RAB!C60,'HARGA SATUAN'!$C$7:$C$1495,0),0)),0,OFFSET('HARGA SATUAN'!$I$6,MATCH(RAB!C60,'HARGA SATUAN'!$C$7:$C$1495,0),0))</f>
        <v>11400</v>
      </c>
      <c r="H60" s="308">
        <f t="shared" ca="1" si="13"/>
        <v>0</v>
      </c>
      <c r="I60" s="308">
        <f t="shared" ca="1" si="14"/>
        <v>45600</v>
      </c>
      <c r="J60" s="308">
        <f t="shared" ca="1" si="15"/>
        <v>0</v>
      </c>
      <c r="K60" s="309">
        <f t="shared" ca="1" si="16"/>
        <v>45600</v>
      </c>
      <c r="L60" s="289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515">
        <v>10</v>
      </c>
      <c r="C61" s="516" t="s">
        <v>247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52">
        <f>F51*1</f>
        <v>1</v>
      </c>
      <c r="G61" s="307">
        <f ca="1">IF(ISERROR(OFFSET('HARGA SATUAN'!$I$6,MATCH(RAB!C61,'HARGA SATUAN'!$C$7:$C$1495,0),0)),0,OFFSET('HARGA SATUAN'!$I$6,MATCH(RAB!C61,'HARGA SATUAN'!$C$7:$C$1495,0),0))</f>
        <v>57690</v>
      </c>
      <c r="H61" s="308">
        <f t="shared" ca="1" si="13"/>
        <v>0</v>
      </c>
      <c r="I61" s="308">
        <f t="shared" ca="1" si="14"/>
        <v>57690</v>
      </c>
      <c r="J61" s="308">
        <f t="shared" ca="1" si="15"/>
        <v>0</v>
      </c>
      <c r="K61" s="309">
        <f t="shared" ca="1" si="16"/>
        <v>57690</v>
      </c>
      <c r="L61" s="289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515">
        <v>11</v>
      </c>
      <c r="C62" s="516" t="s">
        <v>264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52">
        <f>F51*1</f>
        <v>1</v>
      </c>
      <c r="G62" s="307">
        <f ca="1">IF(ISERROR(OFFSET('HARGA SATUAN'!$I$6,MATCH(RAB!C62,'HARGA SATUAN'!$C$7:$C$1495,0),0)),0,OFFSET('HARGA SATUAN'!$I$6,MATCH(RAB!C62,'HARGA SATUAN'!$C$7:$C$1495,0),0))</f>
        <v>28000</v>
      </c>
      <c r="H62" s="308">
        <f t="shared" ca="1" si="13"/>
        <v>0</v>
      </c>
      <c r="I62" s="308">
        <f t="shared" ca="1" si="14"/>
        <v>28000</v>
      </c>
      <c r="J62" s="308">
        <f t="shared" ca="1" si="15"/>
        <v>0</v>
      </c>
      <c r="K62" s="309">
        <f t="shared" ca="1" si="16"/>
        <v>28000</v>
      </c>
      <c r="L62" s="289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515">
        <v>12</v>
      </c>
      <c r="C63" s="516" t="s">
        <v>38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Mtr</v>
      </c>
      <c r="F63" s="452">
        <f>6.2*F51</f>
        <v>6.2</v>
      </c>
      <c r="G63" s="307">
        <f ca="1">IF(ISERROR(OFFSET('HARGA SATUAN'!$I$6,MATCH(RAB!C63,'HARGA SATUAN'!$C$7:$C$1495,0),0)),0,OFFSET('HARGA SATUAN'!$I$6,MATCH(RAB!C63,'HARGA SATUAN'!$C$7:$C$1495,0),0))</f>
        <v>8550</v>
      </c>
      <c r="H63" s="308">
        <f t="shared" ca="1" si="13"/>
        <v>0</v>
      </c>
      <c r="I63" s="308">
        <f t="shared" ca="1" si="14"/>
        <v>53010</v>
      </c>
      <c r="J63" s="308">
        <f t="shared" ca="1" si="15"/>
        <v>0</v>
      </c>
      <c r="K63" s="309">
        <f t="shared" ca="1" si="16"/>
        <v>53010</v>
      </c>
      <c r="L63" s="289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515">
        <v>13</v>
      </c>
      <c r="C64" s="516" t="s">
        <v>26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52">
        <f>F51*5</f>
        <v>5</v>
      </c>
      <c r="G64" s="307">
        <f ca="1">IF(ISERROR(OFFSET('HARGA SATUAN'!$I$6,MATCH(RAB!C64,'HARGA SATUAN'!$C$7:$C$1495,0),0)),0,OFFSET('HARGA SATUAN'!$I$6,MATCH(RAB!C64,'HARGA SATUAN'!$C$7:$C$1495,0),0))</f>
        <v>2500</v>
      </c>
      <c r="H64" s="308">
        <f t="shared" ca="1" si="13"/>
        <v>0</v>
      </c>
      <c r="I64" s="308">
        <f t="shared" ca="1" si="14"/>
        <v>12500</v>
      </c>
      <c r="J64" s="308">
        <f t="shared" ca="1" si="15"/>
        <v>0</v>
      </c>
      <c r="K64" s="309">
        <f t="shared" ca="1" si="16"/>
        <v>12500</v>
      </c>
      <c r="L64" s="289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515">
        <v>14</v>
      </c>
      <c r="C65" s="516" t="s">
        <v>687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Unit</v>
      </c>
      <c r="F65" s="452">
        <f>F51*1</f>
        <v>1</v>
      </c>
      <c r="G65" s="307">
        <f ca="1">IF(ISERROR(OFFSET('HARGA SATUAN'!$I$6,MATCH(RAB!C65,'HARGA SATUAN'!$C$7:$C$1495,0),0)),0,OFFSET('HARGA SATUAN'!$I$6,MATCH(RAB!C65,'HARGA SATUAN'!$C$7:$C$1495,0),0))</f>
        <v>111000</v>
      </c>
      <c r="H65" s="308">
        <f t="shared" ca="1" si="13"/>
        <v>0</v>
      </c>
      <c r="I65" s="308">
        <f t="shared" ca="1" si="14"/>
        <v>0</v>
      </c>
      <c r="J65" s="308">
        <f t="shared" ca="1" si="15"/>
        <v>111000</v>
      </c>
      <c r="K65" s="309">
        <f t="shared" ca="1" si="16"/>
        <v>111000</v>
      </c>
      <c r="L65" s="289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515"/>
      <c r="C66" s="516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2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3"/>
        <v>0</v>
      </c>
      <c r="I66" s="308">
        <f t="shared" ca="1" si="14"/>
        <v>0</v>
      </c>
      <c r="J66" s="308">
        <f t="shared" ca="1" si="15"/>
        <v>0</v>
      </c>
      <c r="K66" s="309">
        <f t="shared" ca="1" si="16"/>
        <v>0</v>
      </c>
      <c r="L66" s="289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515" t="s">
        <v>1035</v>
      </c>
      <c r="C67" s="516" t="s">
        <v>1635</v>
      </c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452">
        <v>1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3"/>
        <v>0</v>
      </c>
      <c r="I67" s="308">
        <f t="shared" ca="1" si="14"/>
        <v>0</v>
      </c>
      <c r="J67" s="308">
        <f t="shared" ca="1" si="15"/>
        <v>0</v>
      </c>
      <c r="K67" s="309">
        <f t="shared" ca="1" si="16"/>
        <v>0</v>
      </c>
      <c r="L67" s="289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515">
        <v>1</v>
      </c>
      <c r="C68" s="521" t="s">
        <v>1045</v>
      </c>
      <c r="D68" s="305" t="str">
        <f ca="1">IF(ISERROR(OFFSET('HARGA SATUAN'!$D$6,MATCH(RAB!C68,'HARGA SATUAN'!$C$7:$C$1495,0),0)),"",OFFSET('HARGA SATUAN'!$D$6,MATCH(RAB!C68,'HARGA SATUAN'!$C$7:$C$1495,0),0))</f>
        <v>MDU-KD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452">
        <f>F67*1</f>
        <v>1</v>
      </c>
      <c r="G68" s="307">
        <f ca="1">IF(ISERROR(OFFSET('HARGA SATUAN'!$I$6,MATCH(RAB!C68,'HARGA SATUAN'!$C$7:$C$1495,0),0)),0,OFFSET('HARGA SATUAN'!$I$6,MATCH(RAB!C68,'HARGA SATUAN'!$C$7:$C$1495,0),0))</f>
        <v>12223800</v>
      </c>
      <c r="H68" s="308">
        <f t="shared" ca="1" si="13"/>
        <v>12223800</v>
      </c>
      <c r="I68" s="308">
        <f t="shared" ca="1" si="14"/>
        <v>0</v>
      </c>
      <c r="J68" s="308">
        <f t="shared" ca="1" si="15"/>
        <v>0</v>
      </c>
      <c r="K68" s="309">
        <f t="shared" ca="1" si="16"/>
        <v>12223800</v>
      </c>
      <c r="L68" s="289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515">
        <v>2</v>
      </c>
      <c r="C69" s="521" t="s">
        <v>82</v>
      </c>
      <c r="D69" s="305" t="str">
        <f ca="1">IF(ISERROR(OFFSET('HARGA SATUAN'!$D$6,MATCH(RAB!C69,'HARGA SATUAN'!$C$7:$C$1495,0),0)),"",OFFSET('HARGA SATUAN'!$D$6,MATCH(RAB!C69,'HARGA SATUAN'!$C$7:$C$1495,0),0))</f>
        <v>MDU-KD</v>
      </c>
      <c r="E69" s="306" t="str">
        <f ca="1">IF(B69="+","Unit",IF(ISERROR(OFFSET('HARGA SATUAN'!$E$6,MATCH(RAB!C69,'HARGA SATUAN'!$C$7:$C$1495,0),0)),"",OFFSET('HARGA SATUAN'!$E$6,MATCH(RAB!C69,'HARGA SATUAN'!$C$7:$C$1495,0),0)))</f>
        <v>Mtr</v>
      </c>
      <c r="F69" s="452">
        <f>F67*17*4</f>
        <v>68</v>
      </c>
      <c r="G69" s="307">
        <f ca="1">IF(ISERROR(OFFSET('HARGA SATUAN'!$I$6,MATCH(RAB!C69,'HARGA SATUAN'!$C$7:$C$1495,0),0)),0,OFFSET('HARGA SATUAN'!$I$6,MATCH(RAB!C69,'HARGA SATUAN'!$C$7:$C$1495,0),0))</f>
        <v>218600</v>
      </c>
      <c r="H69" s="308">
        <f t="shared" ca="1" si="13"/>
        <v>14864800</v>
      </c>
      <c r="I69" s="308">
        <f t="shared" ca="1" si="14"/>
        <v>0</v>
      </c>
      <c r="J69" s="308">
        <f t="shared" ca="1" si="15"/>
        <v>0</v>
      </c>
      <c r="K69" s="309">
        <f t="shared" ca="1" si="16"/>
        <v>14864800</v>
      </c>
      <c r="L69" s="289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515">
        <v>3</v>
      </c>
      <c r="C70" s="521" t="s">
        <v>163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52">
        <f>F67*(4)</f>
        <v>4</v>
      </c>
      <c r="G70" s="307">
        <f ca="1">IF(ISERROR(OFFSET('HARGA SATUAN'!$I$6,MATCH(RAB!C70,'HARGA SATUAN'!$C$7:$C$1495,0),0)),0,OFFSET('HARGA SATUAN'!$I$6,MATCH(RAB!C70,'HARGA SATUAN'!$C$7:$C$1495,0),0))</f>
        <v>7938</v>
      </c>
      <c r="H70" s="308">
        <f t="shared" ca="1" si="13"/>
        <v>0</v>
      </c>
      <c r="I70" s="308">
        <f t="shared" ca="1" si="14"/>
        <v>31752</v>
      </c>
      <c r="J70" s="308">
        <f t="shared" ca="1" si="15"/>
        <v>0</v>
      </c>
      <c r="K70" s="309">
        <f t="shared" ca="1" si="16"/>
        <v>31752</v>
      </c>
      <c r="L70" s="289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5">
        <v>4</v>
      </c>
      <c r="C71" s="516" t="s">
        <v>166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452">
        <f>F67*(14)</f>
        <v>14</v>
      </c>
      <c r="G71" s="307">
        <f ca="1">IF(ISERROR(OFFSET('HARGA SATUAN'!$I$6,MATCH(RAB!C71,'HARGA SATUAN'!$C$7:$C$1495,0),0)),0,OFFSET('HARGA SATUAN'!$I$6,MATCH(RAB!C71,'HARGA SATUAN'!$C$7:$C$1495,0),0))</f>
        <v>26500</v>
      </c>
      <c r="H71" s="308">
        <f t="shared" ca="1" si="13"/>
        <v>0</v>
      </c>
      <c r="I71" s="308">
        <f t="shared" ca="1" si="14"/>
        <v>371000</v>
      </c>
      <c r="J71" s="308">
        <f t="shared" ca="1" si="15"/>
        <v>0</v>
      </c>
      <c r="K71" s="309">
        <f t="shared" ca="1" si="16"/>
        <v>371000</v>
      </c>
      <c r="L71" s="289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515">
        <v>5</v>
      </c>
      <c r="C72" s="521" t="s">
        <v>592</v>
      </c>
      <c r="D72" s="305" t="str">
        <f ca="1">IF(ISERROR(OFFSET('HARGA SATUAN'!$D$6,MATCH(RAB!C72,'HARGA SATUAN'!$C$7:$C$1495,0),0)),"",OFFSET('HARGA SATUAN'!$D$6,MATCH(RAB!C72,'HARGA SATUAN'!$C$7:$C$1495,0),0))</f>
        <v>HDW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452">
        <f>F67*1</f>
        <v>1</v>
      </c>
      <c r="G72" s="307">
        <f ca="1">IF(ISERROR(OFFSET('HARGA SATUAN'!$I$6,MATCH(RAB!C72,'HARGA SATUAN'!$C$7:$C$1495,0),0)),0,OFFSET('HARGA SATUAN'!$I$6,MATCH(RAB!C72,'HARGA SATUAN'!$C$7:$C$1495,0),0))</f>
        <v>283100</v>
      </c>
      <c r="H72" s="308">
        <f t="shared" ca="1" si="13"/>
        <v>0</v>
      </c>
      <c r="I72" s="308">
        <f t="shared" ca="1" si="14"/>
        <v>283100</v>
      </c>
      <c r="J72" s="308">
        <f t="shared" ca="1" si="15"/>
        <v>0</v>
      </c>
      <c r="K72" s="309">
        <f t="shared" ca="1" si="16"/>
        <v>283100</v>
      </c>
      <c r="L72" s="289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15">
        <v>6</v>
      </c>
      <c r="C73" s="521" t="s">
        <v>594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452">
        <f>F67*2</f>
        <v>2</v>
      </c>
      <c r="G73" s="307">
        <f ca="1">IF(ISERROR(OFFSET('HARGA SATUAN'!$I$6,MATCH(RAB!C73,'HARGA SATUAN'!$C$7:$C$1495,0),0)),0,OFFSET('HARGA SATUAN'!$I$6,MATCH(RAB!C73,'HARGA SATUAN'!$C$7:$C$1495,0),0))</f>
        <v>559200</v>
      </c>
      <c r="H73" s="308">
        <f t="shared" ca="1" si="13"/>
        <v>0</v>
      </c>
      <c r="I73" s="308">
        <f t="shared" ca="1" si="14"/>
        <v>1118400</v>
      </c>
      <c r="J73" s="308">
        <f t="shared" ca="1" si="15"/>
        <v>0</v>
      </c>
      <c r="K73" s="309">
        <f t="shared" ca="1" si="16"/>
        <v>1118400</v>
      </c>
      <c r="L73" s="289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15">
        <v>7</v>
      </c>
      <c r="C74" s="521" t="s">
        <v>230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452">
        <f>F67*(3*2)</f>
        <v>6</v>
      </c>
      <c r="G74" s="307">
        <f ca="1">IF(ISERROR(OFFSET('HARGA SATUAN'!$I$6,MATCH(RAB!C74,'HARGA SATUAN'!$C$7:$C$1495,0),0)),0,OFFSET('HARGA SATUAN'!$I$6,MATCH(RAB!C74,'HARGA SATUAN'!$C$7:$C$1495,0),0))</f>
        <v>32500</v>
      </c>
      <c r="H74" s="308">
        <f t="shared" ca="1" si="13"/>
        <v>0</v>
      </c>
      <c r="I74" s="308">
        <f t="shared" ca="1" si="14"/>
        <v>195000</v>
      </c>
      <c r="J74" s="308">
        <f t="shared" ca="1" si="15"/>
        <v>0</v>
      </c>
      <c r="K74" s="309">
        <f t="shared" ca="1" si="16"/>
        <v>195000</v>
      </c>
      <c r="L74" s="289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15">
        <v>8</v>
      </c>
      <c r="C75" s="521" t="s">
        <v>37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52">
        <f>F67*3</f>
        <v>3</v>
      </c>
      <c r="G75" s="307">
        <f ca="1">IF(ISERROR(OFFSET('HARGA SATUAN'!$I$6,MATCH(RAB!C75,'HARGA SATUAN'!$C$7:$C$1495,0),0)),0,OFFSET('HARGA SATUAN'!$I$6,MATCH(RAB!C75,'HARGA SATUAN'!$C$7:$C$1495,0),0))</f>
        <v>63500</v>
      </c>
      <c r="H75" s="308">
        <f t="shared" ca="1" si="13"/>
        <v>0</v>
      </c>
      <c r="I75" s="308">
        <f t="shared" ca="1" si="14"/>
        <v>190500</v>
      </c>
      <c r="J75" s="308">
        <f t="shared" ca="1" si="15"/>
        <v>0</v>
      </c>
      <c r="K75" s="309">
        <f t="shared" ca="1" si="16"/>
        <v>190500</v>
      </c>
      <c r="L75" s="289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5">
        <v>9</v>
      </c>
      <c r="C76" s="521" t="s">
        <v>234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452">
        <f>F67*4</f>
        <v>4</v>
      </c>
      <c r="G76" s="307">
        <f ca="1">IF(ISERROR(OFFSET('HARGA SATUAN'!$I$6,MATCH(RAB!C76,'HARGA SATUAN'!$C$7:$C$1495,0),0)),0,OFFSET('HARGA SATUAN'!$I$6,MATCH(RAB!C76,'HARGA SATUAN'!$C$7:$C$1495,0),0))</f>
        <v>67500</v>
      </c>
      <c r="H76" s="308">
        <f t="shared" ca="1" si="13"/>
        <v>0</v>
      </c>
      <c r="I76" s="308">
        <f t="shared" ca="1" si="14"/>
        <v>270000</v>
      </c>
      <c r="J76" s="308">
        <f t="shared" ca="1" si="15"/>
        <v>0</v>
      </c>
      <c r="K76" s="309">
        <f t="shared" ca="1" si="16"/>
        <v>270000</v>
      </c>
      <c r="L76" s="289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5">
        <v>10</v>
      </c>
      <c r="C77" s="521" t="s">
        <v>1048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452">
        <f>F67*2</f>
        <v>2</v>
      </c>
      <c r="G77" s="307">
        <f ca="1">IF(ISERROR(OFFSET('HARGA SATUAN'!$I$6,MATCH(RAB!C77,'HARGA SATUAN'!$C$7:$C$1495,0),0)),0,OFFSET('HARGA SATUAN'!$I$6,MATCH(RAB!C77,'HARGA SATUAN'!$C$7:$C$1495,0),0))</f>
        <v>79056</v>
      </c>
      <c r="H77" s="308">
        <f t="shared" ca="1" si="13"/>
        <v>0</v>
      </c>
      <c r="I77" s="308">
        <f t="shared" ca="1" si="14"/>
        <v>158112</v>
      </c>
      <c r="J77" s="308">
        <f t="shared" ca="1" si="15"/>
        <v>0</v>
      </c>
      <c r="K77" s="309">
        <f t="shared" ca="1" si="16"/>
        <v>158112</v>
      </c>
      <c r="L77" s="289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5">
        <v>11</v>
      </c>
      <c r="C78" s="521" t="s">
        <v>1049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452">
        <f>F67*1</f>
        <v>1</v>
      </c>
      <c r="G78" s="307">
        <f ca="1">IF(ISERROR(OFFSET('HARGA SATUAN'!$I$6,MATCH(RAB!C78,'HARGA SATUAN'!$C$7:$C$1495,0),0)),0,OFFSET('HARGA SATUAN'!$I$6,MATCH(RAB!C78,'HARGA SATUAN'!$C$7:$C$1495,0),0))</f>
        <v>81984</v>
      </c>
      <c r="H78" s="308">
        <f t="shared" ca="1" si="13"/>
        <v>0</v>
      </c>
      <c r="I78" s="308">
        <f t="shared" ca="1" si="14"/>
        <v>81984</v>
      </c>
      <c r="J78" s="308">
        <f t="shared" ca="1" si="15"/>
        <v>0</v>
      </c>
      <c r="K78" s="309">
        <f t="shared" ca="1" si="16"/>
        <v>81984</v>
      </c>
      <c r="L78" s="289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515">
        <v>12</v>
      </c>
      <c r="C79" s="521" t="s">
        <v>1050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452">
        <f>F67*2</f>
        <v>2</v>
      </c>
      <c r="G79" s="307">
        <f ca="1">IF(ISERROR(OFFSET('HARGA SATUAN'!$I$6,MATCH(RAB!C79,'HARGA SATUAN'!$C$7:$C$1495,0),0)),0,OFFSET('HARGA SATUAN'!$I$6,MATCH(RAB!C79,'HARGA SATUAN'!$C$7:$C$1495,0),0))</f>
        <v>7320</v>
      </c>
      <c r="H79" s="308">
        <f t="shared" ca="1" si="13"/>
        <v>0</v>
      </c>
      <c r="I79" s="308">
        <f t="shared" ca="1" si="14"/>
        <v>14640</v>
      </c>
      <c r="J79" s="308">
        <f t="shared" ca="1" si="15"/>
        <v>0</v>
      </c>
      <c r="K79" s="309">
        <f t="shared" ca="1" si="16"/>
        <v>14640</v>
      </c>
      <c r="L79" s="289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515">
        <v>13</v>
      </c>
      <c r="C80" s="521" t="s">
        <v>1051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452">
        <f>F67*1</f>
        <v>1</v>
      </c>
      <c r="G80" s="307">
        <f ca="1">IF(ISERROR(OFFSET('HARGA SATUAN'!$I$6,MATCH(RAB!C80,'HARGA SATUAN'!$C$7:$C$1495,0),0)),0,OFFSET('HARGA SATUAN'!$I$6,MATCH(RAB!C80,'HARGA SATUAN'!$C$7:$C$1495,0),0))</f>
        <v>8784</v>
      </c>
      <c r="H80" s="308">
        <f t="shared" ca="1" si="13"/>
        <v>0</v>
      </c>
      <c r="I80" s="308">
        <f t="shared" ca="1" si="14"/>
        <v>8784</v>
      </c>
      <c r="J80" s="308">
        <f t="shared" ca="1" si="15"/>
        <v>0</v>
      </c>
      <c r="K80" s="309">
        <f t="shared" ca="1" si="16"/>
        <v>8784</v>
      </c>
      <c r="L80" s="289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515">
        <v>14</v>
      </c>
      <c r="C81" s="521" t="s">
        <v>1052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52">
        <f>F67*(2*2)</f>
        <v>4</v>
      </c>
      <c r="G81" s="307">
        <f ca="1">IF(ISERROR(OFFSET('HARGA SATUAN'!$I$6,MATCH(RAB!C81,'HARGA SATUAN'!$C$7:$C$1495,0),0)),0,OFFSET('HARGA SATUAN'!$I$6,MATCH(RAB!C81,'HARGA SATUAN'!$C$7:$C$1495,0),0))</f>
        <v>52704</v>
      </c>
      <c r="H81" s="308">
        <f t="shared" ca="1" si="13"/>
        <v>0</v>
      </c>
      <c r="I81" s="308">
        <f t="shared" ca="1" si="14"/>
        <v>210816</v>
      </c>
      <c r="J81" s="308">
        <f t="shared" ca="1" si="15"/>
        <v>0</v>
      </c>
      <c r="K81" s="309">
        <f t="shared" ca="1" si="16"/>
        <v>210816</v>
      </c>
      <c r="L81" s="289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515">
        <v>15</v>
      </c>
      <c r="C82" s="521" t="s">
        <v>1053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452">
        <f>F67*2</f>
        <v>2</v>
      </c>
      <c r="G82" s="307">
        <f ca="1">IF(ISERROR(OFFSET('HARGA SATUAN'!$I$6,MATCH(RAB!C82,'HARGA SATUAN'!$C$7:$C$1495,0),0)),0,OFFSET('HARGA SATUAN'!$I$6,MATCH(RAB!C82,'HARGA SATUAN'!$C$7:$C$1495,0),0))</f>
        <v>67344</v>
      </c>
      <c r="H82" s="308">
        <f t="shared" ca="1" si="13"/>
        <v>0</v>
      </c>
      <c r="I82" s="308">
        <f t="shared" ca="1" si="14"/>
        <v>134688</v>
      </c>
      <c r="J82" s="308">
        <f t="shared" ca="1" si="15"/>
        <v>0</v>
      </c>
      <c r="K82" s="309">
        <f t="shared" ca="1" si="16"/>
        <v>134688</v>
      </c>
      <c r="L82" s="289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515">
        <v>16</v>
      </c>
      <c r="C83" s="521" t="s">
        <v>1636</v>
      </c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52">
        <f>F67*16</f>
        <v>16</v>
      </c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13"/>
        <v>0</v>
      </c>
      <c r="I83" s="308">
        <f t="shared" ca="1" si="14"/>
        <v>0</v>
      </c>
      <c r="J83" s="308">
        <f t="shared" ca="1" si="15"/>
        <v>0</v>
      </c>
      <c r="K83" s="309">
        <f t="shared" ca="1" si="16"/>
        <v>0</v>
      </c>
      <c r="L83" s="289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515">
        <v>17</v>
      </c>
      <c r="C84" s="521" t="s">
        <v>183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52">
        <f>F67*8</f>
        <v>8</v>
      </c>
      <c r="G84" s="307">
        <f ca="1">IF(ISERROR(OFFSET('HARGA SATUAN'!$I$6,MATCH(RAB!C84,'HARGA SATUAN'!$C$7:$C$1495,0),0)),0,OFFSET('HARGA SATUAN'!$I$6,MATCH(RAB!C84,'HARGA SATUAN'!$C$7:$C$1495,0),0))</f>
        <v>22500</v>
      </c>
      <c r="H84" s="308">
        <f t="shared" ca="1" si="13"/>
        <v>0</v>
      </c>
      <c r="I84" s="308">
        <f t="shared" ca="1" si="14"/>
        <v>180000</v>
      </c>
      <c r="J84" s="308">
        <f t="shared" ca="1" si="15"/>
        <v>0</v>
      </c>
      <c r="K84" s="309">
        <f t="shared" ca="1" si="16"/>
        <v>180000</v>
      </c>
      <c r="L84" s="289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15">
        <v>18</v>
      </c>
      <c r="C85" s="109" t="s">
        <v>1164</v>
      </c>
      <c r="D85" s="305" t="str">
        <f ca="1">IF(ISERROR(OFFSET('HARGA SATUAN'!$D$6,MATCH(RAB!C85,'HARGA SATUAN'!$C$7:$C$1495,0),0)),"",OFFSET('HARGA SATUAN'!$D$6,MATCH(RAB!C85,'HARGA SATUAN'!$C$7:$C$1495,0),0))</f>
        <v>JASA</v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452">
        <f>F67*1</f>
        <v>1</v>
      </c>
      <c r="G85" s="307">
        <f ca="1">IF(ISERROR(OFFSET('HARGA SATUAN'!$I$6,MATCH(RAB!C85,'HARGA SATUAN'!$C$7:$C$1495,0),0)),0,OFFSET('HARGA SATUAN'!$I$6,MATCH(RAB!C85,'HARGA SATUAN'!$C$7:$C$1495,0),0))</f>
        <v>614700</v>
      </c>
      <c r="H85" s="308">
        <f t="shared" ca="1" si="13"/>
        <v>0</v>
      </c>
      <c r="I85" s="308">
        <f t="shared" ca="1" si="14"/>
        <v>0</v>
      </c>
      <c r="J85" s="308">
        <f t="shared" ca="1" si="15"/>
        <v>614700</v>
      </c>
      <c r="K85" s="309">
        <f t="shared" ca="1" si="16"/>
        <v>614700</v>
      </c>
      <c r="L85" s="289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513"/>
      <c r="C86" s="514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52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13"/>
        <v>0</v>
      </c>
      <c r="I86" s="308">
        <f t="shared" ca="1" si="14"/>
        <v>0</v>
      </c>
      <c r="J86" s="308">
        <f t="shared" ca="1" si="15"/>
        <v>0</v>
      </c>
      <c r="K86" s="309">
        <f t="shared" ca="1" si="16"/>
        <v>0</v>
      </c>
      <c r="L86" s="289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515" t="s">
        <v>1035</v>
      </c>
      <c r="C87" s="516" t="s">
        <v>1628</v>
      </c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452">
        <v>1</v>
      </c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13"/>
        <v>0</v>
      </c>
      <c r="I87" s="308">
        <f t="shared" ca="1" si="14"/>
        <v>0</v>
      </c>
      <c r="J87" s="308">
        <f t="shared" ca="1" si="15"/>
        <v>0</v>
      </c>
      <c r="K87" s="309">
        <f t="shared" ca="1" si="16"/>
        <v>0</v>
      </c>
      <c r="L87" s="289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515">
        <v>1</v>
      </c>
      <c r="C88" s="516" t="s">
        <v>30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Bh</v>
      </c>
      <c r="F88" s="452">
        <f>F87*1</f>
        <v>1</v>
      </c>
      <c r="G88" s="307">
        <f ca="1">IF(ISERROR(OFFSET('HARGA SATUAN'!$I$6,MATCH(RAB!C88,'HARGA SATUAN'!$C$7:$C$1495,0),0)),0,OFFSET('HARGA SATUAN'!$I$6,MATCH(RAB!C88,'HARGA SATUAN'!$C$7:$C$1495,0),0))</f>
        <v>47459</v>
      </c>
      <c r="H88" s="308">
        <f t="shared" ca="1" si="13"/>
        <v>0</v>
      </c>
      <c r="I88" s="308">
        <f t="shared" ca="1" si="14"/>
        <v>47459</v>
      </c>
      <c r="J88" s="308">
        <f t="shared" ca="1" si="15"/>
        <v>0</v>
      </c>
      <c r="K88" s="309">
        <f t="shared" ca="1" si="16"/>
        <v>47459</v>
      </c>
      <c r="L88" s="289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515">
        <v>2</v>
      </c>
      <c r="C89" s="516" t="s">
        <v>32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Mtr</v>
      </c>
      <c r="F89" s="452">
        <f>F87*0.8</f>
        <v>0.8</v>
      </c>
      <c r="G89" s="307">
        <f ca="1">IF(ISERROR(OFFSET('HARGA SATUAN'!$I$6,MATCH(RAB!C89,'HARGA SATUAN'!$C$7:$C$1495,0),0)),0,OFFSET('HARGA SATUAN'!$I$6,MATCH(RAB!C89,'HARGA SATUAN'!$C$7:$C$1495,0),0))</f>
        <v>30000</v>
      </c>
      <c r="H89" s="308">
        <f t="shared" ca="1" si="13"/>
        <v>0</v>
      </c>
      <c r="I89" s="308">
        <f t="shared" ca="1" si="14"/>
        <v>24000</v>
      </c>
      <c r="J89" s="308">
        <f t="shared" ca="1" si="15"/>
        <v>0</v>
      </c>
      <c r="K89" s="309">
        <f t="shared" ca="1" si="16"/>
        <v>24000</v>
      </c>
      <c r="L89" s="289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515">
        <v>3</v>
      </c>
      <c r="C90" s="516" t="s">
        <v>33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Bh</v>
      </c>
      <c r="F90" s="452">
        <f>F87*1</f>
        <v>1</v>
      </c>
      <c r="G90" s="307">
        <f ca="1">IF(ISERROR(OFFSET('HARGA SATUAN'!$I$6,MATCH(RAB!C90,'HARGA SATUAN'!$C$7:$C$1495,0),0)),0,OFFSET('HARGA SATUAN'!$I$6,MATCH(RAB!C90,'HARGA SATUAN'!$C$7:$C$1495,0),0))</f>
        <v>9500</v>
      </c>
      <c r="H90" s="308">
        <f t="shared" ca="1" si="13"/>
        <v>0</v>
      </c>
      <c r="I90" s="308">
        <f t="shared" ca="1" si="14"/>
        <v>9500</v>
      </c>
      <c r="J90" s="308">
        <f t="shared" ca="1" si="15"/>
        <v>0</v>
      </c>
      <c r="K90" s="309">
        <f t="shared" ca="1" si="16"/>
        <v>9500</v>
      </c>
      <c r="L90" s="289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515">
        <v>4</v>
      </c>
      <c r="C91" s="516" t="s">
        <v>737</v>
      </c>
      <c r="D91" s="305" t="str">
        <f ca="1">IF(ISERROR(OFFSET('HARGA SATUAN'!$D$6,MATCH(RAB!C91,'HARGA SATUAN'!$C$7:$C$1495,0),0)),"",OFFSET('HARGA SATUAN'!$D$6,MATCH(RAB!C91,'HARGA SATUAN'!$C$7:$C$1495,0),0))</f>
        <v>JASA</v>
      </c>
      <c r="E91" s="306" t="str">
        <f ca="1">IF(B91="+","Unit",IF(ISERROR(OFFSET('HARGA SATUAN'!$E$6,MATCH(RAB!C91,'HARGA SATUAN'!$C$7:$C$1495,0),0)),"",OFFSET('HARGA SATUAN'!$E$6,MATCH(RAB!C91,'HARGA SATUAN'!$C$7:$C$1495,0),0)))</f>
        <v>Unit</v>
      </c>
      <c r="F91" s="452">
        <f>F87*1</f>
        <v>1</v>
      </c>
      <c r="G91" s="307">
        <f ca="1">IF(ISERROR(OFFSET('HARGA SATUAN'!$I$6,MATCH(RAB!C91,'HARGA SATUAN'!$C$7:$C$1495,0),0)),0,OFFSET('HARGA SATUAN'!$I$6,MATCH(RAB!C91,'HARGA SATUAN'!$C$7:$C$1495,0),0))</f>
        <v>16200</v>
      </c>
      <c r="H91" s="308">
        <f t="shared" ca="1" si="13"/>
        <v>0</v>
      </c>
      <c r="I91" s="308">
        <f t="shared" ca="1" si="14"/>
        <v>0</v>
      </c>
      <c r="J91" s="308">
        <f t="shared" ca="1" si="15"/>
        <v>16200</v>
      </c>
      <c r="K91" s="309">
        <f t="shared" ca="1" si="16"/>
        <v>16200</v>
      </c>
      <c r="L91" s="289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421"/>
      <c r="C92" s="418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52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ref="H92:H113" ca="1" si="17">IF(OR(D92="MDU",D92="MDU-KD"),(IF($O$3="RAB NON MDU","PLN KD",G92*F92)),0)</f>
        <v>0</v>
      </c>
      <c r="I92" s="308">
        <f t="shared" ref="I92:I113" ca="1" si="18">IF(D92="HDW",G92*F92,0)</f>
        <v>0</v>
      </c>
      <c r="J92" s="308">
        <f t="shared" ref="J92:J113" ca="1" si="19">IF(D92="JASA",G92*F92,0)</f>
        <v>0</v>
      </c>
      <c r="K92" s="309">
        <f t="shared" ref="K92:K113" ca="1" si="20">SUM(H92:J92)</f>
        <v>0</v>
      </c>
      <c r="L92" s="316"/>
      <c r="M92" s="289" t="e">
        <f>IF(AND(F92&gt;0,#REF!=0),"",IF(AND(ISBLANK(F92)=FALSE,K92=0),"WARNING",""))</f>
        <v>#REF!</v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421">
        <v>10</v>
      </c>
      <c r="C93" s="418" t="s">
        <v>1615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454"/>
      <c r="G93" s="307">
        <f ca="1">IF(ISERROR(OFFSET('HARGA SATUAN'!$I$6,MATCH(RAB!C93,'HARGA SATUAN'!$C$7:$C$1495,0),0)),0,OFFSET('HARGA SATUAN'!$I$6,MATCH(RAB!C93,'HARGA SATUAN'!$C$7:$C$1495,0),0))</f>
        <v>49000</v>
      </c>
      <c r="H93" s="308">
        <f t="shared" ca="1" si="17"/>
        <v>0</v>
      </c>
      <c r="I93" s="308">
        <f t="shared" ca="1" si="18"/>
        <v>0</v>
      </c>
      <c r="J93" s="308">
        <f t="shared" ca="1" si="19"/>
        <v>0</v>
      </c>
      <c r="K93" s="309">
        <f t="shared" ca="1" si="20"/>
        <v>0</v>
      </c>
      <c r="L93" s="316"/>
      <c r="M93" s="289" t="str">
        <f t="shared" ref="M93:M130" ca="1" si="21">IF(AND(F93&gt;0,F92=0),"",IF(AND(ISBLANK(F93)=FALSE,K93=0),"WARNING",""))</f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idden="1">
      <c r="A94" s="283"/>
      <c r="B94" s="450"/>
      <c r="C94" s="451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54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17"/>
        <v>0</v>
      </c>
      <c r="I94" s="308">
        <f t="shared" ca="1" si="18"/>
        <v>0</v>
      </c>
      <c r="J94" s="308">
        <f t="shared" ca="1" si="19"/>
        <v>0</v>
      </c>
      <c r="K94" s="309">
        <f t="shared" ca="1" si="20"/>
        <v>0</v>
      </c>
      <c r="L94" s="316"/>
      <c r="M94" s="289" t="str">
        <f t="shared" ca="1" si="21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idden="1">
      <c r="A95" s="283"/>
      <c r="B95" s="450"/>
      <c r="C95" s="451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54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17"/>
        <v>0</v>
      </c>
      <c r="I95" s="308">
        <f t="shared" ca="1" si="18"/>
        <v>0</v>
      </c>
      <c r="J95" s="308">
        <f t="shared" ca="1" si="19"/>
        <v>0</v>
      </c>
      <c r="K95" s="309">
        <f t="shared" ca="1" si="20"/>
        <v>0</v>
      </c>
      <c r="L95" s="316"/>
      <c r="M95" s="289" t="str">
        <f t="shared" ca="1" si="21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idden="1">
      <c r="A96" s="283"/>
      <c r="B96" s="450"/>
      <c r="C96" s="451"/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454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17"/>
        <v>0</v>
      </c>
      <c r="I96" s="308">
        <f t="shared" ca="1" si="18"/>
        <v>0</v>
      </c>
      <c r="J96" s="308">
        <f t="shared" ca="1" si="19"/>
        <v>0</v>
      </c>
      <c r="K96" s="309">
        <f t="shared" ca="1" si="20"/>
        <v>0</v>
      </c>
      <c r="L96" s="316"/>
      <c r="M96" s="289" t="str">
        <f t="shared" ca="1" si="21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idden="1">
      <c r="A97" s="283"/>
      <c r="B97" s="450"/>
      <c r="C97" s="451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54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17"/>
        <v>0</v>
      </c>
      <c r="I97" s="308">
        <f t="shared" ca="1" si="18"/>
        <v>0</v>
      </c>
      <c r="J97" s="308">
        <f t="shared" ca="1" si="19"/>
        <v>0</v>
      </c>
      <c r="K97" s="309">
        <f t="shared" ca="1" si="20"/>
        <v>0</v>
      </c>
      <c r="L97" s="316"/>
      <c r="M97" s="289" t="str">
        <f t="shared" ca="1" si="21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idden="1">
      <c r="A98" s="283"/>
      <c r="B98" s="450"/>
      <c r="C98" s="451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54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17"/>
        <v>0</v>
      </c>
      <c r="I98" s="308">
        <f t="shared" ca="1" si="18"/>
        <v>0</v>
      </c>
      <c r="J98" s="308">
        <f t="shared" ca="1" si="19"/>
        <v>0</v>
      </c>
      <c r="K98" s="309">
        <f t="shared" ca="1" si="20"/>
        <v>0</v>
      </c>
      <c r="L98" s="316"/>
      <c r="M98" s="289" t="str">
        <f t="shared" ca="1" si="21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idden="1">
      <c r="A99" s="283"/>
      <c r="B99" s="450"/>
      <c r="C99" s="451"/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454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17"/>
        <v>0</v>
      </c>
      <c r="I99" s="308">
        <f t="shared" ca="1" si="18"/>
        <v>0</v>
      </c>
      <c r="J99" s="308">
        <f t="shared" ca="1" si="19"/>
        <v>0</v>
      </c>
      <c r="K99" s="309">
        <f t="shared" ca="1" si="20"/>
        <v>0</v>
      </c>
      <c r="L99" s="316"/>
      <c r="M99" s="289" t="str">
        <f t="shared" ca="1" si="21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idden="1">
      <c r="A100" s="283"/>
      <c r="B100" s="450"/>
      <c r="C100" s="451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454"/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17"/>
        <v>0</v>
      </c>
      <c r="I100" s="308">
        <f t="shared" ca="1" si="18"/>
        <v>0</v>
      </c>
      <c r="J100" s="308">
        <f t="shared" ca="1" si="19"/>
        <v>0</v>
      </c>
      <c r="K100" s="309">
        <f t="shared" ca="1" si="20"/>
        <v>0</v>
      </c>
      <c r="L100" s="316"/>
      <c r="M100" s="289" t="str">
        <f t="shared" ca="1" si="21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50"/>
      <c r="C101" s="451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/>
      </c>
      <c r="F101" s="454"/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17"/>
        <v>0</v>
      </c>
      <c r="I101" s="308">
        <f t="shared" ca="1" si="18"/>
        <v>0</v>
      </c>
      <c r="J101" s="308">
        <f t="shared" ca="1" si="19"/>
        <v>0</v>
      </c>
      <c r="K101" s="309">
        <f t="shared" ca="1" si="20"/>
        <v>0</v>
      </c>
      <c r="L101" s="316"/>
      <c r="M101" s="289" t="str">
        <f t="shared" ca="1" si="21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idden="1">
      <c r="A102" s="283"/>
      <c r="B102" s="450"/>
      <c r="C102" s="451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54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17"/>
        <v>0</v>
      </c>
      <c r="I102" s="308">
        <f t="shared" ca="1" si="18"/>
        <v>0</v>
      </c>
      <c r="J102" s="308">
        <f t="shared" ca="1" si="19"/>
        <v>0</v>
      </c>
      <c r="K102" s="309">
        <f t="shared" ca="1" si="20"/>
        <v>0</v>
      </c>
      <c r="L102" s="316"/>
      <c r="M102" s="289" t="str">
        <f t="shared" ca="1" si="21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idden="1">
      <c r="A103" s="283"/>
      <c r="B103" s="450"/>
      <c r="C103" s="451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54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17"/>
        <v>0</v>
      </c>
      <c r="I103" s="308">
        <f t="shared" ca="1" si="18"/>
        <v>0</v>
      </c>
      <c r="J103" s="308">
        <f t="shared" ca="1" si="19"/>
        <v>0</v>
      </c>
      <c r="K103" s="309">
        <f t="shared" ca="1" si="20"/>
        <v>0</v>
      </c>
      <c r="L103" s="316"/>
      <c r="M103" s="289" t="str">
        <f t="shared" ca="1" si="21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idden="1">
      <c r="A104" s="283"/>
      <c r="B104" s="450"/>
      <c r="C104" s="451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54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17"/>
        <v>0</v>
      </c>
      <c r="I104" s="308">
        <f t="shared" ca="1" si="18"/>
        <v>0</v>
      </c>
      <c r="J104" s="308">
        <f t="shared" ca="1" si="19"/>
        <v>0</v>
      </c>
      <c r="K104" s="309">
        <f t="shared" ca="1" si="20"/>
        <v>0</v>
      </c>
      <c r="L104" s="316"/>
      <c r="M104" s="289" t="str">
        <f t="shared" ca="1" si="21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 hidden="1">
      <c r="A105" s="283"/>
      <c r="B105" s="450"/>
      <c r="C105" s="451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54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17"/>
        <v>0</v>
      </c>
      <c r="I105" s="308">
        <f t="shared" ca="1" si="18"/>
        <v>0</v>
      </c>
      <c r="J105" s="308">
        <f t="shared" ca="1" si="19"/>
        <v>0</v>
      </c>
      <c r="K105" s="309">
        <f t="shared" ca="1" si="20"/>
        <v>0</v>
      </c>
      <c r="L105" s="316"/>
      <c r="M105" s="289" t="str">
        <f t="shared" ca="1" si="21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idden="1">
      <c r="A106" s="283"/>
      <c r="B106" s="450"/>
      <c r="C106" s="451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/>
      </c>
      <c r="F106" s="454"/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17"/>
        <v>0</v>
      </c>
      <c r="I106" s="308">
        <f t="shared" ca="1" si="18"/>
        <v>0</v>
      </c>
      <c r="J106" s="308">
        <f t="shared" ca="1" si="19"/>
        <v>0</v>
      </c>
      <c r="K106" s="309">
        <f t="shared" ca="1" si="20"/>
        <v>0</v>
      </c>
      <c r="L106" s="316"/>
      <c r="M106" s="289" t="str">
        <f t="shared" ca="1" si="21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idden="1">
      <c r="A107" s="283"/>
      <c r="B107" s="450"/>
      <c r="C107" s="451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/>
      </c>
      <c r="F107" s="454"/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17"/>
        <v>0</v>
      </c>
      <c r="I107" s="308">
        <f t="shared" ca="1" si="18"/>
        <v>0</v>
      </c>
      <c r="J107" s="308">
        <f t="shared" ca="1" si="19"/>
        <v>0</v>
      </c>
      <c r="K107" s="309">
        <f t="shared" ca="1" si="20"/>
        <v>0</v>
      </c>
      <c r="L107" s="316"/>
      <c r="M107" s="289" t="str">
        <f t="shared" ca="1" si="21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 hidden="1">
      <c r="A108" s="283"/>
      <c r="B108" s="450"/>
      <c r="C108" s="451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54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ca="1" si="17"/>
        <v>0</v>
      </c>
      <c r="I108" s="308">
        <f t="shared" ca="1" si="18"/>
        <v>0</v>
      </c>
      <c r="J108" s="308">
        <f t="shared" ca="1" si="19"/>
        <v>0</v>
      </c>
      <c r="K108" s="309">
        <f t="shared" ca="1" si="20"/>
        <v>0</v>
      </c>
      <c r="L108" s="316"/>
      <c r="M108" s="289" t="str">
        <f t="shared" ca="1" si="21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idden="1">
      <c r="A109" s="283"/>
      <c r="B109" s="450"/>
      <c r="C109" s="451"/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54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ca="1" si="17"/>
        <v>0</v>
      </c>
      <c r="I109" s="308">
        <f t="shared" ca="1" si="18"/>
        <v>0</v>
      </c>
      <c r="J109" s="308">
        <f t="shared" ca="1" si="19"/>
        <v>0</v>
      </c>
      <c r="K109" s="309">
        <f t="shared" ca="1" si="20"/>
        <v>0</v>
      </c>
      <c r="L109" s="316"/>
      <c r="M109" s="289" t="str">
        <f t="shared" ca="1" si="21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 hidden="1">
      <c r="A110" s="283"/>
      <c r="B110" s="450"/>
      <c r="C110" s="451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/>
      </c>
      <c r="F110" s="454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17"/>
        <v>0</v>
      </c>
      <c r="I110" s="308">
        <f t="shared" ca="1" si="18"/>
        <v>0</v>
      </c>
      <c r="J110" s="308">
        <f t="shared" ca="1" si="19"/>
        <v>0</v>
      </c>
      <c r="K110" s="309">
        <f t="shared" ca="1" si="20"/>
        <v>0</v>
      </c>
      <c r="L110" s="316"/>
      <c r="M110" s="289" t="str">
        <f t="shared" ca="1" si="21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idden="1">
      <c r="A111" s="283"/>
      <c r="B111" s="450"/>
      <c r="C111" s="451"/>
      <c r="D111" s="305" t="str">
        <f ca="1">IF(ISERROR(OFFSET('HARGA SATUAN'!$D$6,MATCH(RAB!C111,'HARGA SATUAN'!$C$7:$C$1495,0),0)),"",OFFSET('HARGA SATUAN'!$D$6,MATCH(RAB!C111,'HARGA SATUAN'!$C$7:$C$1495,0),0))</f>
        <v/>
      </c>
      <c r="E111" s="306" t="str">
        <f ca="1">IF(B111="+","Unit",IF(ISERROR(OFFSET('HARGA SATUAN'!$E$6,MATCH(RAB!C111,'HARGA SATUAN'!$C$7:$C$1495,0),0)),"",OFFSET('HARGA SATUAN'!$E$6,MATCH(RAB!C111,'HARGA SATUAN'!$C$7:$C$1495,0),0)))</f>
        <v/>
      </c>
      <c r="F111" s="454"/>
      <c r="G111" s="307">
        <f ca="1">IF(ISERROR(OFFSET('HARGA SATUAN'!$I$6,MATCH(RAB!C111,'HARGA SATUAN'!$C$7:$C$1495,0),0)),0,OFFSET('HARGA SATUAN'!$I$6,MATCH(RAB!C111,'HARGA SATUAN'!$C$7:$C$1495,0),0))</f>
        <v>0</v>
      </c>
      <c r="H111" s="308">
        <f t="shared" ca="1" si="17"/>
        <v>0</v>
      </c>
      <c r="I111" s="308">
        <f t="shared" ca="1" si="18"/>
        <v>0</v>
      </c>
      <c r="J111" s="308">
        <f t="shared" ca="1" si="19"/>
        <v>0</v>
      </c>
      <c r="K111" s="309">
        <f t="shared" ca="1" si="20"/>
        <v>0</v>
      </c>
      <c r="L111" s="316"/>
      <c r="M111" s="289" t="str">
        <f t="shared" ca="1" si="21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 hidden="1">
      <c r="A112" s="283"/>
      <c r="B112" s="450"/>
      <c r="C112" s="451"/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454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17"/>
        <v>0</v>
      </c>
      <c r="I112" s="308">
        <f t="shared" ca="1" si="18"/>
        <v>0</v>
      </c>
      <c r="J112" s="308">
        <f t="shared" ca="1" si="19"/>
        <v>0</v>
      </c>
      <c r="K112" s="309">
        <f t="shared" ca="1" si="20"/>
        <v>0</v>
      </c>
      <c r="L112" s="316"/>
      <c r="M112" s="289" t="str">
        <f t="shared" ca="1" si="21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 hidden="1">
      <c r="A113" s="283"/>
      <c r="B113" s="450"/>
      <c r="C113" s="451"/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454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17"/>
        <v>0</v>
      </c>
      <c r="I113" s="308">
        <f t="shared" ca="1" si="18"/>
        <v>0</v>
      </c>
      <c r="J113" s="308">
        <f t="shared" ca="1" si="19"/>
        <v>0</v>
      </c>
      <c r="K113" s="309">
        <f t="shared" ca="1" si="20"/>
        <v>0</v>
      </c>
      <c r="L113" s="316"/>
      <c r="M113" s="289" t="str">
        <f t="shared" ca="1" si="21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419" t="s">
        <v>1602</v>
      </c>
      <c r="C114" s="422" t="s">
        <v>1604</v>
      </c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/>
      </c>
      <c r="F114" s="455"/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ref="H114" ca="1" si="22">IF(OR(D114="MDU",D114="MDU-KD"),(IF($O$3="RAB NON MDU","PLN KD",G114*F114)),0)</f>
        <v>0</v>
      </c>
      <c r="I114" s="308">
        <f t="shared" ref="I114" ca="1" si="23">IF(D114="HDW",G114*F114,0)</f>
        <v>0</v>
      </c>
      <c r="J114" s="308">
        <f t="shared" ref="J114" ca="1" si="24">IF(D114="JASA",G114*F114,0)</f>
        <v>0</v>
      </c>
      <c r="K114" s="309">
        <f t="shared" ref="K114" ca="1" si="25">SUM(H114:J114)</f>
        <v>0</v>
      </c>
      <c r="L114" s="316"/>
      <c r="M114" s="289" t="str">
        <f t="shared" ca="1" si="21"/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318"/>
      <c r="C115" s="319"/>
      <c r="D115" s="305" t="str">
        <f ca="1">IF(ISERROR(OFFSET('HARGA SATUAN'!$D$6,MATCH(RAB!C115,'HARGA SATUAN'!$C$7:$C$1495,0),0)),"",OFFSET('HARGA SATUAN'!$D$6,MATCH(RAB!C115,'HARGA SATUAN'!$C$7:$C$1495,0),0))</f>
        <v/>
      </c>
      <c r="E115" s="306" t="str">
        <f ca="1">IF(B115="+","Unit",IF(ISERROR(OFFSET('HARGA SATUAN'!$E$6,MATCH(RAB!C115,'HARGA SATUAN'!$C$7:$C$1495,0),0)),"",OFFSET('HARGA SATUAN'!$E$6,MATCH(RAB!C115,'HARGA SATUAN'!$C$7:$C$1495,0),0)))</f>
        <v/>
      </c>
      <c r="F115" s="420"/>
      <c r="G115" s="307">
        <f ca="1">IF(ISERROR(OFFSET('HARGA SATUAN'!$I$6,MATCH(RAB!C115,'HARGA SATUAN'!$C$7:$C$1495,0),0)),0,OFFSET('HARGA SATUAN'!$I$6,MATCH(RAB!C115,'HARGA SATUAN'!$C$7:$C$1495,0),0))</f>
        <v>0</v>
      </c>
      <c r="H115" s="308">
        <f t="shared" ref="H115:H131" ca="1" si="26">IF(OR(D115="MDU",D115="MDU-KD"),(IF($O$3="RAB NON MDU","PLN KD",G115*F115)),0)</f>
        <v>0</v>
      </c>
      <c r="I115" s="308">
        <f t="shared" ref="I115:I131" ca="1" si="27">IF(D115="HDW",G115*F115,0)</f>
        <v>0</v>
      </c>
      <c r="J115" s="308">
        <f t="shared" ref="J115:J131" ca="1" si="28">IF(D115="JASA",G115*F115,0)</f>
        <v>0</v>
      </c>
      <c r="K115" s="309">
        <f t="shared" ref="K115:K131" ca="1" si="29">SUM(H115:J115)</f>
        <v>0</v>
      </c>
      <c r="L115" s="316"/>
      <c r="M115" s="289" t="e">
        <f>IF(AND(F115&gt;0,#REF!=0),"",IF(AND(ISBLANK(F115)=FALSE,K115=0),"WARNING",""))</f>
        <v>#REF!</v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419" t="s">
        <v>1610</v>
      </c>
      <c r="C116" s="422" t="s">
        <v>1606</v>
      </c>
      <c r="D116" s="305" t="str">
        <f ca="1">IF(ISERROR(OFFSET('HARGA SATUAN'!$D$6,MATCH(RAB!C116,'HARGA SATUAN'!$C$7:$C$1495,0),0)),"",OFFSET('HARGA SATUAN'!$D$6,MATCH(RAB!C116,'HARGA SATUAN'!$C$7:$C$1495,0),0))</f>
        <v/>
      </c>
      <c r="E116" s="306" t="str">
        <f ca="1">IF(B116="+","Unit",IF(ISERROR(OFFSET('HARGA SATUAN'!$E$6,MATCH(RAB!C116,'HARGA SATUAN'!$C$7:$C$1495,0),0)),"",OFFSET('HARGA SATUAN'!$E$6,MATCH(RAB!C116,'HARGA SATUAN'!$C$7:$C$1495,0),0)))</f>
        <v/>
      </c>
      <c r="F116" s="456"/>
      <c r="G116" s="307">
        <f ca="1">IF(ISERROR(OFFSET('HARGA SATUAN'!$I$6,MATCH(RAB!C116,'HARGA SATUAN'!$C$7:$C$1495,0),0)),0,OFFSET('HARGA SATUAN'!$I$6,MATCH(RAB!C116,'HARGA SATUAN'!$C$7:$C$1495,0),0))</f>
        <v>0</v>
      </c>
      <c r="H116" s="308">
        <f t="shared" ref="H116:H130" ca="1" si="30">IF(OR(D116="MDU",D116="MDU-KD"),(IF($O$3="RAB NON MDU","PLN KD",G116*F116)),0)</f>
        <v>0</v>
      </c>
      <c r="I116" s="308">
        <f t="shared" ref="I116:I130" ca="1" si="31">IF(D116="HDW",G116*F116,0)</f>
        <v>0</v>
      </c>
      <c r="J116" s="308">
        <f t="shared" ref="J116:J130" ca="1" si="32">IF(D116="JASA",G116*F116,0)</f>
        <v>0</v>
      </c>
      <c r="K116" s="309">
        <f t="shared" ref="K116:K130" ca="1" si="33">SUM(H116:J116)</f>
        <v>0</v>
      </c>
      <c r="L116" s="316"/>
      <c r="M116" s="289" t="str">
        <f t="shared" ca="1" si="21"/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461" t="s">
        <v>1035</v>
      </c>
      <c r="C117" s="462" t="s">
        <v>1643</v>
      </c>
      <c r="D117" s="305" t="str">
        <f ca="1">IF(ISERROR(OFFSET('HARGA SATUAN'!$D$6,MATCH(RAB!C117,'HARGA SATUAN'!$C$7:$C$1495,0),0)),"",OFFSET('HARGA SATUAN'!$D$6,MATCH(RAB!C117,'HARGA SATUAN'!$C$7:$C$1495,0),0))</f>
        <v/>
      </c>
      <c r="E117" s="306" t="str">
        <f ca="1">IF(B117="+","Unit",IF(ISERROR(OFFSET('HARGA SATUAN'!$E$6,MATCH(RAB!C117,'HARGA SATUAN'!$C$7:$C$1495,0),0)),"",OFFSET('HARGA SATUAN'!$E$6,MATCH(RAB!C117,'HARGA SATUAN'!$C$7:$C$1495,0),0)))</f>
        <v>Unit</v>
      </c>
      <c r="F117" s="524">
        <v>1</v>
      </c>
      <c r="G117" s="307">
        <f ca="1">IF(ISERROR(OFFSET('HARGA SATUAN'!$I$6,MATCH(RAB!C117,'HARGA SATUAN'!$C$7:$C$1495,0),0)),0,OFFSET('HARGA SATUAN'!$I$6,MATCH(RAB!C117,'HARGA SATUAN'!$C$7:$C$1495,0),0))</f>
        <v>0</v>
      </c>
      <c r="H117" s="308">
        <f t="shared" ca="1" si="30"/>
        <v>0</v>
      </c>
      <c r="I117" s="308">
        <f t="shared" ca="1" si="31"/>
        <v>0</v>
      </c>
      <c r="J117" s="308">
        <f t="shared" ca="1" si="32"/>
        <v>0</v>
      </c>
      <c r="K117" s="309">
        <f t="shared" ca="1" si="33"/>
        <v>0</v>
      </c>
      <c r="L117" s="316"/>
      <c r="M117" s="289"/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 ht="30">
      <c r="A118" s="283"/>
      <c r="B118" s="522">
        <v>1</v>
      </c>
      <c r="C118" s="109" t="s">
        <v>1195</v>
      </c>
      <c r="D118" s="305" t="str">
        <f ca="1">IF(ISERROR(OFFSET('HARGA SATUAN'!$D$6,MATCH(RAB!C118,'HARGA SATUAN'!$C$7:$C$1495,0),0)),"",OFFSET('HARGA SATUAN'!$D$6,MATCH(RAB!C118,'HARGA SATUAN'!$C$7:$C$1495,0),0))</f>
        <v>MDU-KD</v>
      </c>
      <c r="E118" s="306" t="str">
        <f ca="1">IF(B118="+","Unit",IF(ISERROR(OFFSET('HARGA SATUAN'!$E$6,MATCH(RAB!C118,'HARGA SATUAN'!$C$7:$C$1495,0),0)),"",OFFSET('HARGA SATUAN'!$E$6,MATCH(RAB!C118,'HARGA SATUAN'!$C$7:$C$1495,0),0)))</f>
        <v>Bh</v>
      </c>
      <c r="F118" s="524">
        <f>F117*1</f>
        <v>1</v>
      </c>
      <c r="G118" s="307">
        <f ca="1">IF(ISERROR(OFFSET('HARGA SATUAN'!$I$6,MATCH(RAB!C118,'HARGA SATUAN'!$C$7:$C$1495,0),0)),0,OFFSET('HARGA SATUAN'!$I$6,MATCH(RAB!C118,'HARGA SATUAN'!$C$7:$C$1495,0),0))</f>
        <v>1504200</v>
      </c>
      <c r="H118" s="308">
        <f t="shared" ca="1" si="30"/>
        <v>1504200</v>
      </c>
      <c r="I118" s="308">
        <f t="shared" ca="1" si="31"/>
        <v>0</v>
      </c>
      <c r="J118" s="308">
        <f t="shared" ca="1" si="32"/>
        <v>0</v>
      </c>
      <c r="K118" s="309">
        <f t="shared" ca="1" si="33"/>
        <v>1504200</v>
      </c>
      <c r="L118" s="316"/>
      <c r="M118" s="289"/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522">
        <v>2</v>
      </c>
      <c r="C119" s="523" t="s">
        <v>521</v>
      </c>
      <c r="D119" s="305" t="str">
        <f ca="1">IF(ISERROR(OFFSET('HARGA SATUAN'!$D$6,MATCH(RAB!C119,'HARGA SATUAN'!$C$7:$C$1495,0),0)),"",OFFSET('HARGA SATUAN'!$D$6,MATCH(RAB!C119,'HARGA SATUAN'!$C$7:$C$1495,0),0))</f>
        <v>MDU-KD</v>
      </c>
      <c r="E119" s="306" t="str">
        <f ca="1">IF(B119="+","Unit",IF(ISERROR(OFFSET('HARGA SATUAN'!$E$6,MATCH(RAB!C119,'HARGA SATUAN'!$C$7:$C$1495,0),0)),"",OFFSET('HARGA SATUAN'!$E$6,MATCH(RAB!C119,'HARGA SATUAN'!$C$7:$C$1495,0),0)))</f>
        <v>Unit</v>
      </c>
      <c r="F119" s="524">
        <f>F117*1</f>
        <v>1</v>
      </c>
      <c r="G119" s="307">
        <f ca="1">IF(ISERROR(OFFSET('HARGA SATUAN'!$I$6,MATCH(RAB!C119,'HARGA SATUAN'!$C$7:$C$1495,0),0)),0,OFFSET('HARGA SATUAN'!$I$6,MATCH(RAB!C119,'HARGA SATUAN'!$C$7:$C$1495,0),0))</f>
        <v>14975400</v>
      </c>
      <c r="H119" s="308">
        <f t="shared" ca="1" si="30"/>
        <v>14975400</v>
      </c>
      <c r="I119" s="308">
        <f t="shared" ca="1" si="31"/>
        <v>0</v>
      </c>
      <c r="J119" s="308">
        <f t="shared" ca="1" si="32"/>
        <v>0</v>
      </c>
      <c r="K119" s="309">
        <f t="shared" ca="1" si="33"/>
        <v>14975400</v>
      </c>
      <c r="L119" s="316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522">
        <v>3</v>
      </c>
      <c r="C120" s="523" t="s">
        <v>1141</v>
      </c>
      <c r="D120" s="305" t="str">
        <f ca="1">IF(ISERROR(OFFSET('HARGA SATUAN'!$D$6,MATCH(RAB!C120,'HARGA SATUAN'!$C$7:$C$1495,0),0)),"",OFFSET('HARGA SATUAN'!$D$6,MATCH(RAB!C120,'HARGA SATUAN'!$C$7:$C$1495,0),0))</f>
        <v>HDW</v>
      </c>
      <c r="E120" s="306" t="str">
        <f ca="1">IF(B120="+","Unit",IF(ISERROR(OFFSET('HARGA SATUAN'!$E$6,MATCH(RAB!C120,'HARGA SATUAN'!$C$7:$C$1495,0),0)),"",OFFSET('HARGA SATUAN'!$E$6,MATCH(RAB!C120,'HARGA SATUAN'!$C$7:$C$1495,0),0)))</f>
        <v>Unit</v>
      </c>
      <c r="F120" s="524">
        <f>F117*1</f>
        <v>1</v>
      </c>
      <c r="G120" s="307">
        <f ca="1">IF(ISERROR(OFFSET('HARGA SATUAN'!$I$6,MATCH(RAB!C120,'HARGA SATUAN'!$C$7:$C$1495,0),0)),0,OFFSET('HARGA SATUAN'!$I$6,MATCH(RAB!C120,'HARGA SATUAN'!$C$7:$C$1495,0),0))</f>
        <v>1113900</v>
      </c>
      <c r="H120" s="308">
        <f t="shared" ca="1" si="30"/>
        <v>0</v>
      </c>
      <c r="I120" s="308">
        <f t="shared" ca="1" si="31"/>
        <v>1113900</v>
      </c>
      <c r="J120" s="308">
        <f t="shared" ca="1" si="32"/>
        <v>0</v>
      </c>
      <c r="K120" s="309">
        <f t="shared" ca="1" si="33"/>
        <v>1113900</v>
      </c>
      <c r="L120" s="316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522">
        <v>4</v>
      </c>
      <c r="C121" s="523" t="s">
        <v>575</v>
      </c>
      <c r="D121" s="305" t="str">
        <f ca="1">IF(ISERROR(OFFSET('HARGA SATUAN'!$D$6,MATCH(RAB!C121,'HARGA SATUAN'!$C$7:$C$1495,0),0)),"",OFFSET('HARGA SATUAN'!$D$6,MATCH(RAB!C121,'HARGA SATUAN'!$C$7:$C$1495,0),0))</f>
        <v>HDW</v>
      </c>
      <c r="E121" s="306" t="str">
        <f ca="1">IF(B121="+","Unit",IF(ISERROR(OFFSET('HARGA SATUAN'!$E$6,MATCH(RAB!C121,'HARGA SATUAN'!$C$7:$C$1495,0),0)),"",OFFSET('HARGA SATUAN'!$E$6,MATCH(RAB!C121,'HARGA SATUAN'!$C$7:$C$1495,0),0)))</f>
        <v>Mtr</v>
      </c>
      <c r="F121" s="524">
        <f>F117*35</f>
        <v>35</v>
      </c>
      <c r="G121" s="307">
        <f ca="1">IF(ISERROR(OFFSET('HARGA SATUAN'!$I$6,MATCH(RAB!C121,'HARGA SATUAN'!$C$7:$C$1495,0),0)),0,OFFSET('HARGA SATUAN'!$I$6,MATCH(RAB!C121,'HARGA SATUAN'!$C$7:$C$1495,0),0))</f>
        <v>417044.06800000003</v>
      </c>
      <c r="H121" s="308">
        <f t="shared" ca="1" si="30"/>
        <v>0</v>
      </c>
      <c r="I121" s="308">
        <f t="shared" ca="1" si="31"/>
        <v>14596542.380000001</v>
      </c>
      <c r="J121" s="308">
        <f t="shared" ca="1" si="32"/>
        <v>0</v>
      </c>
      <c r="K121" s="309">
        <f t="shared" ca="1" si="33"/>
        <v>14596542.380000001</v>
      </c>
      <c r="L121" s="316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522">
        <v>5</v>
      </c>
      <c r="C122" s="523" t="s">
        <v>799</v>
      </c>
      <c r="D122" s="305" t="str">
        <f ca="1">IF(ISERROR(OFFSET('HARGA SATUAN'!$D$6,MATCH(RAB!C122,'HARGA SATUAN'!$C$7:$C$1495,0),0)),"",OFFSET('HARGA SATUAN'!$D$6,MATCH(RAB!C122,'HARGA SATUAN'!$C$7:$C$1495,0),0))</f>
        <v>JASA</v>
      </c>
      <c r="E122" s="306" t="str">
        <f ca="1">IF(B122="+","Unit",IF(ISERROR(OFFSET('HARGA SATUAN'!$E$6,MATCH(RAB!C122,'HARGA SATUAN'!$C$7:$C$1495,0),0)),"",OFFSET('HARGA SATUAN'!$E$6,MATCH(RAB!C122,'HARGA SATUAN'!$C$7:$C$1495,0),0)))</f>
        <v>Unit</v>
      </c>
      <c r="F122" s="524">
        <f>F117*1</f>
        <v>1</v>
      </c>
      <c r="G122" s="307">
        <f ca="1">IF(ISERROR(OFFSET('HARGA SATUAN'!$I$6,MATCH(RAB!C122,'HARGA SATUAN'!$C$7:$C$1495,0),0)),0,OFFSET('HARGA SATUAN'!$I$6,MATCH(RAB!C122,'HARGA SATUAN'!$C$7:$C$1495,0),0))</f>
        <v>106400</v>
      </c>
      <c r="H122" s="308">
        <f t="shared" ref="H122" ca="1" si="34">IF(OR(D122="MDU",D122="MDU-KD"),(IF($O$3="RAB NON MDU","PLN KD",G122*F122)),0)</f>
        <v>0</v>
      </c>
      <c r="I122" s="308">
        <f t="shared" ref="I122" ca="1" si="35">IF(D122="HDW",G122*F122,0)</f>
        <v>0</v>
      </c>
      <c r="J122" s="308">
        <f t="shared" ref="J122" ca="1" si="36">IF(D122="JASA",G122*F122,0)</f>
        <v>106400</v>
      </c>
      <c r="K122" s="309">
        <f t="shared" ref="K122" ca="1" si="37">SUM(H122:J122)</f>
        <v>106400</v>
      </c>
      <c r="L122" s="316"/>
      <c r="M122" s="289"/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318"/>
      <c r="C123" s="319"/>
      <c r="D123" s="305" t="str">
        <f ca="1">IF(ISERROR(OFFSET('HARGA SATUAN'!$D$6,MATCH(RAB!C123,'HARGA SATUAN'!$C$7:$C$1495,0),0)),"",OFFSET('HARGA SATUAN'!$D$6,MATCH(RAB!C123,'HARGA SATUAN'!$C$7:$C$1495,0),0))</f>
        <v/>
      </c>
      <c r="E123" s="306" t="str">
        <f ca="1">IF(B123="+","Unit",IF(ISERROR(OFFSET('HARGA SATUAN'!$E$6,MATCH(RAB!C123,'HARGA SATUAN'!$C$7:$C$1495,0),0)),"",OFFSET('HARGA SATUAN'!$E$6,MATCH(RAB!C123,'HARGA SATUAN'!$C$7:$C$1495,0),0)))</f>
        <v/>
      </c>
      <c r="F123" s="453"/>
      <c r="G123" s="307">
        <f ca="1">IF(ISERROR(OFFSET('HARGA SATUAN'!$I$6,MATCH(RAB!C123,'HARGA SATUAN'!$C$7:$C$1495,0),0)),0,OFFSET('HARGA SATUAN'!$I$6,MATCH(RAB!C123,'HARGA SATUAN'!$C$7:$C$1495,0),0))</f>
        <v>0</v>
      </c>
      <c r="H123" s="308">
        <f t="shared" ca="1" si="30"/>
        <v>0</v>
      </c>
      <c r="I123" s="308">
        <f t="shared" ca="1" si="31"/>
        <v>0</v>
      </c>
      <c r="J123" s="308">
        <f t="shared" ca="1" si="32"/>
        <v>0</v>
      </c>
      <c r="K123" s="309">
        <f t="shared" ca="1" si="33"/>
        <v>0</v>
      </c>
      <c r="L123" s="316"/>
      <c r="M123" s="289" t="str">
        <f ca="1">IF(AND(F123&gt;0,F116=0),"",IF(AND(ISBLANK(F123)=FALSE,K123=0),"WARNING",""))</f>
        <v/>
      </c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318" t="s">
        <v>1035</v>
      </c>
      <c r="C124" s="319" t="s">
        <v>1618</v>
      </c>
      <c r="D124" s="305" t="str">
        <f ca="1">IF(ISERROR(OFFSET('HARGA SATUAN'!$D$6,MATCH(RAB!C124,'HARGA SATUAN'!$C$7:$C$1495,0),0)),"",OFFSET('HARGA SATUAN'!$D$6,MATCH(RAB!C124,'HARGA SATUAN'!$C$7:$C$1495,0),0))</f>
        <v/>
      </c>
      <c r="E124" s="306" t="str">
        <f ca="1">IF(B124="+","Unit",IF(ISERROR(OFFSET('HARGA SATUAN'!$E$6,MATCH(RAB!C124,'HARGA SATUAN'!$C$7:$C$1495,0),0)),"",OFFSET('HARGA SATUAN'!$E$6,MATCH(RAB!C124,'HARGA SATUAN'!$C$7:$C$1495,0),0)))</f>
        <v>Unit</v>
      </c>
      <c r="F124" s="452">
        <v>1</v>
      </c>
      <c r="G124" s="307">
        <f ca="1">IF(ISERROR(OFFSET('HARGA SATUAN'!$I$6,MATCH(RAB!C124,'HARGA SATUAN'!$C$7:$C$1495,0),0)),0,OFFSET('HARGA SATUAN'!$I$6,MATCH(RAB!C124,'HARGA SATUAN'!$C$7:$C$1495,0),0))</f>
        <v>0</v>
      </c>
      <c r="H124" s="308">
        <f t="shared" ca="1" si="30"/>
        <v>0</v>
      </c>
      <c r="I124" s="308">
        <f t="shared" ca="1" si="31"/>
        <v>0</v>
      </c>
      <c r="J124" s="308">
        <f t="shared" ca="1" si="32"/>
        <v>0</v>
      </c>
      <c r="K124" s="309">
        <f t="shared" ca="1" si="33"/>
        <v>0</v>
      </c>
      <c r="L124" s="316"/>
      <c r="M124" s="289" t="str">
        <f t="shared" si="21"/>
        <v/>
      </c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318">
        <v>1</v>
      </c>
      <c r="C125" s="319" t="s">
        <v>29</v>
      </c>
      <c r="D125" s="305" t="str">
        <f ca="1">IF(ISERROR(OFFSET('HARGA SATUAN'!$D$6,MATCH(RAB!C125,'HARGA SATUAN'!$C$7:$C$1495,0),0)),"",OFFSET('HARGA SATUAN'!$D$6,MATCH(RAB!C125,'HARGA SATUAN'!$C$7:$C$1495,0),0))</f>
        <v>HDW</v>
      </c>
      <c r="E125" s="306" t="str">
        <f ca="1">IF(B125="+","Unit",IF(ISERROR(OFFSET('HARGA SATUAN'!$E$6,MATCH(RAB!C125,'HARGA SATUAN'!$C$7:$C$1495,0),0)),"",OFFSET('HARGA SATUAN'!$E$6,MATCH(RAB!C125,'HARGA SATUAN'!$C$7:$C$1495,0),0)))</f>
        <v>Bh</v>
      </c>
      <c r="F125" s="452">
        <f>F124*1</f>
        <v>1</v>
      </c>
      <c r="G125" s="307">
        <f ca="1">IF(ISERROR(OFFSET('HARGA SATUAN'!$I$6,MATCH(RAB!C125,'HARGA SATUAN'!$C$7:$C$1495,0),0)),0,OFFSET('HARGA SATUAN'!$I$6,MATCH(RAB!C125,'HARGA SATUAN'!$C$7:$C$1495,0),0))</f>
        <v>185200</v>
      </c>
      <c r="H125" s="308">
        <f t="shared" ca="1" si="30"/>
        <v>0</v>
      </c>
      <c r="I125" s="308">
        <f t="shared" ca="1" si="31"/>
        <v>185200</v>
      </c>
      <c r="J125" s="308">
        <f t="shared" ca="1" si="32"/>
        <v>0</v>
      </c>
      <c r="K125" s="309">
        <f t="shared" ca="1" si="33"/>
        <v>185200</v>
      </c>
      <c r="L125" s="316"/>
      <c r="M125" s="289" t="str">
        <f t="shared" ca="1" si="21"/>
        <v/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318">
        <v>2</v>
      </c>
      <c r="C126" s="319" t="s">
        <v>30</v>
      </c>
      <c r="D126" s="305" t="str">
        <f ca="1">IF(ISERROR(OFFSET('HARGA SATUAN'!$D$6,MATCH(RAB!C126,'HARGA SATUAN'!$C$7:$C$1495,0),0)),"",OFFSET('HARGA SATUAN'!$D$6,MATCH(RAB!C126,'HARGA SATUAN'!$C$7:$C$1495,0),0))</f>
        <v>HDW</v>
      </c>
      <c r="E126" s="306" t="str">
        <f ca="1">IF(B126="+","Unit",IF(ISERROR(OFFSET('HARGA SATUAN'!$E$6,MATCH(RAB!C126,'HARGA SATUAN'!$C$7:$C$1495,0),0)),"",OFFSET('HARGA SATUAN'!$E$6,MATCH(RAB!C126,'HARGA SATUAN'!$C$7:$C$1495,0),0)))</f>
        <v>Bh</v>
      </c>
      <c r="F126" s="452">
        <f>F124*1</f>
        <v>1</v>
      </c>
      <c r="G126" s="307">
        <f ca="1">IF(ISERROR(OFFSET('HARGA SATUAN'!$I$6,MATCH(RAB!C126,'HARGA SATUAN'!$C$7:$C$1495,0),0)),0,OFFSET('HARGA SATUAN'!$I$6,MATCH(RAB!C126,'HARGA SATUAN'!$C$7:$C$1495,0),0))</f>
        <v>47459</v>
      </c>
      <c r="H126" s="308">
        <f t="shared" ca="1" si="30"/>
        <v>0</v>
      </c>
      <c r="I126" s="308">
        <f t="shared" ca="1" si="31"/>
        <v>47459</v>
      </c>
      <c r="J126" s="308">
        <f t="shared" ca="1" si="32"/>
        <v>0</v>
      </c>
      <c r="K126" s="309">
        <f t="shared" ca="1" si="33"/>
        <v>47459</v>
      </c>
      <c r="L126" s="316"/>
      <c r="M126" s="289" t="str">
        <f t="shared" ca="1" si="21"/>
        <v/>
      </c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318">
        <v>3</v>
      </c>
      <c r="C127" s="319" t="s">
        <v>32</v>
      </c>
      <c r="D127" s="305" t="str">
        <f ca="1">IF(ISERROR(OFFSET('HARGA SATUAN'!$D$6,MATCH(RAB!C127,'HARGA SATUAN'!$C$7:$C$1495,0),0)),"",OFFSET('HARGA SATUAN'!$D$6,MATCH(RAB!C127,'HARGA SATUAN'!$C$7:$C$1495,0),0))</f>
        <v>HDW</v>
      </c>
      <c r="E127" s="306" t="str">
        <f ca="1">IF(B127="+","Unit",IF(ISERROR(OFFSET('HARGA SATUAN'!$E$6,MATCH(RAB!C127,'HARGA SATUAN'!$C$7:$C$1495,0),0)),"",OFFSET('HARGA SATUAN'!$E$6,MATCH(RAB!C127,'HARGA SATUAN'!$C$7:$C$1495,0),0)))</f>
        <v>Mtr</v>
      </c>
      <c r="F127" s="452">
        <f>F124*1.5</f>
        <v>1.5</v>
      </c>
      <c r="G127" s="307">
        <f ca="1">IF(ISERROR(OFFSET('HARGA SATUAN'!$I$6,MATCH(RAB!C127,'HARGA SATUAN'!$C$7:$C$1495,0),0)),0,OFFSET('HARGA SATUAN'!$I$6,MATCH(RAB!C127,'HARGA SATUAN'!$C$7:$C$1495,0),0))</f>
        <v>30000</v>
      </c>
      <c r="H127" s="308">
        <f t="shared" ca="1" si="30"/>
        <v>0</v>
      </c>
      <c r="I127" s="308">
        <f t="shared" ca="1" si="31"/>
        <v>45000</v>
      </c>
      <c r="J127" s="308">
        <f t="shared" ca="1" si="32"/>
        <v>0</v>
      </c>
      <c r="K127" s="309">
        <f t="shared" ca="1" si="33"/>
        <v>45000</v>
      </c>
      <c r="L127" s="316"/>
      <c r="M127" s="289" t="str">
        <f t="shared" ca="1" si="21"/>
        <v/>
      </c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318">
        <v>4</v>
      </c>
      <c r="C128" s="319" t="s">
        <v>33</v>
      </c>
      <c r="D128" s="305" t="str">
        <f ca="1">IF(ISERROR(OFFSET('HARGA SATUAN'!$D$6,MATCH(RAB!C128,'HARGA SATUAN'!$C$7:$C$1495,0),0)),"",OFFSET('HARGA SATUAN'!$D$6,MATCH(RAB!C128,'HARGA SATUAN'!$C$7:$C$1495,0),0))</f>
        <v>HDW</v>
      </c>
      <c r="E128" s="306" t="str">
        <f ca="1">IF(B128="+","Unit",IF(ISERROR(OFFSET('HARGA SATUAN'!$E$6,MATCH(RAB!C128,'HARGA SATUAN'!$C$7:$C$1495,0),0)),"",OFFSET('HARGA SATUAN'!$E$6,MATCH(RAB!C128,'HARGA SATUAN'!$C$7:$C$1495,0),0)))</f>
        <v>Bh</v>
      </c>
      <c r="F128" s="452">
        <f>F124*2</f>
        <v>2</v>
      </c>
      <c r="G128" s="307">
        <f ca="1">IF(ISERROR(OFFSET('HARGA SATUAN'!$I$6,MATCH(RAB!C128,'HARGA SATUAN'!$C$7:$C$1495,0),0)),0,OFFSET('HARGA SATUAN'!$I$6,MATCH(RAB!C128,'HARGA SATUAN'!$C$7:$C$1495,0),0))</f>
        <v>9500</v>
      </c>
      <c r="H128" s="308">
        <f t="shared" ca="1" si="30"/>
        <v>0</v>
      </c>
      <c r="I128" s="308">
        <f t="shared" ca="1" si="31"/>
        <v>19000</v>
      </c>
      <c r="J128" s="308">
        <f t="shared" ca="1" si="32"/>
        <v>0</v>
      </c>
      <c r="K128" s="309">
        <f t="shared" ca="1" si="33"/>
        <v>19000</v>
      </c>
      <c r="L128" s="316"/>
      <c r="M128" s="289" t="str">
        <f t="shared" ca="1" si="21"/>
        <v/>
      </c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318">
        <v>5</v>
      </c>
      <c r="C129" s="319" t="s">
        <v>735</v>
      </c>
      <c r="D129" s="305" t="str">
        <f ca="1">IF(ISERROR(OFFSET('HARGA SATUAN'!$D$6,MATCH(RAB!C129,'HARGA SATUAN'!$C$7:$C$1495,0),0)),"",OFFSET('HARGA SATUAN'!$D$6,MATCH(RAB!C129,'HARGA SATUAN'!$C$7:$C$1495,0),0))</f>
        <v>JASA</v>
      </c>
      <c r="E129" s="306" t="str">
        <f ca="1">IF(B129="+","Unit",IF(ISERROR(OFFSET('HARGA SATUAN'!$E$6,MATCH(RAB!C129,'HARGA SATUAN'!$C$7:$C$1495,0),0)),"",OFFSET('HARGA SATUAN'!$E$6,MATCH(RAB!C129,'HARGA SATUAN'!$C$7:$C$1495,0),0)))</f>
        <v>Unit</v>
      </c>
      <c r="F129" s="452">
        <f>F124*1</f>
        <v>1</v>
      </c>
      <c r="G129" s="307">
        <f ca="1">IF(ISERROR(OFFSET('HARGA SATUAN'!$I$6,MATCH(RAB!C129,'HARGA SATUAN'!$C$7:$C$1495,0),0)),0,OFFSET('HARGA SATUAN'!$I$6,MATCH(RAB!C129,'HARGA SATUAN'!$C$7:$C$1495,0),0))</f>
        <v>56400</v>
      </c>
      <c r="H129" s="308">
        <f t="shared" ca="1" si="30"/>
        <v>0</v>
      </c>
      <c r="I129" s="308">
        <f t="shared" ca="1" si="31"/>
        <v>0</v>
      </c>
      <c r="J129" s="308">
        <f t="shared" ca="1" si="32"/>
        <v>56400</v>
      </c>
      <c r="K129" s="309">
        <f t="shared" ca="1" si="33"/>
        <v>56400</v>
      </c>
      <c r="L129" s="316"/>
      <c r="M129" s="289" t="str">
        <f t="shared" ca="1" si="21"/>
        <v/>
      </c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>
      <c r="B130" s="321"/>
      <c r="C130" s="320"/>
      <c r="D130" s="305" t="str">
        <f ca="1">IF(ISERROR(OFFSET('HARGA SATUAN'!$D$6,MATCH(RAB!C130,'HARGA SATUAN'!$C$7:$C$1495,0),0)),"",OFFSET('HARGA SATUAN'!$D$6,MATCH(RAB!C130,'HARGA SATUAN'!$C$7:$C$1495,0),0))</f>
        <v/>
      </c>
      <c r="E130" s="306" t="str">
        <f ca="1">IF(B130="+","Unit",IF(ISERROR(OFFSET('HARGA SATUAN'!$E$6,MATCH(RAB!C130,'HARGA SATUAN'!$C$7:$C$1495,0),0)),"",OFFSET('HARGA SATUAN'!$E$6,MATCH(RAB!C130,'HARGA SATUAN'!$C$7:$C$1495,0),0)))</f>
        <v/>
      </c>
      <c r="F130" s="315"/>
      <c r="G130" s="307">
        <f ca="1">IF(ISERROR(OFFSET('HARGA SATUAN'!$I$6,MATCH(RAB!C130,'HARGA SATUAN'!$C$7:$C$1495,0),0)),0,OFFSET('HARGA SATUAN'!$I$6,MATCH(RAB!C130,'HARGA SATUAN'!$C$7:$C$1495,0),0))</f>
        <v>0</v>
      </c>
      <c r="H130" s="308">
        <f t="shared" ca="1" si="30"/>
        <v>0</v>
      </c>
      <c r="I130" s="308">
        <f t="shared" ca="1" si="31"/>
        <v>0</v>
      </c>
      <c r="J130" s="308">
        <f t="shared" ca="1" si="32"/>
        <v>0</v>
      </c>
      <c r="K130" s="309">
        <f t="shared" ca="1" si="33"/>
        <v>0</v>
      </c>
      <c r="M130" s="289" t="str">
        <f t="shared" ca="1" si="21"/>
        <v/>
      </c>
    </row>
    <row r="131" spans="1:22">
      <c r="B131" s="322"/>
      <c r="C131" s="323" t="s">
        <v>475</v>
      </c>
      <c r="D131" s="305" t="str">
        <f ca="1">IF(ISERROR(OFFSET('HARGA SATUAN'!$D$6,MATCH(RAB!C131,'HARGA SATUAN'!$C$7:$C$1495,0),0)),"",OFFSET('HARGA SATUAN'!$D$6,MATCH(RAB!C131,'HARGA SATUAN'!$C$7:$C$1495,0),0))</f>
        <v/>
      </c>
      <c r="E131" s="306" t="str">
        <f ca="1">IF(B131="+","Unit",IF(ISERROR(OFFSET('HARGA SATUAN'!$E$6,MATCH(RAB!C131,'HARGA SATUAN'!$C$7:$C$1495,0),0)),"",OFFSET('HARGA SATUAN'!$E$6,MATCH(RAB!C131,'HARGA SATUAN'!$C$7:$C$1495,0),0)))</f>
        <v/>
      </c>
      <c r="F131" s="315"/>
      <c r="G131" s="307">
        <f ca="1">IF(ISERROR(OFFSET('HARGA SATUAN'!$I$6,MATCH(RAB!C131,'HARGA SATUAN'!$C$7:$C$1495,0),0)),0,OFFSET('HARGA SATUAN'!$I$6,MATCH(RAB!C131,'HARGA SATUAN'!$C$7:$C$1495,0),0))</f>
        <v>0</v>
      </c>
      <c r="H131" s="308">
        <f t="shared" ca="1" si="26"/>
        <v>0</v>
      </c>
      <c r="I131" s="308">
        <f t="shared" ca="1" si="27"/>
        <v>0</v>
      </c>
      <c r="J131" s="308">
        <f t="shared" ca="1" si="28"/>
        <v>0</v>
      </c>
      <c r="K131" s="309">
        <f t="shared" ca="1" si="29"/>
        <v>0</v>
      </c>
      <c r="M131" s="289" t="e">
        <f>IF(AND(F131&gt;0,#REF!=0),"",IF(AND(ISBLANK(F131)=FALSE,K131=0),"WARNING",""))</f>
        <v>#REF!</v>
      </c>
    </row>
    <row r="132" spans="1:22">
      <c r="B132" s="325">
        <v>1</v>
      </c>
      <c r="C132" s="326" t="s">
        <v>1091</v>
      </c>
      <c r="D132" s="327" t="str">
        <f ca="1">IF(ISERROR(OFFSET('HARGA SATUAN'!$D$6,MATCH(RAB!C132,'HARGA SATUAN'!$C$7:$C$1495,0),0)),"",OFFSET('HARGA SATUAN'!$D$6,MATCH(RAB!C132,'HARGA SATUAN'!$C$7:$C$1495,0),0))</f>
        <v>JASA</v>
      </c>
      <c r="E132" s="328" t="str">
        <f ca="1">IF(ISERROR(OFFSET('HARGA SATUAN'!$E$6,MATCH(RAB!C132,'HARGA SATUAN'!$C$7:$C$1495,0),0)),"",OFFSET('HARGA SATUAN'!$E$6,MATCH(RAB!C132,'HARGA SATUAN'!$C$7:$C$1495,0),0))</f>
        <v>Lot</v>
      </c>
      <c r="F132" s="329">
        <v>1</v>
      </c>
      <c r="G132" s="330">
        <f ca="1">IF(ISERROR(OFFSET('HARGA SATUAN'!$I$6,MATCH(RAB!C132,'HARGA SATUAN'!$C$7:$C$1495,0),0)),0,OFFSET('HARGA SATUAN'!$I$6,MATCH(RAB!C132,'HARGA SATUAN'!$C$7:$C$1495,0),0))</f>
        <v>2.5000000000000001E-2</v>
      </c>
      <c r="H132" s="331">
        <f ca="1">SUM(H14:H131)*G132</f>
        <v>3168551.25</v>
      </c>
      <c r="I132" s="331">
        <f ca="1">SUM(I14:I131)*G132</f>
        <v>872892.75950000016</v>
      </c>
      <c r="J132" s="331">
        <f ca="1">SUM(J14:J131)*G132</f>
        <v>120749.16666666666</v>
      </c>
      <c r="K132" s="331">
        <f ca="1">SUM(K14:K131)*G132</f>
        <v>4162193.1761666671</v>
      </c>
      <c r="M132" s="289" t="str">
        <f t="shared" ref="M132" si="38">IF(AND(F132&gt;0,F131=0),"",IF(AND(ISBLANK(F132)=FALSE,K132=0),"WARNING",""))</f>
        <v/>
      </c>
    </row>
    <row r="133" spans="1:22">
      <c r="B133" s="332"/>
      <c r="C133" s="333"/>
      <c r="D133" s="305" t="str">
        <f ca="1">IF(ISERROR(OFFSET('HARGA SATUAN'!$D$6,MATCH(RAB!C133,'HARGA SATUAN'!$C$7:$C$1495,0),0)),"",OFFSET('HARGA SATUAN'!$D$6,MATCH(RAB!C133,'HARGA SATUAN'!$C$7:$C$1495,0),0))</f>
        <v/>
      </c>
      <c r="E133" s="306" t="str">
        <f ca="1">IF(ISERROR(OFFSET('HARGA SATUAN'!$E$6,MATCH(RAB!C133,'HARGA SATUAN'!$C$7:$C$1495,0),0)),"",OFFSET('HARGA SATUAN'!$E$6,MATCH(RAB!C133,'HARGA SATUAN'!$C$7:$C$1495,0),0))</f>
        <v/>
      </c>
      <c r="F133" s="324"/>
      <c r="G133" s="307" t="str">
        <f ca="1">IF(ISERROR(OFFSET('HARGA SATUAN'!$I$6,MATCH(RAB!C133,'HARGA SATUAN'!$C$7:$C$1495,0),0)),"",OFFSET('HARGA SATUAN'!$I$6,MATCH(RAB!C133,'HARGA SATUAN'!$C$7:$C$1495,0),0))</f>
        <v/>
      </c>
      <c r="H133" s="308">
        <f ca="1">IF(OR(D133="MDU",D133="MDU-KD"),IF(G133="PLN",0,G133*F133),0)</f>
        <v>0</v>
      </c>
      <c r="I133" s="308">
        <f ca="1">IF(D133="HDW",IF(G133="PLN",0,G133*F133),0)</f>
        <v>0</v>
      </c>
      <c r="J133" s="308">
        <f ca="1">IF(D133="JASA",IF(G133="PLN",0,G133*F133),0)</f>
        <v>0</v>
      </c>
      <c r="K133" s="309">
        <f ca="1">SUM(H133:J133)</f>
        <v>0</v>
      </c>
    </row>
    <row r="134" spans="1:22" ht="15.75" thickBot="1">
      <c r="B134" s="334"/>
      <c r="C134" s="335"/>
      <c r="D134" s="336"/>
      <c r="E134" s="337"/>
      <c r="F134" s="337"/>
      <c r="G134" s="337"/>
      <c r="H134" s="338"/>
      <c r="I134" s="338"/>
      <c r="J134" s="338"/>
      <c r="K134" s="339"/>
    </row>
    <row r="135" spans="1:22">
      <c r="B135" s="340"/>
      <c r="C135" s="645" t="s">
        <v>1008</v>
      </c>
      <c r="D135" s="645"/>
      <c r="E135" s="645"/>
      <c r="F135" s="645"/>
      <c r="G135" s="341" t="s">
        <v>9</v>
      </c>
      <c r="H135" s="342">
        <f ca="1">SUM(H14:H133)</f>
        <v>129910601.25</v>
      </c>
      <c r="I135" s="342">
        <f ca="1">SUM(I14:I133)</f>
        <v>35788603.1395</v>
      </c>
      <c r="J135" s="342">
        <f ca="1">SUM(J14:J133)</f>
        <v>4950715.833333333</v>
      </c>
      <c r="K135" s="342">
        <f ca="1">SUM(K14:K133)</f>
        <v>170649920.22283334</v>
      </c>
    </row>
    <row r="136" spans="1:22">
      <c r="B136" s="343"/>
      <c r="C136" s="628" t="s">
        <v>1455</v>
      </c>
      <c r="D136" s="628"/>
      <c r="E136" s="628"/>
      <c r="F136" s="628"/>
      <c r="G136" s="344" t="s">
        <v>9</v>
      </c>
      <c r="H136" s="345">
        <f ca="1">H135*0.11</f>
        <v>14290166.137499999</v>
      </c>
      <c r="I136" s="345">
        <f ca="1">I135*0.11</f>
        <v>3936746.3453449998</v>
      </c>
      <c r="J136" s="345">
        <f ca="1">J135*0.11</f>
        <v>544578.74166666658</v>
      </c>
      <c r="K136" s="345">
        <f ca="1">K135*0.11</f>
        <v>18771491.224511668</v>
      </c>
    </row>
    <row r="137" spans="1:22" ht="15.75" thickBot="1">
      <c r="B137" s="343"/>
      <c r="C137" s="625" t="s">
        <v>463</v>
      </c>
      <c r="D137" s="625"/>
      <c r="E137" s="625"/>
      <c r="F137" s="625"/>
      <c r="G137" s="346" t="s">
        <v>9</v>
      </c>
      <c r="H137" s="347">
        <f ca="1">SUM(H135:H136)</f>
        <v>144200767.38749999</v>
      </c>
      <c r="I137" s="347">
        <f ca="1">SUM(I135:I136)</f>
        <v>39725349.484844998</v>
      </c>
      <c r="J137" s="346">
        <f ca="1">SUM(J135:J136)</f>
        <v>5495294.5749999993</v>
      </c>
      <c r="K137" s="346">
        <f ca="1">SUM(K135:K136)</f>
        <v>189421411.44734502</v>
      </c>
      <c r="M137" s="411">
        <v>201265205.30690998</v>
      </c>
    </row>
    <row r="138" spans="1:22">
      <c r="B138" s="629" t="str">
        <f ca="1">"Terbilang : "&amp;PROPER(IF(K137=0,"nol",IF(K137&lt;0,"minus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IF(--MID(TEXT(ABS(K137),"000000000000000"),1,3)=0,"",MID(TEXT(ABS(K137),"000000000000000"),1,1)&amp;" ratus "&amp;MID(TEXT(ABS(K137),"000000000000000"),2,1)&amp;" puluh "&amp;MID(TEXT(ABS(K137),"000000000000000"),3,1)&amp;" trilyun ")&amp; IF(--MID(TEXT(ABS(K137),"000000000000000"),4,3)=0,"",MID(TEXT(ABS(K137),"000000000000000"),4,1)&amp;" ratus "&amp;MID(TEXT(ABS(K137),"000000000000000"),5,1)&amp;" puluh "&amp;MID(TEXT(ABS(K137),"000000000000000"),6,1)&amp;" milyar ")&amp; IF(--MID(TEXT(ABS(K137),"000000000000000"),7,3)=0,"",MID(TEXT(ABS(K137),"000000000000000"),7,1)&amp;" ratus "&amp;MID(TEXT(ABS(K137),"000000000000000"),8,1)&amp;" puluh "&amp;MID(TEXT(ABS(K137),"000000000000000"),9,1)&amp;" juta ")&amp; IF(--MID(TEXT(ABS(K137),"000000000000000"),10,3)=0,"",IF(--MID(TEXT(ABS(K137),"000000000000000"),10,3)=1,"*",MID(TEXT(ABS(K137),"000000000000000"),10,1)&amp;" ratus "&amp;MID(TEXT(ABS(K137),"000000000000000"),11,1)&amp;" puluh ")&amp;MID(TEXT(ABS(K137),"000000000000000"),12,1)&amp;" ribu ")&amp; IF(--MID(TEXT(ABS(K137),"000000000000000"),13,3)=0,"",MID(TEXT(ABS(K137),"000000000000000"),13,1)&amp;" ratus "&amp;MID(TEXT(ABS(K137),"000000000000000"),14,1)&amp;" puluh "&amp;MID(TEXT(ABS(K137),"000000000000000"),15,1)),1,"satu"),2,"dua"),3,"tiga"),4,"empat"),5,"lima"),6,"enam"),7,"tujuh"),8,"delapan"),9,"sembilan"),"0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Delapan Puluh Sembilan Juta Empat Ratus Dua Puluh Satu Ribu Empat Ratus Sebelas Rupiah</v>
      </c>
      <c r="C138" s="630"/>
      <c r="D138" s="630"/>
      <c r="E138" s="630"/>
      <c r="F138" s="630"/>
      <c r="G138" s="630"/>
      <c r="H138" s="630"/>
      <c r="I138" s="630"/>
      <c r="J138" s="630"/>
      <c r="K138" s="631"/>
    </row>
    <row r="139" spans="1:22">
      <c r="B139" s="632"/>
      <c r="C139" s="633"/>
      <c r="D139" s="633"/>
      <c r="E139" s="633"/>
      <c r="F139" s="633"/>
      <c r="G139" s="633"/>
      <c r="H139" s="633"/>
      <c r="I139" s="633"/>
      <c r="J139" s="633"/>
      <c r="K139" s="634"/>
    </row>
    <row r="140" spans="1:22" ht="15.75" thickBot="1">
      <c r="B140" s="348" t="str">
        <f>"Harga yang dipakai adalah "&amp;'HARGA SATUAN'!I5&amp;""</f>
        <v>Harga yang dipakai adalah RAB HSS 2023</v>
      </c>
      <c r="C140" s="349"/>
      <c r="D140" s="350"/>
      <c r="E140" s="350"/>
      <c r="F140" s="350"/>
      <c r="G140" s="351"/>
      <c r="H140" s="351"/>
      <c r="I140" s="351"/>
      <c r="J140" s="351"/>
      <c r="K140" s="352"/>
    </row>
    <row r="141" spans="1:22">
      <c r="C141" s="353"/>
      <c r="E141" s="355"/>
      <c r="F141" s="355"/>
      <c r="G141" s="355"/>
    </row>
    <row r="142" spans="1:22">
      <c r="C142" s="284"/>
      <c r="E142" s="355"/>
      <c r="F142" s="355"/>
      <c r="G142" s="355"/>
      <c r="H142" s="635"/>
      <c r="I142" s="635"/>
      <c r="J142" s="636"/>
      <c r="K142" s="636"/>
    </row>
    <row r="143" spans="1:22">
      <c r="C143" s="284"/>
      <c r="E143" s="355"/>
      <c r="F143" s="355"/>
      <c r="G143" s="355"/>
      <c r="H143" s="356"/>
      <c r="I143" s="624" t="s">
        <v>1616</v>
      </c>
      <c r="J143" s="624"/>
      <c r="K143" s="624"/>
    </row>
    <row r="144" spans="1:22">
      <c r="C144" s="284"/>
      <c r="E144" s="355"/>
      <c r="F144" s="355"/>
      <c r="G144" s="355"/>
      <c r="H144" s="356"/>
      <c r="I144" s="624" t="s">
        <v>1611</v>
      </c>
      <c r="J144" s="624"/>
      <c r="K144" s="624"/>
    </row>
    <row r="145" spans="3:11">
      <c r="C145" s="284"/>
      <c r="E145" s="355"/>
      <c r="F145" s="355"/>
      <c r="G145" s="355"/>
      <c r="H145" s="357"/>
      <c r="I145" s="358"/>
      <c r="J145" s="358"/>
      <c r="K145" s="358"/>
    </row>
    <row r="146" spans="3:11">
      <c r="C146" s="284"/>
      <c r="E146" s="355"/>
      <c r="F146" s="355"/>
      <c r="G146" s="355"/>
      <c r="H146" s="357"/>
      <c r="I146" s="357"/>
      <c r="J146" s="357"/>
      <c r="K146" s="357"/>
    </row>
    <row r="147" spans="3:11">
      <c r="C147" s="284"/>
      <c r="E147" s="355"/>
      <c r="F147" s="355"/>
      <c r="G147" s="355"/>
      <c r="H147" s="357"/>
      <c r="I147" s="357"/>
      <c r="J147" s="357"/>
      <c r="K147" s="357"/>
    </row>
    <row r="148" spans="3:11">
      <c r="C148" s="284"/>
      <c r="E148" s="355"/>
      <c r="F148" s="355"/>
      <c r="G148" s="355"/>
      <c r="H148" s="357"/>
      <c r="I148" s="357"/>
      <c r="J148" s="357"/>
      <c r="K148" s="357"/>
    </row>
    <row r="149" spans="3:11">
      <c r="C149" s="284"/>
      <c r="E149" s="355"/>
      <c r="F149" s="355"/>
      <c r="G149" s="355"/>
      <c r="H149" s="359"/>
      <c r="I149" s="624" t="s">
        <v>1612</v>
      </c>
      <c r="J149" s="624"/>
      <c r="K149" s="624"/>
    </row>
    <row r="150" spans="3:11">
      <c r="C150" s="353"/>
      <c r="E150" s="355"/>
      <c r="F150" s="355"/>
      <c r="G150" s="355"/>
      <c r="H150" s="357"/>
      <c r="I150" s="357"/>
      <c r="J150" s="357"/>
      <c r="K150" s="357"/>
    </row>
    <row r="151" spans="3:11">
      <c r="C151" s="353"/>
      <c r="E151" s="355"/>
      <c r="F151" s="355"/>
      <c r="G151" s="355"/>
      <c r="H151" s="357"/>
      <c r="I151" s="357"/>
      <c r="J151" s="357"/>
      <c r="K151" s="357"/>
    </row>
    <row r="152" spans="3:11">
      <c r="C152" s="353"/>
      <c r="E152" s="355"/>
      <c r="F152" s="355"/>
      <c r="G152" s="355"/>
      <c r="H152" s="357"/>
      <c r="I152" s="357"/>
      <c r="J152" s="357"/>
      <c r="K152" s="357"/>
    </row>
  </sheetData>
  <sheetProtection sort="0" autoFilter="0"/>
  <protectedRanges>
    <protectedRange sqref="B116:C116 B15 B16:C16 B115 B18 B94:C114 B19:C20 B22:C37 B21 B38 B39:C91 B17" name="Range1_6_1"/>
    <protectedRange sqref="C115" name="Range1_6_1_10"/>
    <protectedRange sqref="B123:C129 B117:B122" name="Range1_6_1_11"/>
    <protectedRange sqref="B92:C93" name="Range1_6_1_15"/>
    <protectedRange sqref="C117:C120 C122" name="Range1_6_1_18"/>
    <protectedRange sqref="C121" name="Range1_1_3_3"/>
    <protectedRange sqref="C21" name="Range1_1_3_2"/>
    <protectedRange sqref="C38" name="Range1_1_3_4"/>
    <protectedRange sqref="C17" name="Range1_1_3_5"/>
    <protectedRange sqref="C18" name="Range1_1_3_6"/>
  </protectedRanges>
  <mergeCells count="22">
    <mergeCell ref="O3:P4"/>
    <mergeCell ref="B4:K4"/>
    <mergeCell ref="C135:F135"/>
    <mergeCell ref="B11:B13"/>
    <mergeCell ref="C11:C13"/>
    <mergeCell ref="D11:D13"/>
    <mergeCell ref="E11:E13"/>
    <mergeCell ref="F11:F13"/>
    <mergeCell ref="G11:G13"/>
    <mergeCell ref="I12:I13"/>
    <mergeCell ref="I144:K144"/>
    <mergeCell ref="I149:K149"/>
    <mergeCell ref="C137:F137"/>
    <mergeCell ref="G6:K6"/>
    <mergeCell ref="I143:K143"/>
    <mergeCell ref="C136:F136"/>
    <mergeCell ref="B138:K139"/>
    <mergeCell ref="H142:K142"/>
    <mergeCell ref="H11:K11"/>
    <mergeCell ref="H12:H13"/>
    <mergeCell ref="J12:J13"/>
    <mergeCell ref="K12:K13"/>
  </mergeCells>
  <phoneticPr fontId="134" type="noConversion"/>
  <conditionalFormatting sqref="C15">
    <cfRule type="cellIs" dxfId="10" priority="100" operator="equal">
      <formula>0</formula>
    </cfRule>
  </conditionalFormatting>
  <conditionalFormatting sqref="C17:C18">
    <cfRule type="cellIs" dxfId="9" priority="6" operator="equal">
      <formula>0</formula>
    </cfRule>
  </conditionalFormatting>
  <conditionalFormatting sqref="C21">
    <cfRule type="cellIs" dxfId="8" priority="2" operator="equal">
      <formula>0</formula>
    </cfRule>
  </conditionalFormatting>
  <conditionalFormatting sqref="C25">
    <cfRule type="cellIs" dxfId="7" priority="1" operator="equal">
      <formula>0</formula>
    </cfRule>
  </conditionalFormatting>
  <conditionalFormatting sqref="C68:C70 C72:C84">
    <cfRule type="cellIs" dxfId="6" priority="11" stopIfTrue="1" operator="equal">
      <formula>0</formula>
    </cfRule>
  </conditionalFormatting>
  <conditionalFormatting sqref="C85">
    <cfRule type="cellIs" dxfId="5" priority="10" operator="equal">
      <formula>0</formula>
    </cfRule>
  </conditionalFormatting>
  <conditionalFormatting sqref="C118">
    <cfRule type="cellIs" dxfId="4" priority="4" operator="equal">
      <formula>0</formula>
    </cfRule>
  </conditionalFormatting>
  <conditionalFormatting sqref="E1:E3 E5:E13 H12:I12 O13 S14:V129 E132:G132 H132:K134 E133:H133 E134:F134">
    <cfRule type="cellIs" dxfId="3" priority="1144" stopIfTrue="1" operator="equal">
      <formula>0</formula>
    </cfRule>
  </conditionalFormatting>
  <conditionalFormatting sqref="E14:K131">
    <cfRule type="cellIs" dxfId="2" priority="3" stopIfTrue="1" operator="equal">
      <formula>0</formula>
    </cfRule>
  </conditionalFormatting>
  <conditionalFormatting sqref="G1:G13">
    <cfRule type="cellIs" dxfId="1" priority="69" stopIfTrue="1" operator="equal">
      <formula>0</formula>
    </cfRule>
  </conditionalFormatting>
  <conditionalFormatting sqref="G133:G65599 E138:E65599">
    <cfRule type="cellIs" dxfId="0" priority="278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24:F129 F115 F16:F113 H14:K134 C22:C2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32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0" zoomScale="90" zoomScaleNormal="90" zoomScaleSheetLayoutView="100" workbookViewId="0">
      <selection activeCell="P29" sqref="P29"/>
    </sheetView>
  </sheetViews>
  <sheetFormatPr defaultColWidth="9.140625" defaultRowHeight="12"/>
  <cols>
    <col min="1" max="2" width="1.42578125" style="463" customWidth="1"/>
    <col min="3" max="3" width="7.42578125" style="463" customWidth="1"/>
    <col min="4" max="23" width="5.7109375" style="463" customWidth="1"/>
    <col min="24" max="24" width="6.28515625" style="463" customWidth="1"/>
    <col min="25" max="26" width="5.7109375" style="463" customWidth="1"/>
    <col min="27" max="27" width="6.5703125" style="463" customWidth="1"/>
    <col min="28" max="118" width="5.7109375" style="463" customWidth="1"/>
    <col min="119" max="16384" width="9.140625" style="463"/>
  </cols>
  <sheetData>
    <row r="1" spans="3:30" ht="12.75" thickBot="1"/>
    <row r="2" spans="3:30" ht="12.75" customHeight="1">
      <c r="C2" s="464"/>
      <c r="D2" s="465"/>
      <c r="E2" s="465"/>
      <c r="F2" s="465"/>
      <c r="G2" s="465"/>
      <c r="H2" s="465"/>
      <c r="I2" s="465"/>
      <c r="J2" s="465"/>
      <c r="K2" s="465"/>
      <c r="L2" s="465"/>
      <c r="M2" s="465"/>
      <c r="N2" s="465"/>
      <c r="O2" s="465"/>
      <c r="P2" s="465"/>
      <c r="Q2" s="465"/>
      <c r="R2" s="465"/>
      <c r="S2" s="465"/>
      <c r="T2" s="465"/>
      <c r="U2" s="465"/>
      <c r="V2" s="465"/>
      <c r="W2" s="654" t="s">
        <v>1438</v>
      </c>
      <c r="X2" s="655"/>
      <c r="Y2" s="655"/>
      <c r="Z2" s="655"/>
      <c r="AA2" s="655"/>
      <c r="AB2" s="655"/>
      <c r="AC2" s="655"/>
      <c r="AD2" s="656"/>
    </row>
    <row r="3" spans="3:30">
      <c r="C3" s="466"/>
      <c r="W3" s="657"/>
      <c r="X3" s="658"/>
      <c r="Y3" s="658"/>
      <c r="Z3" s="658"/>
      <c r="AA3" s="658"/>
      <c r="AB3" s="658"/>
      <c r="AC3" s="658"/>
      <c r="AD3" s="659"/>
    </row>
    <row r="4" spans="3:30">
      <c r="C4" s="466"/>
      <c r="G4" s="467" t="s">
        <v>1631</v>
      </c>
      <c r="W4" s="468" t="s">
        <v>987</v>
      </c>
      <c r="AD4" s="469"/>
    </row>
    <row r="5" spans="3:30">
      <c r="C5" s="466"/>
      <c r="W5" s="470" t="s">
        <v>991</v>
      </c>
      <c r="X5" s="660" t="s">
        <v>990</v>
      </c>
      <c r="Y5" s="660"/>
      <c r="Z5" s="660"/>
      <c r="AA5" s="660" t="s">
        <v>988</v>
      </c>
      <c r="AB5" s="660"/>
      <c r="AC5" s="660" t="s">
        <v>989</v>
      </c>
      <c r="AD5" s="661"/>
    </row>
    <row r="6" spans="3:30">
      <c r="C6" s="466"/>
      <c r="W6" s="470">
        <v>1</v>
      </c>
      <c r="X6" s="660" t="s">
        <v>993</v>
      </c>
      <c r="Y6" s="660"/>
      <c r="Z6" s="660"/>
      <c r="AA6" s="660"/>
      <c r="AB6" s="660"/>
      <c r="AC6" s="660"/>
      <c r="AD6" s="661"/>
    </row>
    <row r="7" spans="3:30">
      <c r="C7" s="466"/>
      <c r="W7" s="470">
        <v>2</v>
      </c>
      <c r="X7" s="660" t="s">
        <v>994</v>
      </c>
      <c r="Y7" s="660"/>
      <c r="Z7" s="660"/>
      <c r="AA7" s="660"/>
      <c r="AB7" s="660"/>
      <c r="AC7" s="660"/>
      <c r="AD7" s="661"/>
    </row>
    <row r="8" spans="3:30">
      <c r="C8" s="466"/>
      <c r="W8" s="470">
        <v>3</v>
      </c>
      <c r="X8" s="660" t="s">
        <v>995</v>
      </c>
      <c r="Y8" s="660"/>
      <c r="Z8" s="660"/>
      <c r="AA8" s="660"/>
      <c r="AB8" s="660"/>
      <c r="AC8" s="660"/>
      <c r="AD8" s="661"/>
    </row>
    <row r="9" spans="3:30">
      <c r="C9" s="466"/>
      <c r="W9" s="470">
        <v>4</v>
      </c>
      <c r="X9" s="660" t="s">
        <v>996</v>
      </c>
      <c r="Y9" s="660"/>
      <c r="Z9" s="660"/>
      <c r="AA9" s="660"/>
      <c r="AB9" s="660"/>
      <c r="AC9" s="660"/>
      <c r="AD9" s="661"/>
    </row>
    <row r="10" spans="3:30">
      <c r="C10" s="466"/>
      <c r="W10" s="470">
        <v>5</v>
      </c>
      <c r="X10" s="660" t="s">
        <v>997</v>
      </c>
      <c r="Y10" s="660"/>
      <c r="Z10" s="660"/>
      <c r="AA10" s="660"/>
      <c r="AB10" s="660"/>
      <c r="AC10" s="660"/>
      <c r="AD10" s="661"/>
    </row>
    <row r="11" spans="3:30">
      <c r="C11" s="466"/>
      <c r="W11" s="470">
        <v>6</v>
      </c>
      <c r="X11" s="660" t="s">
        <v>998</v>
      </c>
      <c r="Y11" s="660"/>
      <c r="Z11" s="660"/>
      <c r="AA11" s="660"/>
      <c r="AB11" s="660"/>
      <c r="AC11" s="660"/>
      <c r="AD11" s="661"/>
    </row>
    <row r="12" spans="3:30">
      <c r="C12" s="466"/>
      <c r="W12" s="470">
        <v>7</v>
      </c>
      <c r="X12" s="660" t="s">
        <v>999</v>
      </c>
      <c r="Y12" s="660"/>
      <c r="Z12" s="660"/>
      <c r="AA12" s="660"/>
      <c r="AB12" s="660"/>
      <c r="AC12" s="660"/>
      <c r="AD12" s="661"/>
    </row>
    <row r="13" spans="3:30" ht="12.75" customHeight="1">
      <c r="C13" s="466"/>
      <c r="W13" s="470">
        <v>8</v>
      </c>
      <c r="X13" s="660" t="s">
        <v>1000</v>
      </c>
      <c r="Y13" s="660"/>
      <c r="Z13" s="660"/>
      <c r="AA13" s="660"/>
      <c r="AB13" s="660"/>
      <c r="AC13" s="660"/>
      <c r="AD13" s="661"/>
    </row>
    <row r="14" spans="3:30">
      <c r="C14" s="466"/>
      <c r="W14" s="470">
        <v>9</v>
      </c>
      <c r="X14" s="660" t="s">
        <v>1001</v>
      </c>
      <c r="Y14" s="660"/>
      <c r="Z14" s="660"/>
      <c r="AA14" s="660"/>
      <c r="AB14" s="660"/>
      <c r="AC14" s="660"/>
      <c r="AD14" s="661"/>
    </row>
    <row r="15" spans="3:30">
      <c r="C15" s="466"/>
      <c r="W15" s="470">
        <v>10</v>
      </c>
      <c r="X15" s="660" t="s">
        <v>1010</v>
      </c>
      <c r="Y15" s="660"/>
      <c r="Z15" s="660"/>
      <c r="AA15" s="660"/>
      <c r="AB15" s="660"/>
      <c r="AC15" s="660"/>
      <c r="AD15" s="661"/>
    </row>
    <row r="16" spans="3:30">
      <c r="C16" s="466"/>
      <c r="W16" s="470">
        <v>11</v>
      </c>
      <c r="X16" s="660" t="s">
        <v>1454</v>
      </c>
      <c r="Y16" s="660"/>
      <c r="Z16" s="660"/>
      <c r="AA16" s="660"/>
      <c r="AB16" s="660"/>
      <c r="AC16" s="660"/>
      <c r="AD16" s="661"/>
    </row>
    <row r="17" spans="3:30">
      <c r="C17" s="466"/>
      <c r="S17" s="472"/>
      <c r="W17" s="470">
        <v>12</v>
      </c>
      <c r="X17" s="660" t="s">
        <v>1011</v>
      </c>
      <c r="Y17" s="660"/>
      <c r="Z17" s="660"/>
      <c r="AA17" s="660"/>
      <c r="AB17" s="660"/>
      <c r="AC17" s="660"/>
      <c r="AD17" s="661"/>
    </row>
    <row r="18" spans="3:30">
      <c r="C18" s="473"/>
      <c r="D18" s="474"/>
      <c r="E18" s="474"/>
      <c r="W18" s="470">
        <v>13</v>
      </c>
      <c r="X18" s="660"/>
      <c r="Y18" s="660"/>
      <c r="Z18" s="660"/>
      <c r="AA18" s="660"/>
      <c r="AB18" s="660"/>
      <c r="AC18" s="660"/>
      <c r="AD18" s="661"/>
    </row>
    <row r="19" spans="3:30">
      <c r="C19" s="466"/>
      <c r="W19" s="475"/>
      <c r="X19" s="670"/>
      <c r="Y19" s="670"/>
      <c r="Z19" s="670"/>
      <c r="AA19" s="670"/>
      <c r="AB19" s="670"/>
      <c r="AC19" s="670"/>
      <c r="AD19" s="671"/>
    </row>
    <row r="20" spans="3:30">
      <c r="C20" s="466"/>
      <c r="Q20" s="476"/>
      <c r="W20" s="672" t="s">
        <v>992</v>
      </c>
      <c r="X20" s="673"/>
      <c r="Y20" s="673"/>
      <c r="Z20" s="673"/>
      <c r="AA20" s="673"/>
      <c r="AB20" s="673"/>
      <c r="AC20" s="673"/>
      <c r="AD20" s="674"/>
    </row>
    <row r="21" spans="3:30">
      <c r="C21" s="466"/>
      <c r="W21" s="675" t="s">
        <v>985</v>
      </c>
      <c r="X21" s="676"/>
      <c r="Y21" s="676"/>
      <c r="Z21" s="677"/>
      <c r="AA21" s="678" t="s">
        <v>986</v>
      </c>
      <c r="AB21" s="679"/>
      <c r="AC21" s="679"/>
      <c r="AD21" s="680"/>
    </row>
    <row r="22" spans="3:30">
      <c r="C22" s="466"/>
      <c r="S22" s="477"/>
      <c r="W22" s="662" t="s">
        <v>1640</v>
      </c>
      <c r="X22" s="663"/>
      <c r="Y22" s="478" t="s">
        <v>1617</v>
      </c>
      <c r="Z22" s="479">
        <v>1</v>
      </c>
      <c r="AA22" s="664"/>
      <c r="AB22" s="665"/>
      <c r="AC22" s="480"/>
      <c r="AD22" s="481"/>
    </row>
    <row r="23" spans="3:30">
      <c r="C23" s="466"/>
      <c r="W23" s="662" t="s">
        <v>1618</v>
      </c>
      <c r="X23" s="663"/>
      <c r="Y23" s="478" t="s">
        <v>1617</v>
      </c>
      <c r="Z23" s="479">
        <v>1</v>
      </c>
      <c r="AA23" s="666"/>
      <c r="AB23" s="667"/>
      <c r="AC23" s="480"/>
      <c r="AD23" s="481"/>
    </row>
    <row r="24" spans="3:30">
      <c r="C24" s="466"/>
      <c r="W24" s="662" t="s">
        <v>1626</v>
      </c>
      <c r="X24" s="663"/>
      <c r="Y24" s="478" t="s">
        <v>1627</v>
      </c>
      <c r="Z24" s="479">
        <v>1</v>
      </c>
      <c r="AA24" s="668"/>
      <c r="AB24" s="669"/>
      <c r="AC24" s="480"/>
      <c r="AD24" s="481"/>
    </row>
    <row r="25" spans="3:30">
      <c r="C25" s="466"/>
      <c r="W25" s="662" t="s">
        <v>1628</v>
      </c>
      <c r="X25" s="663"/>
      <c r="Y25" s="478" t="s">
        <v>1617</v>
      </c>
      <c r="Z25" s="479">
        <v>1</v>
      </c>
      <c r="AA25" s="666"/>
      <c r="AB25" s="667"/>
      <c r="AC25" s="480"/>
      <c r="AD25" s="481"/>
    </row>
    <row r="26" spans="3:30">
      <c r="C26" s="466"/>
      <c r="W26" s="683" t="s">
        <v>1629</v>
      </c>
      <c r="X26" s="684"/>
      <c r="Y26" s="478" t="s">
        <v>1617</v>
      </c>
      <c r="Z26" s="479">
        <v>1</v>
      </c>
      <c r="AA26" s="666"/>
      <c r="AB26" s="667"/>
      <c r="AC26" s="480"/>
      <c r="AD26" s="481"/>
    </row>
    <row r="27" spans="3:30">
      <c r="C27" s="466"/>
      <c r="W27" s="683" t="s">
        <v>1641</v>
      </c>
      <c r="X27" s="684"/>
      <c r="Y27" s="478" t="s">
        <v>1617</v>
      </c>
      <c r="Z27" s="479">
        <v>1</v>
      </c>
      <c r="AA27" s="666"/>
      <c r="AB27" s="667"/>
      <c r="AC27" s="480"/>
      <c r="AD27" s="481"/>
    </row>
    <row r="28" spans="3:30">
      <c r="C28" s="466"/>
      <c r="W28" s="681" t="s">
        <v>1630</v>
      </c>
      <c r="X28" s="682"/>
      <c r="Y28" s="478" t="s">
        <v>1617</v>
      </c>
      <c r="Z28" s="479">
        <v>2</v>
      </c>
      <c r="AA28" s="666"/>
      <c r="AB28" s="667"/>
      <c r="AC28" s="480"/>
      <c r="AD28" s="481"/>
    </row>
    <row r="29" spans="3:30">
      <c r="C29" s="466"/>
      <c r="W29" s="683"/>
      <c r="X29" s="684"/>
      <c r="Y29" s="478"/>
      <c r="Z29" s="479"/>
      <c r="AA29" s="666"/>
      <c r="AB29" s="667"/>
      <c r="AC29" s="480"/>
      <c r="AD29" s="481"/>
    </row>
    <row r="30" spans="3:30" ht="11.25" customHeight="1">
      <c r="C30" s="466"/>
      <c r="W30" s="681"/>
      <c r="X30" s="682"/>
      <c r="Y30" s="478"/>
      <c r="Z30" s="479"/>
      <c r="AA30" s="666"/>
      <c r="AB30" s="667"/>
      <c r="AC30" s="480"/>
      <c r="AD30" s="481"/>
    </row>
    <row r="31" spans="3:30">
      <c r="C31" s="466"/>
      <c r="U31" s="486"/>
      <c r="W31" s="484"/>
      <c r="X31" s="485"/>
      <c r="Y31" s="478"/>
      <c r="Z31" s="479"/>
      <c r="AA31" s="666"/>
      <c r="AB31" s="667"/>
      <c r="AC31" s="480"/>
      <c r="AD31" s="481"/>
    </row>
    <row r="32" spans="3:30">
      <c r="C32" s="466"/>
      <c r="U32" s="486"/>
      <c r="W32" s="482"/>
      <c r="X32" s="483"/>
      <c r="Y32" s="478"/>
      <c r="Z32" s="479"/>
      <c r="AA32" s="666"/>
      <c r="AB32" s="667"/>
      <c r="AC32" s="480"/>
      <c r="AD32" s="481"/>
    </row>
    <row r="33" spans="3:30">
      <c r="C33" s="466"/>
      <c r="W33" s="681"/>
      <c r="X33" s="682"/>
      <c r="Y33" s="478"/>
      <c r="Z33" s="479"/>
      <c r="AA33" s="666"/>
      <c r="AB33" s="667"/>
      <c r="AC33" s="480"/>
      <c r="AD33" s="481"/>
    </row>
    <row r="34" spans="3:30">
      <c r="C34" s="466"/>
      <c r="Q34" s="463" t="s">
        <v>1607</v>
      </c>
      <c r="W34" s="681"/>
      <c r="X34" s="682"/>
      <c r="Y34" s="478"/>
      <c r="Z34" s="479"/>
      <c r="AA34" s="666"/>
      <c r="AB34" s="667"/>
      <c r="AC34" s="480"/>
      <c r="AD34" s="481"/>
    </row>
    <row r="35" spans="3:30">
      <c r="C35" s="466"/>
      <c r="W35" s="681"/>
      <c r="X35" s="682"/>
      <c r="Y35" s="478"/>
      <c r="Z35" s="479"/>
      <c r="AA35" s="666"/>
      <c r="AB35" s="667"/>
      <c r="AC35" s="480"/>
      <c r="AD35" s="481"/>
    </row>
    <row r="36" spans="3:30">
      <c r="C36" s="466"/>
      <c r="W36" s="681"/>
      <c r="X36" s="682"/>
      <c r="Y36" s="478"/>
      <c r="Z36" s="479"/>
      <c r="AA36" s="666"/>
      <c r="AB36" s="667"/>
      <c r="AC36" s="480"/>
      <c r="AD36" s="481"/>
    </row>
    <row r="37" spans="3:30" ht="12.75" customHeight="1">
      <c r="C37" s="466"/>
      <c r="W37" s="484"/>
      <c r="X37" s="487"/>
      <c r="Y37" s="478"/>
      <c r="Z37" s="479"/>
      <c r="AA37" s="685"/>
      <c r="AB37" s="686"/>
      <c r="AC37" s="480"/>
      <c r="AD37" s="488"/>
    </row>
    <row r="38" spans="3:30" ht="12.75" customHeight="1">
      <c r="C38" s="466"/>
      <c r="W38" s="489"/>
      <c r="X38" s="490"/>
      <c r="Y38" s="478"/>
      <c r="Z38" s="491"/>
      <c r="AA38" s="687"/>
      <c r="AB38" s="688"/>
      <c r="AC38" s="480"/>
      <c r="AD38" s="488"/>
    </row>
    <row r="39" spans="3:30" ht="12" customHeight="1">
      <c r="C39" s="466"/>
      <c r="W39" s="489"/>
      <c r="X39" s="490"/>
      <c r="Y39" s="478"/>
      <c r="Z39" s="491"/>
      <c r="AA39" s="692"/>
      <c r="AB39" s="693"/>
      <c r="AC39" s="480"/>
      <c r="AD39" s="488"/>
    </row>
    <row r="40" spans="3:30" ht="12" customHeight="1">
      <c r="C40" s="466"/>
      <c r="W40" s="492"/>
      <c r="X40" s="493"/>
      <c r="Y40" s="494"/>
      <c r="Z40" s="491"/>
      <c r="AA40" s="495"/>
      <c r="AB40" s="496"/>
      <c r="AC40" s="497"/>
      <c r="AD40" s="498"/>
    </row>
    <row r="41" spans="3:30" ht="12" customHeight="1">
      <c r="C41" s="466"/>
      <c r="W41" s="694"/>
      <c r="X41" s="695"/>
      <c r="Y41" s="499"/>
      <c r="Z41" s="500"/>
      <c r="AA41" s="696"/>
      <c r="AB41" s="697"/>
      <c r="AC41" s="497"/>
      <c r="AD41" s="498"/>
    </row>
    <row r="42" spans="3:30" ht="12" customHeight="1">
      <c r="C42" s="466"/>
      <c r="W42" s="698" t="s">
        <v>1624</v>
      </c>
      <c r="X42" s="699"/>
      <c r="Y42" s="699"/>
      <c r="Z42" s="699"/>
      <c r="AA42" s="699"/>
      <c r="AB42" s="699"/>
      <c r="AC42" s="699"/>
      <c r="AD42" s="700"/>
    </row>
    <row r="43" spans="3:30" ht="12" customHeight="1">
      <c r="C43" s="466"/>
      <c r="V43" s="501"/>
      <c r="W43" s="701"/>
      <c r="X43" s="702"/>
      <c r="Y43" s="702"/>
      <c r="Z43" s="702"/>
      <c r="AA43" s="702"/>
      <c r="AB43" s="702"/>
      <c r="AC43" s="702"/>
      <c r="AD43" s="703"/>
    </row>
    <row r="44" spans="3:30">
      <c r="C44" s="502"/>
      <c r="D44" s="503"/>
      <c r="E44" s="503"/>
      <c r="F44" s="503"/>
      <c r="G44" s="503"/>
      <c r="H44" s="503"/>
      <c r="I44" s="503"/>
      <c r="N44" s="503"/>
      <c r="O44" s="503"/>
      <c r="P44" s="503"/>
      <c r="Q44" s="503"/>
      <c r="R44" s="503"/>
      <c r="S44" s="503"/>
      <c r="T44" s="503"/>
      <c r="U44" s="503"/>
      <c r="V44" s="501"/>
      <c r="W44" s="689" t="s">
        <v>11</v>
      </c>
      <c r="X44" s="690"/>
      <c r="Y44" s="660"/>
      <c r="Z44" s="660"/>
      <c r="AA44" s="660"/>
      <c r="AB44" s="660"/>
      <c r="AC44" s="660"/>
      <c r="AD44" s="661"/>
    </row>
    <row r="45" spans="3:30">
      <c r="C45" s="502"/>
      <c r="D45" s="503"/>
      <c r="E45" s="503"/>
      <c r="F45" s="503"/>
      <c r="G45" s="503"/>
      <c r="H45" s="503"/>
      <c r="I45" s="503"/>
      <c r="N45" s="503"/>
      <c r="O45" s="503"/>
      <c r="P45" s="503"/>
      <c r="Q45" s="503"/>
      <c r="R45" s="503"/>
      <c r="S45" s="503"/>
      <c r="T45" s="503"/>
      <c r="U45" s="503"/>
      <c r="V45" s="501"/>
      <c r="W45" s="689" t="s">
        <v>984</v>
      </c>
      <c r="X45" s="690"/>
      <c r="Y45" s="660">
        <v>1</v>
      </c>
      <c r="Z45" s="660"/>
      <c r="AA45" s="660"/>
      <c r="AB45" s="660" t="s">
        <v>12</v>
      </c>
      <c r="AC45" s="660"/>
      <c r="AD45" s="471" t="s">
        <v>13</v>
      </c>
    </row>
    <row r="46" spans="3:30">
      <c r="C46" s="502"/>
      <c r="D46" s="503"/>
      <c r="E46" s="503"/>
      <c r="F46" s="503"/>
      <c r="G46" s="503"/>
      <c r="H46" s="503"/>
      <c r="I46" s="503"/>
      <c r="J46" s="503"/>
      <c r="K46" s="503"/>
      <c r="L46" s="503"/>
      <c r="M46" s="503"/>
      <c r="N46" s="503"/>
      <c r="O46" s="503"/>
      <c r="P46" s="503"/>
      <c r="Q46" s="503"/>
      <c r="R46" s="503"/>
      <c r="S46" s="503"/>
      <c r="T46" s="503"/>
      <c r="U46" s="503"/>
      <c r="V46" s="501"/>
      <c r="W46" s="689" t="s">
        <v>15</v>
      </c>
      <c r="X46" s="690"/>
      <c r="Y46" s="691"/>
      <c r="Z46" s="691"/>
      <c r="AA46" s="691"/>
      <c r="AB46" s="660" t="s">
        <v>16</v>
      </c>
      <c r="AC46" s="660"/>
      <c r="AD46" s="504"/>
    </row>
    <row r="47" spans="3:30">
      <c r="C47" s="502"/>
      <c r="D47" s="503"/>
      <c r="E47" s="503"/>
      <c r="F47" s="503"/>
      <c r="G47" s="503"/>
      <c r="H47" s="503"/>
      <c r="I47" s="503"/>
      <c r="J47" s="503"/>
      <c r="K47" s="503"/>
      <c r="L47" s="503"/>
      <c r="M47" s="503"/>
      <c r="N47" s="503"/>
      <c r="O47" s="503"/>
      <c r="P47" s="503"/>
      <c r="Q47" s="503"/>
      <c r="R47" s="503"/>
      <c r="S47" s="503"/>
      <c r="T47" s="503"/>
      <c r="U47" s="503"/>
      <c r="V47" s="501"/>
      <c r="W47" s="709" t="s">
        <v>17</v>
      </c>
      <c r="X47" s="709"/>
      <c r="Y47" s="709"/>
      <c r="Z47" s="709"/>
      <c r="AA47" s="709"/>
      <c r="AB47" s="709"/>
      <c r="AC47" s="709"/>
      <c r="AD47" s="710"/>
    </row>
    <row r="48" spans="3:30" ht="12.75" customHeight="1">
      <c r="C48" s="502"/>
      <c r="D48" s="503"/>
      <c r="E48" s="503"/>
      <c r="F48" s="503"/>
      <c r="G48" s="503"/>
      <c r="H48" s="503"/>
      <c r="I48" s="503"/>
      <c r="J48" s="503"/>
      <c r="K48" s="503"/>
      <c r="L48" s="503"/>
      <c r="M48" s="503"/>
      <c r="R48" s="503"/>
      <c r="S48" s="503"/>
      <c r="T48" s="503"/>
      <c r="U48" s="503"/>
      <c r="V48" s="501"/>
      <c r="W48" s="711" t="s">
        <v>1642</v>
      </c>
      <c r="X48" s="711"/>
      <c r="Y48" s="711"/>
      <c r="Z48" s="711"/>
      <c r="AA48" s="711"/>
      <c r="AB48" s="711"/>
      <c r="AC48" s="711"/>
      <c r="AD48" s="712"/>
    </row>
    <row r="49" spans="3:30">
      <c r="C49" s="502"/>
      <c r="D49" s="505"/>
      <c r="E49" s="503"/>
      <c r="F49" s="503"/>
      <c r="G49" s="503"/>
      <c r="I49" s="503"/>
      <c r="J49" s="503"/>
      <c r="K49" s="503"/>
      <c r="L49" s="503"/>
      <c r="M49" s="503"/>
      <c r="R49" s="503"/>
      <c r="S49" s="503"/>
      <c r="T49" s="503"/>
      <c r="U49" s="503"/>
      <c r="V49" s="506"/>
      <c r="W49" s="711"/>
      <c r="X49" s="711"/>
      <c r="Y49" s="711"/>
      <c r="Z49" s="711"/>
      <c r="AA49" s="711"/>
      <c r="AB49" s="711"/>
      <c r="AC49" s="711"/>
      <c r="AD49" s="712"/>
    </row>
    <row r="50" spans="3:30">
      <c r="C50" s="502"/>
      <c r="D50" s="507"/>
      <c r="E50" s="507"/>
      <c r="F50" s="507"/>
      <c r="G50" s="507"/>
      <c r="I50" s="503"/>
      <c r="J50" s="503"/>
      <c r="K50" s="503"/>
      <c r="L50" s="503"/>
      <c r="M50" s="503"/>
      <c r="N50" s="503"/>
      <c r="O50" s="503"/>
      <c r="P50" s="503"/>
      <c r="Q50" s="503"/>
      <c r="R50" s="503"/>
      <c r="S50" s="503"/>
      <c r="T50" s="503"/>
      <c r="U50" s="503"/>
      <c r="V50" s="506"/>
      <c r="W50" s="711"/>
      <c r="X50" s="711"/>
      <c r="Y50" s="711"/>
      <c r="Z50" s="711"/>
      <c r="AA50" s="711"/>
      <c r="AB50" s="711"/>
      <c r="AC50" s="711"/>
      <c r="AD50" s="712"/>
    </row>
    <row r="51" spans="3:30" ht="19.5" customHeight="1">
      <c r="C51" s="502"/>
      <c r="D51" s="507"/>
      <c r="E51" s="507"/>
      <c r="F51" s="507"/>
      <c r="G51" s="507"/>
      <c r="I51" s="503"/>
      <c r="J51" s="503"/>
      <c r="K51" s="503"/>
      <c r="L51" s="503"/>
      <c r="M51" s="503"/>
      <c r="N51" s="503"/>
      <c r="O51" s="503"/>
      <c r="P51" s="503"/>
      <c r="Q51" s="503"/>
      <c r="R51" s="503"/>
      <c r="S51" s="503"/>
      <c r="T51" s="503"/>
      <c r="U51" s="503"/>
      <c r="V51" s="506"/>
      <c r="W51" s="713"/>
      <c r="X51" s="713"/>
      <c r="Y51" s="713"/>
      <c r="Z51" s="713"/>
      <c r="AA51" s="713"/>
      <c r="AB51" s="713"/>
      <c r="AC51" s="713"/>
      <c r="AD51" s="714"/>
    </row>
    <row r="52" spans="3:30">
      <c r="C52" s="502"/>
      <c r="D52" s="508"/>
      <c r="E52" s="508"/>
      <c r="F52" s="508"/>
      <c r="G52" s="508"/>
      <c r="I52" s="503"/>
      <c r="J52" s="503"/>
      <c r="K52" s="503"/>
      <c r="L52" s="423"/>
      <c r="M52" s="503"/>
      <c r="N52" s="503"/>
      <c r="O52" s="503"/>
      <c r="P52" s="503"/>
      <c r="Q52" s="503"/>
      <c r="R52" s="503"/>
      <c r="S52" s="503"/>
      <c r="T52" s="503"/>
      <c r="U52" s="503"/>
      <c r="V52" s="501"/>
      <c r="W52" s="704" t="s">
        <v>18</v>
      </c>
      <c r="X52" s="690"/>
      <c r="Y52" s="660" t="s">
        <v>1623</v>
      </c>
      <c r="Z52" s="660"/>
      <c r="AA52" s="660"/>
      <c r="AB52" s="660"/>
      <c r="AC52" s="660"/>
      <c r="AD52" s="661"/>
    </row>
    <row r="53" spans="3:30">
      <c r="C53" s="502"/>
      <c r="D53" s="507"/>
      <c r="E53" s="507"/>
      <c r="F53" s="507"/>
      <c r="G53" s="507"/>
      <c r="I53" s="503"/>
      <c r="J53" s="503"/>
      <c r="K53" s="503"/>
      <c r="L53" s="503"/>
      <c r="M53" s="503"/>
      <c r="N53" s="503"/>
      <c r="O53" s="503"/>
      <c r="P53" s="503"/>
      <c r="Q53" s="503"/>
      <c r="R53" s="503"/>
      <c r="S53" s="503"/>
      <c r="T53" s="503"/>
      <c r="V53" s="501"/>
      <c r="W53" s="704" t="s">
        <v>19</v>
      </c>
      <c r="X53" s="690"/>
      <c r="Y53" s="660" t="s">
        <v>1622</v>
      </c>
      <c r="Z53" s="660"/>
      <c r="AA53" s="660"/>
      <c r="AB53" s="660"/>
      <c r="AC53" s="660"/>
      <c r="AD53" s="661"/>
    </row>
    <row r="54" spans="3:30">
      <c r="C54" s="502"/>
      <c r="D54" s="424"/>
      <c r="E54" s="424"/>
      <c r="F54" s="424"/>
      <c r="G54" s="424"/>
      <c r="I54" s="503"/>
      <c r="J54" s="503"/>
      <c r="K54" s="503"/>
      <c r="L54" s="503"/>
      <c r="M54" s="503"/>
      <c r="N54" s="503"/>
      <c r="O54" s="503"/>
      <c r="P54" s="503"/>
      <c r="Q54" s="503"/>
      <c r="R54" s="503"/>
      <c r="S54" s="503"/>
      <c r="T54" s="503"/>
      <c r="V54" s="501"/>
      <c r="W54" s="704" t="s">
        <v>20</v>
      </c>
      <c r="X54" s="690"/>
      <c r="Y54" s="660" t="s">
        <v>1622</v>
      </c>
      <c r="Z54" s="660"/>
      <c r="AA54" s="660"/>
      <c r="AB54" s="660"/>
      <c r="AC54" s="660"/>
      <c r="AD54" s="661"/>
    </row>
    <row r="55" spans="3:30" ht="12.75" thickBot="1">
      <c r="C55" s="509"/>
      <c r="D55" s="510"/>
      <c r="E55" s="510"/>
      <c r="F55" s="510"/>
      <c r="G55" s="510"/>
      <c r="H55" s="510"/>
      <c r="I55" s="510"/>
      <c r="J55" s="510"/>
      <c r="K55" s="510"/>
      <c r="L55" s="510"/>
      <c r="M55" s="510"/>
      <c r="N55" s="510"/>
      <c r="O55" s="510"/>
      <c r="P55" s="510"/>
      <c r="Q55" s="510"/>
      <c r="R55" s="510"/>
      <c r="S55" s="510"/>
      <c r="T55" s="510"/>
      <c r="U55" s="511"/>
      <c r="V55" s="512"/>
      <c r="W55" s="705" t="s">
        <v>21</v>
      </c>
      <c r="X55" s="706"/>
      <c r="Y55" s="707" t="s">
        <v>1621</v>
      </c>
      <c r="Z55" s="707"/>
      <c r="AA55" s="707"/>
      <c r="AB55" s="707"/>
      <c r="AC55" s="707"/>
      <c r="AD55" s="708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C43" sqref="AC43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5" t="s">
        <v>1619</v>
      </c>
      <c r="D3" s="716"/>
      <c r="E3" s="716"/>
      <c r="F3" s="716"/>
      <c r="G3" s="716"/>
      <c r="H3" s="716"/>
      <c r="I3" s="716"/>
      <c r="J3" s="716"/>
      <c r="K3" s="716"/>
      <c r="L3" s="716"/>
      <c r="M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7"/>
      <c r="AC3" s="431"/>
      <c r="AD3" s="429"/>
      <c r="AE3" s="429"/>
    </row>
    <row r="4" spans="2:31" ht="13.5" customHeight="1" thickBot="1">
      <c r="B4" s="430"/>
      <c r="C4" s="718"/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20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R55" sqref="R55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21" t="s">
        <v>1620</v>
      </c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3"/>
      <c r="AD4" s="206"/>
      <c r="AE4" s="205"/>
      <c r="AF4" s="205"/>
    </row>
    <row r="5" spans="2:32" ht="13.5" customHeight="1" thickBot="1">
      <c r="B5" s="204"/>
      <c r="C5" s="204"/>
      <c r="D5" s="724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6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Clara Narita</cp:lastModifiedBy>
  <cp:lastPrinted>2023-08-30T02:55:24Z</cp:lastPrinted>
  <dcterms:created xsi:type="dcterms:W3CDTF">2011-02-06T11:57:38Z</dcterms:created>
  <dcterms:modified xsi:type="dcterms:W3CDTF">2023-11-16T04:47:24Z</dcterms:modified>
</cp:coreProperties>
</file>