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6A4FC8FB-1CE1-4A67-9C50-768928378ED3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1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[29]MENU1!$D$4:$T$15</definedName>
    <definedName name="BULAN" localSheetId="5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RAB!$A$1:$K$217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G185" i="11" l="1"/>
  <c r="G186" i="11"/>
  <c r="G187" i="11"/>
  <c r="G188" i="11"/>
  <c r="G189" i="11"/>
  <c r="G190" i="11"/>
  <c r="G191" i="11"/>
  <c r="G192" i="11"/>
  <c r="G193" i="11"/>
  <c r="G194" i="11"/>
  <c r="G195" i="11"/>
  <c r="D185" i="11"/>
  <c r="H185" i="11" s="1"/>
  <c r="E185" i="11"/>
  <c r="D186" i="11"/>
  <c r="J186" i="11" s="1"/>
  <c r="E186" i="11"/>
  <c r="D187" i="11"/>
  <c r="I187" i="11" s="1"/>
  <c r="E187" i="11"/>
  <c r="D188" i="11"/>
  <c r="H188" i="11" s="1"/>
  <c r="E188" i="11"/>
  <c r="D189" i="11"/>
  <c r="H189" i="11" s="1"/>
  <c r="E189" i="11"/>
  <c r="D190" i="11"/>
  <c r="J190" i="11" s="1"/>
  <c r="E190" i="11"/>
  <c r="D191" i="11"/>
  <c r="I191" i="11" s="1"/>
  <c r="E191" i="11"/>
  <c r="D192" i="11"/>
  <c r="H192" i="11" s="1"/>
  <c r="E192" i="11"/>
  <c r="D193" i="11"/>
  <c r="H193" i="11" s="1"/>
  <c r="E193" i="11"/>
  <c r="D194" i="11"/>
  <c r="J194" i="11" s="1"/>
  <c r="E194" i="11"/>
  <c r="D195" i="11"/>
  <c r="I195" i="11" s="1"/>
  <c r="E195" i="11"/>
  <c r="G168" i="11"/>
  <c r="G169" i="11"/>
  <c r="D168" i="11"/>
  <c r="H168" i="11" s="1"/>
  <c r="E168" i="11"/>
  <c r="D169" i="11"/>
  <c r="J169" i="11" s="1"/>
  <c r="E169" i="11"/>
  <c r="G170" i="11"/>
  <c r="D167" i="11"/>
  <c r="E167" i="11"/>
  <c r="D170" i="11"/>
  <c r="H170" i="11" s="1"/>
  <c r="E170" i="11"/>
  <c r="F144" i="11"/>
  <c r="F143" i="11"/>
  <c r="F142" i="11"/>
  <c r="F141" i="11"/>
  <c r="F138" i="11"/>
  <c r="F137" i="11"/>
  <c r="F136" i="11"/>
  <c r="F135" i="11"/>
  <c r="F132" i="11"/>
  <c r="F131" i="11"/>
  <c r="F130" i="11"/>
  <c r="F129" i="11"/>
  <c r="F128" i="11"/>
  <c r="F127" i="11"/>
  <c r="F124" i="11"/>
  <c r="F123" i="11"/>
  <c r="F122" i="11"/>
  <c r="F121" i="11"/>
  <c r="F120" i="11"/>
  <c r="F119" i="11"/>
  <c r="F118" i="11"/>
  <c r="F117" i="11"/>
  <c r="F116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D113" i="11"/>
  <c r="H113" i="11" s="1"/>
  <c r="E113" i="11"/>
  <c r="D114" i="11"/>
  <c r="J114" i="11" s="1"/>
  <c r="E114" i="11"/>
  <c r="D115" i="11"/>
  <c r="I115" i="11" s="1"/>
  <c r="E115" i="11"/>
  <c r="D116" i="11"/>
  <c r="H116" i="11" s="1"/>
  <c r="E116" i="11"/>
  <c r="D117" i="11"/>
  <c r="H117" i="11" s="1"/>
  <c r="E117" i="11"/>
  <c r="D118" i="11"/>
  <c r="J118" i="11" s="1"/>
  <c r="E118" i="11"/>
  <c r="D119" i="11"/>
  <c r="E119" i="11"/>
  <c r="D120" i="11"/>
  <c r="H120" i="11" s="1"/>
  <c r="E120" i="11"/>
  <c r="D121" i="11"/>
  <c r="H121" i="11" s="1"/>
  <c r="E121" i="11"/>
  <c r="D122" i="11"/>
  <c r="J122" i="11" s="1"/>
  <c r="E122" i="11"/>
  <c r="D123" i="11"/>
  <c r="E123" i="11"/>
  <c r="D124" i="11"/>
  <c r="H124" i="11" s="1"/>
  <c r="E124" i="11"/>
  <c r="D125" i="11"/>
  <c r="H125" i="11" s="1"/>
  <c r="E125" i="11"/>
  <c r="D126" i="11"/>
  <c r="J126" i="11" s="1"/>
  <c r="E126" i="11"/>
  <c r="D127" i="11"/>
  <c r="E127" i="11"/>
  <c r="D128" i="11"/>
  <c r="H128" i="11" s="1"/>
  <c r="E128" i="11"/>
  <c r="D129" i="11"/>
  <c r="H129" i="11" s="1"/>
  <c r="E129" i="11"/>
  <c r="D130" i="11"/>
  <c r="J130" i="11" s="1"/>
  <c r="E130" i="11"/>
  <c r="D131" i="11"/>
  <c r="E131" i="11"/>
  <c r="D132" i="11"/>
  <c r="H132" i="11" s="1"/>
  <c r="E132" i="11"/>
  <c r="D133" i="11"/>
  <c r="H133" i="11" s="1"/>
  <c r="E133" i="11"/>
  <c r="D134" i="11"/>
  <c r="J134" i="11" s="1"/>
  <c r="E134" i="11"/>
  <c r="D135" i="11"/>
  <c r="E135" i="11"/>
  <c r="D136" i="11"/>
  <c r="H136" i="11" s="1"/>
  <c r="E136" i="11"/>
  <c r="D137" i="11"/>
  <c r="H137" i="11" s="1"/>
  <c r="E137" i="11"/>
  <c r="D138" i="11"/>
  <c r="J138" i="11" s="1"/>
  <c r="E138" i="11"/>
  <c r="D139" i="11"/>
  <c r="I139" i="11" s="1"/>
  <c r="E139" i="11"/>
  <c r="D140" i="11"/>
  <c r="H140" i="11" s="1"/>
  <c r="E140" i="11"/>
  <c r="D141" i="11"/>
  <c r="H141" i="11" s="1"/>
  <c r="E141" i="11"/>
  <c r="D142" i="11"/>
  <c r="J142" i="11" s="1"/>
  <c r="E142" i="11"/>
  <c r="D143" i="11"/>
  <c r="E143" i="11"/>
  <c r="F112" i="11"/>
  <c r="F111" i="11"/>
  <c r="F110" i="11"/>
  <c r="F109" i="11"/>
  <c r="F108" i="11"/>
  <c r="F107" i="11"/>
  <c r="F106" i="11"/>
  <c r="F105" i="11"/>
  <c r="F104" i="11"/>
  <c r="F103" i="11"/>
  <c r="F102" i="11"/>
  <c r="F100" i="11"/>
  <c r="F99" i="11"/>
  <c r="F98" i="11"/>
  <c r="F97" i="11"/>
  <c r="F96" i="11"/>
  <c r="F95" i="11"/>
  <c r="F94" i="11"/>
  <c r="F88" i="11"/>
  <c r="F87" i="11"/>
  <c r="F86" i="11"/>
  <c r="F85" i="11"/>
  <c r="F84" i="11"/>
  <c r="F83" i="11"/>
  <c r="F79" i="11"/>
  <c r="F78" i="11"/>
  <c r="F77" i="11"/>
  <c r="F72" i="11"/>
  <c r="F71" i="11"/>
  <c r="F70" i="11"/>
  <c r="F69" i="11"/>
  <c r="F68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D66" i="11"/>
  <c r="H66" i="11" s="1"/>
  <c r="E66" i="11"/>
  <c r="D67" i="11"/>
  <c r="J67" i="11" s="1"/>
  <c r="E67" i="11"/>
  <c r="D68" i="11"/>
  <c r="E68" i="11"/>
  <c r="D69" i="11"/>
  <c r="H69" i="11" s="1"/>
  <c r="E69" i="11"/>
  <c r="D70" i="11"/>
  <c r="H70" i="11" s="1"/>
  <c r="E70" i="11"/>
  <c r="D71" i="11"/>
  <c r="J71" i="11" s="1"/>
  <c r="E71" i="11"/>
  <c r="D72" i="11"/>
  <c r="I72" i="11" s="1"/>
  <c r="E72" i="11"/>
  <c r="D73" i="11"/>
  <c r="H73" i="11" s="1"/>
  <c r="E73" i="11"/>
  <c r="D74" i="11"/>
  <c r="H74" i="11" s="1"/>
  <c r="E74" i="11"/>
  <c r="D75" i="11"/>
  <c r="J75" i="11" s="1"/>
  <c r="E75" i="11"/>
  <c r="D76" i="11"/>
  <c r="I76" i="11" s="1"/>
  <c r="E76" i="11"/>
  <c r="D77" i="11"/>
  <c r="H77" i="11" s="1"/>
  <c r="E77" i="11"/>
  <c r="D78" i="11"/>
  <c r="H78" i="11" s="1"/>
  <c r="E78" i="11"/>
  <c r="D79" i="11"/>
  <c r="J79" i="11" s="1"/>
  <c r="E79" i="11"/>
  <c r="D80" i="11"/>
  <c r="E80" i="11"/>
  <c r="D81" i="11"/>
  <c r="H81" i="11" s="1"/>
  <c r="E81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H86" i="11" s="1"/>
  <c r="E86" i="11"/>
  <c r="D87" i="11"/>
  <c r="J87" i="11" s="1"/>
  <c r="E87" i="11"/>
  <c r="D88" i="11"/>
  <c r="I88" i="11" s="1"/>
  <c r="E88" i="11"/>
  <c r="D89" i="11"/>
  <c r="H89" i="11" s="1"/>
  <c r="E89" i="11"/>
  <c r="D90" i="11"/>
  <c r="H90" i="11" s="1"/>
  <c r="E90" i="11"/>
  <c r="D91" i="11"/>
  <c r="J91" i="11" s="1"/>
  <c r="E91" i="11"/>
  <c r="D92" i="11"/>
  <c r="I92" i="11" s="1"/>
  <c r="E92" i="11"/>
  <c r="D93" i="11"/>
  <c r="H93" i="11" s="1"/>
  <c r="E93" i="11"/>
  <c r="D94" i="11"/>
  <c r="H94" i="11" s="1"/>
  <c r="E94" i="11"/>
  <c r="D95" i="11"/>
  <c r="J95" i="11" s="1"/>
  <c r="E95" i="11"/>
  <c r="D96" i="11"/>
  <c r="E96" i="11"/>
  <c r="D97" i="11"/>
  <c r="H97" i="11" s="1"/>
  <c r="E97" i="11"/>
  <c r="D98" i="11"/>
  <c r="H98" i="11" s="1"/>
  <c r="E98" i="11"/>
  <c r="D99" i="11"/>
  <c r="J99" i="11" s="1"/>
  <c r="E99" i="11"/>
  <c r="D100" i="11"/>
  <c r="E100" i="11"/>
  <c r="D101" i="11"/>
  <c r="H101" i="11" s="1"/>
  <c r="E101" i="11"/>
  <c r="D102" i="11"/>
  <c r="H102" i="11" s="1"/>
  <c r="E102" i="11"/>
  <c r="D103" i="11"/>
  <c r="J103" i="11" s="1"/>
  <c r="E103" i="11"/>
  <c r="D104" i="11"/>
  <c r="E104" i="11"/>
  <c r="D105" i="11"/>
  <c r="H105" i="11" s="1"/>
  <c r="E105" i="11"/>
  <c r="D106" i="11"/>
  <c r="H106" i="11" s="1"/>
  <c r="E106" i="11"/>
  <c r="D107" i="11"/>
  <c r="J107" i="11" s="1"/>
  <c r="E107" i="11"/>
  <c r="D108" i="11"/>
  <c r="E108" i="11"/>
  <c r="D109" i="11"/>
  <c r="H109" i="11" s="1"/>
  <c r="E109" i="11"/>
  <c r="D110" i="11"/>
  <c r="H110" i="11" s="1"/>
  <c r="E110" i="11"/>
  <c r="D111" i="11"/>
  <c r="J111" i="11" s="1"/>
  <c r="E111" i="11"/>
  <c r="D112" i="11"/>
  <c r="I112" i="11" s="1"/>
  <c r="E112" i="11"/>
  <c r="F184" i="11"/>
  <c r="F183" i="11"/>
  <c r="F182" i="11"/>
  <c r="F181" i="11"/>
  <c r="F180" i="11"/>
  <c r="D178" i="11"/>
  <c r="E178" i="11"/>
  <c r="D179" i="11"/>
  <c r="E179" i="11"/>
  <c r="D180" i="11"/>
  <c r="E180" i="11"/>
  <c r="D181" i="11"/>
  <c r="E181" i="11"/>
  <c r="D182" i="11"/>
  <c r="E182" i="11"/>
  <c r="D183" i="11"/>
  <c r="E183" i="11"/>
  <c r="D184" i="11"/>
  <c r="E184" i="11"/>
  <c r="D196" i="11"/>
  <c r="E196" i="11"/>
  <c r="F177" i="11"/>
  <c r="F175" i="11"/>
  <c r="F174" i="11"/>
  <c r="F173" i="11"/>
  <c r="D172" i="11"/>
  <c r="E172" i="11"/>
  <c r="D173" i="11"/>
  <c r="E173" i="11"/>
  <c r="D174" i="11"/>
  <c r="E174" i="11"/>
  <c r="D175" i="11"/>
  <c r="E175" i="11"/>
  <c r="D176" i="11"/>
  <c r="E176" i="11"/>
  <c r="D177" i="11"/>
  <c r="E177" i="11"/>
  <c r="F58" i="11"/>
  <c r="F57" i="11"/>
  <c r="F56" i="11"/>
  <c r="F55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144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3" i="11"/>
  <c r="D22" i="11"/>
  <c r="H22" i="11" s="1"/>
  <c r="E22" i="11"/>
  <c r="D23" i="11"/>
  <c r="J23" i="11" s="1"/>
  <c r="E23" i="11"/>
  <c r="D24" i="11"/>
  <c r="I24" i="11" s="1"/>
  <c r="E24" i="11"/>
  <c r="D25" i="11"/>
  <c r="E25" i="11"/>
  <c r="D26" i="11"/>
  <c r="H26" i="11" s="1"/>
  <c r="E26" i="11"/>
  <c r="D27" i="11"/>
  <c r="J27" i="11" s="1"/>
  <c r="E27" i="11"/>
  <c r="D28" i="11"/>
  <c r="I28" i="11" s="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39" i="11"/>
  <c r="J39" i="11" s="1"/>
  <c r="E39" i="11"/>
  <c r="D40" i="11"/>
  <c r="E40" i="11"/>
  <c r="D41" i="11"/>
  <c r="H41" i="11" s="1"/>
  <c r="E41" i="11"/>
  <c r="D42" i="11"/>
  <c r="H42" i="11" s="1"/>
  <c r="E42" i="11"/>
  <c r="D43" i="11"/>
  <c r="J43" i="11" s="1"/>
  <c r="E43" i="11"/>
  <c r="D44" i="11"/>
  <c r="E44" i="11"/>
  <c r="D45" i="11"/>
  <c r="H45" i="11" s="1"/>
  <c r="E45" i="11"/>
  <c r="D46" i="11"/>
  <c r="H46" i="11" s="1"/>
  <c r="E46" i="11"/>
  <c r="D47" i="11"/>
  <c r="J47" i="11" s="1"/>
  <c r="E47" i="11"/>
  <c r="D48" i="11"/>
  <c r="E48" i="11"/>
  <c r="D49" i="11"/>
  <c r="H49" i="11" s="1"/>
  <c r="E49" i="11"/>
  <c r="D50" i="11"/>
  <c r="H50" i="11" s="1"/>
  <c r="E50" i="11"/>
  <c r="D51" i="11"/>
  <c r="J51" i="11" s="1"/>
  <c r="E51" i="11"/>
  <c r="D52" i="11"/>
  <c r="I52" i="11" s="1"/>
  <c r="E52" i="11"/>
  <c r="D53" i="11"/>
  <c r="H53" i="11" s="1"/>
  <c r="E53" i="11"/>
  <c r="D54" i="11"/>
  <c r="H54" i="11" s="1"/>
  <c r="E54" i="11"/>
  <c r="D55" i="11"/>
  <c r="J55" i="11" s="1"/>
  <c r="E55" i="11"/>
  <c r="D56" i="11"/>
  <c r="E56" i="11"/>
  <c r="D57" i="11"/>
  <c r="H57" i="11" s="1"/>
  <c r="E57" i="11"/>
  <c r="D58" i="11"/>
  <c r="H58" i="11" s="1"/>
  <c r="E58" i="11"/>
  <c r="D59" i="11"/>
  <c r="J59" i="11" s="1"/>
  <c r="E59" i="11"/>
  <c r="D60" i="11"/>
  <c r="I60" i="11" s="1"/>
  <c r="E60" i="11"/>
  <c r="D61" i="11"/>
  <c r="H61" i="11" s="1"/>
  <c r="E61" i="11"/>
  <c r="D62" i="11"/>
  <c r="H62" i="11" s="1"/>
  <c r="E62" i="11"/>
  <c r="D63" i="11"/>
  <c r="J63" i="11" s="1"/>
  <c r="E63" i="11"/>
  <c r="D64" i="11"/>
  <c r="E64" i="11"/>
  <c r="D65" i="11"/>
  <c r="H65" i="11" s="1"/>
  <c r="E65" i="11"/>
  <c r="D144" i="11"/>
  <c r="E144" i="11"/>
  <c r="D16" i="11"/>
  <c r="E16" i="11"/>
  <c r="D17" i="11"/>
  <c r="E17" i="11"/>
  <c r="D18" i="11"/>
  <c r="E18" i="11"/>
  <c r="D19" i="11"/>
  <c r="H19" i="11" s="1"/>
  <c r="E19" i="11"/>
  <c r="D20" i="11"/>
  <c r="E20" i="11"/>
  <c r="G19" i="11"/>
  <c r="I190" i="11" l="1"/>
  <c r="I186" i="11"/>
  <c r="I194" i="11"/>
  <c r="H195" i="11"/>
  <c r="J193" i="11"/>
  <c r="H191" i="11"/>
  <c r="J189" i="11"/>
  <c r="H187" i="11"/>
  <c r="J185" i="11"/>
  <c r="H194" i="11"/>
  <c r="I193" i="11"/>
  <c r="J192" i="11"/>
  <c r="H190" i="11"/>
  <c r="K190" i="11" s="1"/>
  <c r="I189" i="11"/>
  <c r="J188" i="11"/>
  <c r="H186" i="11"/>
  <c r="I185" i="11"/>
  <c r="K185" i="11" s="1"/>
  <c r="J195" i="11"/>
  <c r="I192" i="11"/>
  <c r="J191" i="11"/>
  <c r="I188" i="11"/>
  <c r="J187" i="11"/>
  <c r="I169" i="11"/>
  <c r="J168" i="11"/>
  <c r="H169" i="11"/>
  <c r="I168" i="11"/>
  <c r="I170" i="11"/>
  <c r="J170" i="11"/>
  <c r="I143" i="11"/>
  <c r="J144" i="11"/>
  <c r="I135" i="11"/>
  <c r="I131" i="11"/>
  <c r="I127" i="11"/>
  <c r="I123" i="11"/>
  <c r="I118" i="11"/>
  <c r="I138" i="11"/>
  <c r="I134" i="11"/>
  <c r="I114" i="11"/>
  <c r="H126" i="11"/>
  <c r="J116" i="11"/>
  <c r="H114" i="11"/>
  <c r="I130" i="11"/>
  <c r="I122" i="11"/>
  <c r="J120" i="11"/>
  <c r="H118" i="11"/>
  <c r="I119" i="11"/>
  <c r="I142" i="11"/>
  <c r="I126" i="11"/>
  <c r="J124" i="11"/>
  <c r="H122" i="11"/>
  <c r="H143" i="11"/>
  <c r="J141" i="11"/>
  <c r="H139" i="11"/>
  <c r="J137" i="11"/>
  <c r="H135" i="11"/>
  <c r="J133" i="11"/>
  <c r="H131" i="11"/>
  <c r="J129" i="11"/>
  <c r="H127" i="11"/>
  <c r="J125" i="11"/>
  <c r="H123" i="11"/>
  <c r="J121" i="11"/>
  <c r="H119" i="11"/>
  <c r="J117" i="11"/>
  <c r="H115" i="11"/>
  <c r="J113" i="11"/>
  <c r="H142" i="11"/>
  <c r="I141" i="11"/>
  <c r="K141" i="11" s="1"/>
  <c r="J140" i="11"/>
  <c r="H138" i="11"/>
  <c r="I137" i="11"/>
  <c r="J136" i="11"/>
  <c r="H134" i="11"/>
  <c r="I133" i="11"/>
  <c r="J132" i="11"/>
  <c r="H130" i="11"/>
  <c r="I129" i="11"/>
  <c r="J128" i="11"/>
  <c r="I125" i="11"/>
  <c r="I121" i="11"/>
  <c r="I117" i="11"/>
  <c r="I113" i="11"/>
  <c r="K113" i="11" s="1"/>
  <c r="J143" i="11"/>
  <c r="I140" i="11"/>
  <c r="J139" i="11"/>
  <c r="I136" i="11"/>
  <c r="J135" i="11"/>
  <c r="I132" i="11"/>
  <c r="J131" i="11"/>
  <c r="I128" i="11"/>
  <c r="K128" i="11" s="1"/>
  <c r="J127" i="11"/>
  <c r="I124" i="11"/>
  <c r="J123" i="11"/>
  <c r="I120" i="11"/>
  <c r="J119" i="11"/>
  <c r="I116" i="11"/>
  <c r="J115" i="11"/>
  <c r="I108" i="11"/>
  <c r="I104" i="11"/>
  <c r="I100" i="11"/>
  <c r="I96" i="11"/>
  <c r="I84" i="11"/>
  <c r="I80" i="11"/>
  <c r="I68" i="11"/>
  <c r="I71" i="11"/>
  <c r="I67" i="11"/>
  <c r="H112" i="11"/>
  <c r="I111" i="11"/>
  <c r="J110" i="11"/>
  <c r="H108" i="11"/>
  <c r="I107" i="11"/>
  <c r="J106" i="11"/>
  <c r="H104" i="11"/>
  <c r="I103" i="11"/>
  <c r="J102" i="11"/>
  <c r="H100" i="11"/>
  <c r="I99" i="11"/>
  <c r="J98" i="11"/>
  <c r="H96" i="11"/>
  <c r="I95" i="11"/>
  <c r="J94" i="11"/>
  <c r="H92" i="11"/>
  <c r="I91" i="11"/>
  <c r="J90" i="11"/>
  <c r="H88" i="11"/>
  <c r="I87" i="11"/>
  <c r="J86" i="11"/>
  <c r="H84" i="11"/>
  <c r="I83" i="11"/>
  <c r="J82" i="11"/>
  <c r="H80" i="11"/>
  <c r="I79" i="11"/>
  <c r="J78" i="11"/>
  <c r="H76" i="11"/>
  <c r="I75" i="11"/>
  <c r="J74" i="11"/>
  <c r="H72" i="11"/>
  <c r="J70" i="11"/>
  <c r="H68" i="11"/>
  <c r="J66" i="11"/>
  <c r="H111" i="11"/>
  <c r="I110" i="11"/>
  <c r="J109" i="11"/>
  <c r="H107" i="11"/>
  <c r="I106" i="11"/>
  <c r="J105" i="11"/>
  <c r="H103" i="11"/>
  <c r="I102" i="11"/>
  <c r="J101" i="11"/>
  <c r="H99" i="11"/>
  <c r="I98" i="11"/>
  <c r="J97" i="11"/>
  <c r="H95" i="11"/>
  <c r="I94" i="11"/>
  <c r="J93" i="11"/>
  <c r="H91" i="11"/>
  <c r="I90" i="11"/>
  <c r="J89" i="11"/>
  <c r="H87" i="11"/>
  <c r="I86" i="11"/>
  <c r="J85" i="11"/>
  <c r="H83" i="11"/>
  <c r="I82" i="11"/>
  <c r="J81" i="11"/>
  <c r="H79" i="11"/>
  <c r="I78" i="11"/>
  <c r="J77" i="11"/>
  <c r="H75" i="11"/>
  <c r="I74" i="11"/>
  <c r="J73" i="11"/>
  <c r="H71" i="11"/>
  <c r="I70" i="11"/>
  <c r="J69" i="11"/>
  <c r="H67" i="11"/>
  <c r="K67" i="11" s="1"/>
  <c r="I66" i="11"/>
  <c r="J112" i="11"/>
  <c r="I109" i="11"/>
  <c r="J108" i="11"/>
  <c r="I105" i="11"/>
  <c r="J104" i="11"/>
  <c r="I101" i="11"/>
  <c r="K101" i="11" s="1"/>
  <c r="J100" i="11"/>
  <c r="I97" i="11"/>
  <c r="J96" i="11"/>
  <c r="I93" i="11"/>
  <c r="J92" i="11"/>
  <c r="I89" i="11"/>
  <c r="J88" i="11"/>
  <c r="I85" i="11"/>
  <c r="K85" i="11" s="1"/>
  <c r="J84" i="11"/>
  <c r="I81" i="11"/>
  <c r="J80" i="11"/>
  <c r="I77" i="11"/>
  <c r="J76" i="11"/>
  <c r="I73" i="11"/>
  <c r="J72" i="11"/>
  <c r="I69" i="11"/>
  <c r="K69" i="11" s="1"/>
  <c r="J68" i="11"/>
  <c r="I36" i="11"/>
  <c r="H25" i="11"/>
  <c r="J42" i="11"/>
  <c r="J34" i="11"/>
  <c r="I58" i="11"/>
  <c r="J26" i="11"/>
  <c r="J50" i="11"/>
  <c r="I144" i="11"/>
  <c r="I59" i="11"/>
  <c r="H52" i="11"/>
  <c r="H44" i="11"/>
  <c r="H36" i="11"/>
  <c r="H28" i="11"/>
  <c r="I56" i="11"/>
  <c r="I40" i="11"/>
  <c r="I32" i="11"/>
  <c r="J54" i="11"/>
  <c r="J46" i="11"/>
  <c r="J38" i="11"/>
  <c r="J30" i="11"/>
  <c r="J22" i="11"/>
  <c r="H64" i="11"/>
  <c r="J62" i="11"/>
  <c r="H60" i="11"/>
  <c r="J58" i="11"/>
  <c r="H56" i="11"/>
  <c r="H48" i="11"/>
  <c r="H40" i="11"/>
  <c r="H32" i="11"/>
  <c r="H24" i="11"/>
  <c r="I55" i="11"/>
  <c r="I43" i="11"/>
  <c r="I39" i="11"/>
  <c r="I35" i="11"/>
  <c r="I31" i="11"/>
  <c r="I27" i="11"/>
  <c r="I23" i="11"/>
  <c r="H55" i="11"/>
  <c r="I54" i="11"/>
  <c r="J53" i="11"/>
  <c r="H51" i="11"/>
  <c r="J49" i="11"/>
  <c r="H47" i="11"/>
  <c r="J45" i="11"/>
  <c r="H43" i="11"/>
  <c r="I42" i="11"/>
  <c r="J41" i="11"/>
  <c r="H39" i="11"/>
  <c r="I38" i="11"/>
  <c r="J37" i="11"/>
  <c r="H35" i="11"/>
  <c r="I34" i="11"/>
  <c r="J33" i="11"/>
  <c r="H31" i="11"/>
  <c r="I30" i="11"/>
  <c r="J29" i="11"/>
  <c r="H27" i="11"/>
  <c r="I26" i="11"/>
  <c r="J25" i="11"/>
  <c r="H23" i="11"/>
  <c r="I22" i="11"/>
  <c r="H144" i="11"/>
  <c r="H63" i="11"/>
  <c r="J61" i="11"/>
  <c r="H59" i="11"/>
  <c r="J57" i="11"/>
  <c r="I65" i="11"/>
  <c r="J64" i="11"/>
  <c r="J60" i="11"/>
  <c r="I57" i="11"/>
  <c r="K57" i="11" s="1"/>
  <c r="J56" i="11"/>
  <c r="I53" i="11"/>
  <c r="J48" i="11"/>
  <c r="J44" i="11"/>
  <c r="I41" i="11"/>
  <c r="J40" i="11"/>
  <c r="I37" i="11"/>
  <c r="J36" i="11"/>
  <c r="I33" i="11"/>
  <c r="J32" i="11"/>
  <c r="I29" i="11"/>
  <c r="J28" i="11"/>
  <c r="I25" i="11"/>
  <c r="J24" i="11"/>
  <c r="J19" i="11"/>
  <c r="I19" i="11"/>
  <c r="K186" i="11" l="1"/>
  <c r="K193" i="11"/>
  <c r="K169" i="11"/>
  <c r="K189" i="11"/>
  <c r="K194" i="11"/>
  <c r="K192" i="11"/>
  <c r="K120" i="11"/>
  <c r="K168" i="11"/>
  <c r="K191" i="11"/>
  <c r="K188" i="11"/>
  <c r="K187" i="11"/>
  <c r="K195" i="11"/>
  <c r="K170" i="11"/>
  <c r="K124" i="11"/>
  <c r="K129" i="11"/>
  <c r="K137" i="11"/>
  <c r="K122" i="11"/>
  <c r="K118" i="11"/>
  <c r="K121" i="11"/>
  <c r="K125" i="11"/>
  <c r="K126" i="11"/>
  <c r="K133" i="11"/>
  <c r="K117" i="11"/>
  <c r="K134" i="11"/>
  <c r="K114" i="11"/>
  <c r="K138" i="11"/>
  <c r="K116" i="11"/>
  <c r="K132" i="11"/>
  <c r="K130" i="11"/>
  <c r="K136" i="11"/>
  <c r="K140" i="11"/>
  <c r="K142" i="11"/>
  <c r="K73" i="11"/>
  <c r="K89" i="11"/>
  <c r="K105" i="11"/>
  <c r="K82" i="11"/>
  <c r="K87" i="11"/>
  <c r="K98" i="11"/>
  <c r="K103" i="11"/>
  <c r="K119" i="11"/>
  <c r="K127" i="11"/>
  <c r="K135" i="11"/>
  <c r="K143" i="11"/>
  <c r="K74" i="11"/>
  <c r="K79" i="11"/>
  <c r="K90" i="11"/>
  <c r="K95" i="11"/>
  <c r="K106" i="11"/>
  <c r="K111" i="11"/>
  <c r="K115" i="11"/>
  <c r="K123" i="11"/>
  <c r="K131" i="11"/>
  <c r="K139" i="11"/>
  <c r="K81" i="11"/>
  <c r="K97" i="11"/>
  <c r="K66" i="11"/>
  <c r="K71" i="11"/>
  <c r="K94" i="11"/>
  <c r="K99" i="11"/>
  <c r="K110" i="11"/>
  <c r="K78" i="11"/>
  <c r="K77" i="11"/>
  <c r="K93" i="11"/>
  <c r="K109" i="11"/>
  <c r="K70" i="11"/>
  <c r="K102" i="11"/>
  <c r="K68" i="11"/>
  <c r="K80" i="11"/>
  <c r="K86" i="11"/>
  <c r="K96" i="11"/>
  <c r="K112" i="11"/>
  <c r="K72" i="11"/>
  <c r="K83" i="11"/>
  <c r="K76" i="11"/>
  <c r="K92" i="11"/>
  <c r="K108" i="11"/>
  <c r="K88" i="11"/>
  <c r="K104" i="11"/>
  <c r="K75" i="11"/>
  <c r="K91" i="11"/>
  <c r="K107" i="11"/>
  <c r="K84" i="11"/>
  <c r="K100" i="11"/>
  <c r="K26" i="11"/>
  <c r="K33" i="11"/>
  <c r="K42" i="11"/>
  <c r="K36" i="11"/>
  <c r="K38" i="11"/>
  <c r="K37" i="11"/>
  <c r="K53" i="11"/>
  <c r="K34" i="11"/>
  <c r="K24" i="11"/>
  <c r="K25" i="11"/>
  <c r="K41" i="11"/>
  <c r="K28" i="11"/>
  <c r="K59" i="11"/>
  <c r="K58" i="11"/>
  <c r="K144" i="11"/>
  <c r="K54" i="11"/>
  <c r="K32" i="11"/>
  <c r="K30" i="11"/>
  <c r="K60" i="11"/>
  <c r="K35" i="11"/>
  <c r="K29" i="11"/>
  <c r="K40" i="11"/>
  <c r="K56" i="11"/>
  <c r="K22" i="11"/>
  <c r="K27" i="11"/>
  <c r="K43" i="11"/>
  <c r="K31" i="11"/>
  <c r="K23" i="11"/>
  <c r="K39" i="11"/>
  <c r="K55" i="11"/>
  <c r="K19" i="11"/>
  <c r="D171" i="11" l="1"/>
  <c r="H171" i="11" s="1"/>
  <c r="H172" i="11"/>
  <c r="I172" i="11"/>
  <c r="J172" i="11"/>
  <c r="G173" i="11"/>
  <c r="H173" i="11" s="1"/>
  <c r="I173" i="11"/>
  <c r="J173" i="11"/>
  <c r="G174" i="11"/>
  <c r="H174" i="11" s="1"/>
  <c r="I174" i="11"/>
  <c r="J174" i="11"/>
  <c r="G175" i="11"/>
  <c r="H175" i="11" s="1"/>
  <c r="J175" i="11"/>
  <c r="G176" i="11"/>
  <c r="J176" i="11" s="1"/>
  <c r="H177" i="11"/>
  <c r="I177" i="11"/>
  <c r="G177" i="11"/>
  <c r="J177" i="11" s="1"/>
  <c r="H179" i="11"/>
  <c r="I179" i="11"/>
  <c r="J179" i="11"/>
  <c r="H180" i="11"/>
  <c r="G180" i="11"/>
  <c r="I180" i="11" s="1"/>
  <c r="J180" i="11"/>
  <c r="H181" i="11"/>
  <c r="G181" i="11"/>
  <c r="I181" i="11" s="1"/>
  <c r="J181" i="11"/>
  <c r="H182" i="11"/>
  <c r="G182" i="11"/>
  <c r="I182" i="11" s="1"/>
  <c r="J182" i="11"/>
  <c r="H183" i="11"/>
  <c r="G183" i="11"/>
  <c r="I183" i="11" s="1"/>
  <c r="J183" i="11"/>
  <c r="H184" i="11"/>
  <c r="I184" i="11"/>
  <c r="G184" i="11"/>
  <c r="J184" i="11" s="1"/>
  <c r="H196" i="11"/>
  <c r="D197" i="11"/>
  <c r="H197" i="11" s="1"/>
  <c r="G171" i="11"/>
  <c r="G172" i="11"/>
  <c r="G179" i="11"/>
  <c r="G196" i="11"/>
  <c r="F52" i="11"/>
  <c r="J52" i="11" s="1"/>
  <c r="K52" i="11" s="1"/>
  <c r="D15" i="11"/>
  <c r="H15" i="11" s="1"/>
  <c r="H16" i="11"/>
  <c r="H17" i="11"/>
  <c r="G17" i="11"/>
  <c r="I17" i="11" s="1"/>
  <c r="J17" i="11"/>
  <c r="H18" i="11"/>
  <c r="I18" i="11"/>
  <c r="G18" i="11"/>
  <c r="J18" i="11" s="1"/>
  <c r="H20" i="11"/>
  <c r="D21" i="11"/>
  <c r="H21" i="11" s="1"/>
  <c r="G15" i="11"/>
  <c r="G16" i="11"/>
  <c r="G20" i="11"/>
  <c r="G21" i="11"/>
  <c r="D8" i="59"/>
  <c r="M198" i="11"/>
  <c r="M60" i="11"/>
  <c r="M43" i="11"/>
  <c r="M2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165" i="11"/>
  <c r="E165" i="11"/>
  <c r="D165" i="11"/>
  <c r="J165" i="11" s="1"/>
  <c r="G164" i="11"/>
  <c r="E164" i="11"/>
  <c r="D164" i="11"/>
  <c r="J164" i="11" s="1"/>
  <c r="G163" i="11"/>
  <c r="E163" i="11"/>
  <c r="D163" i="11"/>
  <c r="I163" i="11" s="1"/>
  <c r="G162" i="11"/>
  <c r="E162" i="11"/>
  <c r="D162" i="11"/>
  <c r="H162" i="11" s="1"/>
  <c r="G161" i="11"/>
  <c r="E161" i="11"/>
  <c r="D161" i="11"/>
  <c r="H161" i="11" s="1"/>
  <c r="G160" i="11"/>
  <c r="E160" i="11"/>
  <c r="D160" i="11"/>
  <c r="J160" i="11" s="1"/>
  <c r="G159" i="11"/>
  <c r="E159" i="11"/>
  <c r="D159" i="11"/>
  <c r="J159" i="11" s="1"/>
  <c r="G158" i="11"/>
  <c r="E158" i="11"/>
  <c r="D158" i="11"/>
  <c r="J158" i="11" s="1"/>
  <c r="G157" i="11"/>
  <c r="E157" i="11"/>
  <c r="D157" i="11"/>
  <c r="J157" i="11" s="1"/>
  <c r="G156" i="11"/>
  <c r="E156" i="11"/>
  <c r="D156" i="11"/>
  <c r="J156" i="11" s="1"/>
  <c r="G155" i="11"/>
  <c r="E155" i="11"/>
  <c r="D155" i="11"/>
  <c r="I155" i="11" s="1"/>
  <c r="G154" i="11"/>
  <c r="E154" i="11"/>
  <c r="D154" i="11"/>
  <c r="H154" i="11" s="1"/>
  <c r="G153" i="11"/>
  <c r="E153" i="11"/>
  <c r="D153" i="11"/>
  <c r="H153" i="11" s="1"/>
  <c r="G152" i="11"/>
  <c r="E152" i="11"/>
  <c r="D152" i="11"/>
  <c r="J152" i="11" s="1"/>
  <c r="G151" i="11"/>
  <c r="E151" i="11"/>
  <c r="D151" i="11"/>
  <c r="J151" i="11" s="1"/>
  <c r="G150" i="11"/>
  <c r="E150" i="11"/>
  <c r="D150" i="11"/>
  <c r="H150" i="11" s="1"/>
  <c r="G149" i="11"/>
  <c r="E149" i="11"/>
  <c r="D149" i="11"/>
  <c r="J149" i="11" s="1"/>
  <c r="G148" i="11"/>
  <c r="E148" i="11"/>
  <c r="D148" i="11"/>
  <c r="J148" i="11" s="1"/>
  <c r="G147" i="11"/>
  <c r="E147" i="11"/>
  <c r="D147" i="11"/>
  <c r="I147" i="11" s="1"/>
  <c r="G146" i="11"/>
  <c r="E146" i="11"/>
  <c r="D146" i="11"/>
  <c r="H146" i="11" s="1"/>
  <c r="G145" i="11"/>
  <c r="E145" i="11"/>
  <c r="D145" i="11"/>
  <c r="H145" i="11" s="1"/>
  <c r="F65" i="11"/>
  <c r="J65" i="11" s="1"/>
  <c r="K65" i="11" s="1"/>
  <c r="F64" i="11"/>
  <c r="I64" i="11" s="1"/>
  <c r="K64" i="11" s="1"/>
  <c r="F63" i="11"/>
  <c r="I63" i="11" s="1"/>
  <c r="K63" i="11" s="1"/>
  <c r="F62" i="11"/>
  <c r="I62" i="11" s="1"/>
  <c r="K62" i="11" s="1"/>
  <c r="F61" i="11"/>
  <c r="I61" i="11" s="1"/>
  <c r="K61" i="11" s="1"/>
  <c r="F51" i="11"/>
  <c r="I51" i="11" s="1"/>
  <c r="K51" i="11" s="1"/>
  <c r="F50" i="11"/>
  <c r="I50" i="11" s="1"/>
  <c r="K50" i="11" s="1"/>
  <c r="F49" i="11"/>
  <c r="I49" i="11" s="1"/>
  <c r="K49" i="11" s="1"/>
  <c r="F48" i="11"/>
  <c r="I48" i="11" s="1"/>
  <c r="K48" i="11" s="1"/>
  <c r="F47" i="11"/>
  <c r="I47" i="11" s="1"/>
  <c r="K47" i="11" s="1"/>
  <c r="F46" i="11"/>
  <c r="I46" i="11" s="1"/>
  <c r="K46" i="11" s="1"/>
  <c r="F45" i="11"/>
  <c r="I45" i="11" s="1"/>
  <c r="K45" i="11" s="1"/>
  <c r="F44" i="11"/>
  <c r="I44" i="11" s="1"/>
  <c r="K44" i="11" s="1"/>
  <c r="M25" i="11"/>
  <c r="M144" i="11"/>
  <c r="D14" i="59"/>
  <c r="F3" i="54" s="1"/>
  <c r="E21" i="11"/>
  <c r="E15" i="11"/>
  <c r="A15" i="11"/>
  <c r="D19" i="59"/>
  <c r="D18" i="59"/>
  <c r="M16" i="11"/>
  <c r="E171" i="11"/>
  <c r="D166" i="11"/>
  <c r="J166" i="11" s="1"/>
  <c r="E166" i="11"/>
  <c r="M170" i="11"/>
  <c r="E197" i="11"/>
  <c r="G197" i="11"/>
  <c r="D14" i="11"/>
  <c r="H14" i="11" s="1"/>
  <c r="E14" i="11"/>
  <c r="G14" i="11"/>
  <c r="K19" i="60"/>
  <c r="D19" i="60"/>
  <c r="M197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8" i="60"/>
  <c r="D7" i="60"/>
  <c r="K18" i="60"/>
  <c r="K17" i="60"/>
  <c r="D17" i="60"/>
  <c r="D18" i="60"/>
  <c r="D20" i="60"/>
  <c r="D6" i="60"/>
  <c r="D9" i="60"/>
  <c r="D198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98" i="11"/>
  <c r="D199" i="11"/>
  <c r="H199" i="11" s="1"/>
  <c r="E199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199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67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98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206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M167" i="1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F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175" i="11" l="1"/>
  <c r="K175" i="11" s="1"/>
  <c r="H176" i="11"/>
  <c r="I176" i="11"/>
  <c r="J150" i="11"/>
  <c r="F314" i="29"/>
  <c r="I166" i="11"/>
  <c r="D9" i="59"/>
  <c r="K7" i="54" s="1"/>
  <c r="C7" i="54"/>
  <c r="C8" i="54"/>
  <c r="I8" i="54" s="1"/>
  <c r="D22" i="59"/>
  <c r="K8" i="60" s="1"/>
  <c r="D21" i="59"/>
  <c r="K7" i="60" s="1"/>
  <c r="K9" i="60" s="1"/>
  <c r="K16" i="60" s="1"/>
  <c r="K20" i="60" s="1"/>
  <c r="K180" i="11"/>
  <c r="M180" i="11" s="1"/>
  <c r="D345" i="29"/>
  <c r="E345" i="29" s="1"/>
  <c r="K183" i="11"/>
  <c r="M183" i="11" s="1"/>
  <c r="D339" i="29"/>
  <c r="E339" i="29" s="1"/>
  <c r="H7" i="54"/>
  <c r="D5" i="60"/>
  <c r="K5" i="60" s="1"/>
  <c r="K182" i="11"/>
  <c r="M182" i="11" s="1"/>
  <c r="K17" i="11"/>
  <c r="F717" i="41"/>
  <c r="F739" i="41"/>
  <c r="D802" i="41"/>
  <c r="E802" i="41" s="1"/>
  <c r="D312" i="29"/>
  <c r="E312" i="29" s="1"/>
  <c r="K173" i="11"/>
  <c r="K179" i="11"/>
  <c r="M179" i="11" s="1"/>
  <c r="K174" i="11"/>
  <c r="K172" i="11"/>
  <c r="K181" i="11"/>
  <c r="M181" i="11" s="1"/>
  <c r="F762" i="41"/>
  <c r="E247" i="29"/>
  <c r="F866" i="41"/>
  <c r="E858" i="41"/>
  <c r="F315" i="29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165" i="11"/>
  <c r="F776" i="41"/>
  <c r="F302" i="29"/>
  <c r="F304" i="29"/>
  <c r="I149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199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760" i="41"/>
  <c r="E760" i="41"/>
  <c r="E1020" i="41"/>
  <c r="E1037" i="41"/>
  <c r="E1004" i="41"/>
  <c r="E1216" i="41"/>
  <c r="E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F294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145" i="11"/>
  <c r="E1116" i="41"/>
  <c r="E1123" i="41"/>
  <c r="E938" i="41"/>
  <c r="E1099" i="41"/>
  <c r="E326" i="29"/>
  <c r="F326" i="29"/>
  <c r="F839" i="41"/>
  <c r="E1029" i="41"/>
  <c r="F847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149" i="11"/>
  <c r="F290" i="29"/>
  <c r="E307" i="29"/>
  <c r="F232" i="29"/>
  <c r="F246" i="29"/>
  <c r="J147" i="11"/>
  <c r="F819" i="41"/>
  <c r="E990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160" i="11"/>
  <c r="H152" i="11"/>
  <c r="E880" i="41"/>
  <c r="E722" i="41"/>
  <c r="E286" i="29"/>
  <c r="E872" i="41"/>
  <c r="E1121" i="41"/>
  <c r="E245" i="29"/>
  <c r="I158" i="11"/>
  <c r="E1128" i="41"/>
  <c r="E1057" i="41"/>
  <c r="E966" i="41"/>
  <c r="E1226" i="41"/>
  <c r="E882" i="41"/>
  <c r="E784" i="41"/>
  <c r="F784" i="41"/>
  <c r="E728" i="41"/>
  <c r="F728" i="41"/>
  <c r="E1289" i="41"/>
  <c r="E792" i="41"/>
  <c r="F792" i="41"/>
  <c r="F352" i="29"/>
  <c r="E352" i="29"/>
  <c r="E946" i="41"/>
  <c r="F805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F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F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199" i="11"/>
  <c r="I151" i="11"/>
  <c r="J21" i="11"/>
  <c r="F340" i="29"/>
  <c r="F318" i="29"/>
  <c r="E262" i="29"/>
  <c r="E281" i="29"/>
  <c r="F305" i="29"/>
  <c r="J36" i="39"/>
  <c r="M32" i="11"/>
  <c r="H163" i="11"/>
  <c r="J155" i="11"/>
  <c r="J145" i="11"/>
  <c r="I153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156" i="11"/>
  <c r="H164" i="11"/>
  <c r="H148" i="11"/>
  <c r="I159" i="11"/>
  <c r="I154" i="11"/>
  <c r="H159" i="11"/>
  <c r="H155" i="11"/>
  <c r="I157" i="11"/>
  <c r="H165" i="11"/>
  <c r="J163" i="11"/>
  <c r="H160" i="11"/>
  <c r="J146" i="11"/>
  <c r="M23" i="11"/>
  <c r="I164" i="11"/>
  <c r="I148" i="11"/>
  <c r="H156" i="11"/>
  <c r="H157" i="11"/>
  <c r="I162" i="11"/>
  <c r="J162" i="11"/>
  <c r="J154" i="11"/>
  <c r="J161" i="11"/>
  <c r="H158" i="11"/>
  <c r="I161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337" i="29" s="1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J167" i="11"/>
  <c r="I167" i="11"/>
  <c r="H167" i="11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171" i="11"/>
  <c r="H147" i="11"/>
  <c r="I146" i="11"/>
  <c r="H151" i="11"/>
  <c r="I152" i="11"/>
  <c r="J153" i="11"/>
  <c r="I150" i="11"/>
  <c r="J16" i="11"/>
  <c r="J197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E60" i="39"/>
  <c r="E327" i="29"/>
  <c r="E361" i="29"/>
  <c r="F361" i="29"/>
  <c r="E68" i="39"/>
  <c r="E366" i="29"/>
  <c r="E57" i="39"/>
  <c r="E61" i="39"/>
  <c r="F61" i="39"/>
  <c r="E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H166" i="11"/>
  <c r="K18" i="11"/>
  <c r="F274" i="29"/>
  <c r="E267" i="29"/>
  <c r="K184" i="11"/>
  <c r="M184" i="11" s="1"/>
  <c r="K177" i="11"/>
  <c r="M177" i="11" s="1"/>
  <c r="I197" i="11"/>
  <c r="J196" i="11"/>
  <c r="I171" i="11"/>
  <c r="I21" i="11"/>
  <c r="J20" i="11"/>
  <c r="I16" i="11"/>
  <c r="J15" i="11"/>
  <c r="I196" i="11"/>
  <c r="I20" i="11"/>
  <c r="I15" i="11"/>
  <c r="F837" i="41" l="1"/>
  <c r="F347" i="29"/>
  <c r="F827" i="41"/>
  <c r="F335" i="29"/>
  <c r="F334" i="29"/>
  <c r="F825" i="41"/>
  <c r="F824" i="41"/>
  <c r="F60" i="39"/>
  <c r="F908" i="41"/>
  <c r="F63" i="39"/>
  <c r="F1221" i="41"/>
  <c r="F59" i="39"/>
  <c r="F1176" i="41"/>
  <c r="F1308" i="41"/>
  <c r="F368" i="29"/>
  <c r="F72" i="39"/>
  <c r="F925" i="41"/>
  <c r="F367" i="29"/>
  <c r="F1145" i="41"/>
  <c r="F1198" i="41"/>
  <c r="F881" i="41"/>
  <c r="F1071" i="41"/>
  <c r="F1154" i="41"/>
  <c r="F364" i="29"/>
  <c r="K15" i="11"/>
  <c r="M15" i="11" s="1"/>
  <c r="K176" i="11"/>
  <c r="K150" i="11"/>
  <c r="M150" i="11" s="1"/>
  <c r="F292" i="29"/>
  <c r="K158" i="11"/>
  <c r="M158" i="11" s="1"/>
  <c r="F228" i="29"/>
  <c r="K14" i="11"/>
  <c r="M14" i="11" s="1"/>
  <c r="F854" i="41"/>
  <c r="F782" i="41"/>
  <c r="F718" i="41"/>
  <c r="F12" i="41" s="1"/>
  <c r="K157" i="11"/>
  <c r="M157" i="11" s="1"/>
  <c r="F838" i="41"/>
  <c r="F332" i="29"/>
  <c r="K166" i="11"/>
  <c r="M166" i="11" s="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165" i="11"/>
  <c r="M165" i="11" s="1"/>
  <c r="K21" i="11"/>
  <c r="M21" i="11" s="1"/>
  <c r="M64" i="11"/>
  <c r="M168" i="11"/>
  <c r="M34" i="11"/>
  <c r="K156" i="11"/>
  <c r="M156" i="11" s="1"/>
  <c r="K160" i="11"/>
  <c r="M160" i="11" s="1"/>
  <c r="K155" i="11"/>
  <c r="M155" i="11" s="1"/>
  <c r="K151" i="11"/>
  <c r="M151" i="11" s="1"/>
  <c r="M63" i="11"/>
  <c r="M45" i="11"/>
  <c r="M42" i="11"/>
  <c r="K149" i="11"/>
  <c r="M149" i="11" s="1"/>
  <c r="M49" i="11"/>
  <c r="K199" i="11"/>
  <c r="K153" i="11"/>
  <c r="M153" i="11" s="1"/>
  <c r="K152" i="11"/>
  <c r="M152" i="11" s="1"/>
  <c r="M27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6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M51" i="1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148" i="11"/>
  <c r="M148" i="11" s="1"/>
  <c r="K164" i="11"/>
  <c r="M164" i="11" s="1"/>
  <c r="M65" i="11"/>
  <c r="M61" i="11"/>
  <c r="K161" i="11"/>
  <c r="M161" i="11" s="1"/>
  <c r="K145" i="11"/>
  <c r="M145" i="11" s="1"/>
  <c r="K162" i="11"/>
  <c r="M162" i="11" s="1"/>
  <c r="M50" i="11"/>
  <c r="K159" i="11"/>
  <c r="M159" i="11" s="1"/>
  <c r="K16" i="11"/>
  <c r="K147" i="11"/>
  <c r="M147" i="11" s="1"/>
  <c r="M62" i="11"/>
  <c r="K163" i="11"/>
  <c r="M163" i="11" s="1"/>
  <c r="K36" i="39"/>
  <c r="M47" i="11"/>
  <c r="K146" i="11"/>
  <c r="M146" i="11" s="1"/>
  <c r="M30" i="11"/>
  <c r="M48" i="11"/>
  <c r="M112" i="11"/>
  <c r="M46" i="11"/>
  <c r="K154" i="11"/>
  <c r="M154" i="11" s="1"/>
  <c r="F802" i="41"/>
  <c r="F346" i="29"/>
  <c r="M28" i="11"/>
  <c r="K20" i="11"/>
  <c r="M20" i="11" s="1"/>
  <c r="K171" i="11"/>
  <c r="M171" i="11" s="1"/>
  <c r="F836" i="41"/>
  <c r="F345" i="29"/>
  <c r="M52" i="11"/>
  <c r="K196" i="11"/>
  <c r="M196" i="11" s="1"/>
  <c r="K197" i="11"/>
  <c r="M31" i="11"/>
  <c r="M33" i="11"/>
  <c r="F339" i="29"/>
  <c r="F729" i="41"/>
  <c r="K167" i="11"/>
  <c r="M29" i="11"/>
  <c r="F312" i="29"/>
  <c r="F829" i="41"/>
  <c r="M44" i="11"/>
  <c r="F350" i="29"/>
  <c r="F840" i="41"/>
  <c r="I198" i="11"/>
  <c r="I201" i="11" s="1"/>
  <c r="J198" i="11"/>
  <c r="J201" i="11" s="1"/>
  <c r="F239" i="29"/>
  <c r="F835" i="41"/>
  <c r="M24" i="11"/>
  <c r="H198" i="11"/>
  <c r="H201" i="11" s="1"/>
  <c r="F16" i="39" l="1"/>
  <c r="C16" i="29"/>
  <c r="D16" i="29" s="1"/>
  <c r="I16" i="29" s="1"/>
  <c r="C12" i="41"/>
  <c r="B12" i="41" s="1"/>
  <c r="H12" i="41" s="1"/>
  <c r="L8" i="54"/>
  <c r="M8" i="54" s="1"/>
  <c r="D9" i="54"/>
  <c r="C10" i="54"/>
  <c r="I9" i="54"/>
  <c r="H9" i="54"/>
  <c r="C16" i="39"/>
  <c r="D16" i="39" s="1"/>
  <c r="C14" i="41"/>
  <c r="F16" i="29"/>
  <c r="C35" i="39"/>
  <c r="D35" i="39" s="1"/>
  <c r="F25" i="39"/>
  <c r="F30" i="39"/>
  <c r="F28" i="39"/>
  <c r="F36" i="39"/>
  <c r="F27" i="39"/>
  <c r="C21" i="39"/>
  <c r="F29" i="39"/>
  <c r="F35" i="39"/>
  <c r="C30" i="39"/>
  <c r="G30" i="39" s="1"/>
  <c r="C25" i="39"/>
  <c r="C20" i="39"/>
  <c r="G20" i="39" s="1"/>
  <c r="C17" i="39"/>
  <c r="G17" i="39" s="1"/>
  <c r="C22" i="39"/>
  <c r="G22" i="39" s="1"/>
  <c r="F18" i="39"/>
  <c r="C33" i="39"/>
  <c r="D33" i="39" s="1"/>
  <c r="C31" i="39"/>
  <c r="B31" i="39" s="1"/>
  <c r="E31" i="39" s="1"/>
  <c r="F21" i="39"/>
  <c r="C18" i="39"/>
  <c r="F33" i="39"/>
  <c r="C28" i="39"/>
  <c r="D28" i="39" s="1"/>
  <c r="F24" i="39"/>
  <c r="C27" i="39"/>
  <c r="F19" i="39"/>
  <c r="C19" i="39"/>
  <c r="G19" i="39" s="1"/>
  <c r="F34" i="39"/>
  <c r="F26" i="39"/>
  <c r="C23" i="39"/>
  <c r="B23" i="39" s="1"/>
  <c r="E23" i="39" s="1"/>
  <c r="F17" i="39"/>
  <c r="C24" i="39"/>
  <c r="B24" i="39" s="1"/>
  <c r="E24" i="39" s="1"/>
  <c r="C34" i="39"/>
  <c r="C29" i="39"/>
  <c r="B29" i="39" s="1"/>
  <c r="E29" i="39" s="1"/>
  <c r="F23" i="39"/>
  <c r="C26" i="39"/>
  <c r="B26" i="39" s="1"/>
  <c r="E26" i="39" s="1"/>
  <c r="F22" i="39"/>
  <c r="C32" i="39"/>
  <c r="B32" i="39" s="1"/>
  <c r="E32" i="39" s="1"/>
  <c r="F32" i="39"/>
  <c r="F31" i="39"/>
  <c r="F20" i="39"/>
  <c r="F547" i="41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G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B517" i="41" s="1"/>
  <c r="F590" i="41"/>
  <c r="C423" i="41"/>
  <c r="D423" i="41" s="1"/>
  <c r="C78" i="41"/>
  <c r="B78" i="41" s="1"/>
  <c r="C458" i="41"/>
  <c r="B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202" i="11"/>
  <c r="J203" i="11" s="1"/>
  <c r="I202" i="11"/>
  <c r="I203" i="11" s="1"/>
  <c r="H202" i="11"/>
  <c r="H203" i="11" s="1"/>
  <c r="B397" i="41"/>
  <c r="B593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D25" i="39"/>
  <c r="B25" i="39"/>
  <c r="E25" i="39" s="1"/>
  <c r="G25" i="39"/>
  <c r="B21" i="39"/>
  <c r="E21" i="39" s="1"/>
  <c r="D21" i="39"/>
  <c r="G21" i="39"/>
  <c r="G14" i="41"/>
  <c r="D14" i="41"/>
  <c r="L14" i="41"/>
  <c r="B14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B27" i="39"/>
  <c r="E27" i="39" s="1"/>
  <c r="G27" i="39"/>
  <c r="D27" i="3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198" i="11"/>
  <c r="K201" i="11" s="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G34" i="39"/>
  <c r="D34" i="39"/>
  <c r="B34" i="39"/>
  <c r="E34" i="39" s="1"/>
  <c r="G29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L517" i="41"/>
  <c r="D458" i="41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B22" i="39"/>
  <c r="E22" i="39" s="1"/>
  <c r="D18" i="39"/>
  <c r="G18" i="39"/>
  <c r="B18" i="39"/>
  <c r="E18" i="39" s="1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L596" i="41" l="1"/>
  <c r="D305" i="41"/>
  <c r="L461" i="41"/>
  <c r="L15" i="41"/>
  <c r="G486" i="41"/>
  <c r="B15" i="41"/>
  <c r="E15" i="41" s="1"/>
  <c r="D15" i="41"/>
  <c r="D32" i="39"/>
  <c r="H32" i="39" s="1"/>
  <c r="D23" i="39"/>
  <c r="I23" i="39" s="1"/>
  <c r="J12" i="41"/>
  <c r="G12" i="41"/>
  <c r="E12" i="41"/>
  <c r="G458" i="41"/>
  <c r="G517" i="41"/>
  <c r="G669" i="41"/>
  <c r="L458" i="41"/>
  <c r="D596" i="41"/>
  <c r="D517" i="41"/>
  <c r="G392" i="41"/>
  <c r="G26" i="39"/>
  <c r="B20" i="39"/>
  <c r="E20" i="39" s="1"/>
  <c r="D20" i="39"/>
  <c r="H20" i="39" s="1"/>
  <c r="B33" i="39"/>
  <c r="E33" i="39" s="1"/>
  <c r="G32" i="39"/>
  <c r="D29" i="39"/>
  <c r="J29" i="39" s="1"/>
  <c r="G23" i="39"/>
  <c r="G33" i="39"/>
  <c r="G35" i="39"/>
  <c r="G672" i="41"/>
  <c r="B426" i="41"/>
  <c r="H426" i="41" s="1"/>
  <c r="B672" i="41"/>
  <c r="E672" i="41" s="1"/>
  <c r="D426" i="41"/>
  <c r="L426" i="41"/>
  <c r="D672" i="41"/>
  <c r="G16" i="39"/>
  <c r="I16" i="39" s="1"/>
  <c r="B16" i="39"/>
  <c r="E16" i="39" s="1"/>
  <c r="D26" i="39"/>
  <c r="H26" i="39" s="1"/>
  <c r="G24" i="39"/>
  <c r="J16" i="29"/>
  <c r="B30" i="39"/>
  <c r="E30" i="39" s="1"/>
  <c r="D22" i="39"/>
  <c r="I22" i="39" s="1"/>
  <c r="B35" i="39"/>
  <c r="E35" i="39" s="1"/>
  <c r="B486" i="41"/>
  <c r="I486" i="41" s="1"/>
  <c r="D24" i="39"/>
  <c r="J24" i="39" s="1"/>
  <c r="D30" i="39"/>
  <c r="I30" i="39" s="1"/>
  <c r="B16" i="29"/>
  <c r="E16" i="29" s="1"/>
  <c r="B461" i="41"/>
  <c r="J461" i="41" s="1"/>
  <c r="D389" i="41"/>
  <c r="D256" i="41"/>
  <c r="G16" i="29"/>
  <c r="H16" i="29" s="1"/>
  <c r="K12" i="41"/>
  <c r="L12" i="41"/>
  <c r="I12" i="41"/>
  <c r="D12" i="41"/>
  <c r="D193" i="41"/>
  <c r="L544" i="41"/>
  <c r="B389" i="41"/>
  <c r="H389" i="41" s="1"/>
  <c r="D544" i="41"/>
  <c r="B510" i="41"/>
  <c r="I510" i="41" s="1"/>
  <c r="B13" i="41"/>
  <c r="J13" i="41" s="1"/>
  <c r="L13" i="41"/>
  <c r="L423" i="41"/>
  <c r="D17" i="39"/>
  <c r="I17" i="39" s="1"/>
  <c r="B423" i="41"/>
  <c r="K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K609" i="41" s="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H282" i="41" s="1"/>
  <c r="D316" i="41"/>
  <c r="B451" i="41"/>
  <c r="K451" i="41" s="1"/>
  <c r="L427" i="41"/>
  <c r="L355" i="41"/>
  <c r="L191" i="41"/>
  <c r="L311" i="41"/>
  <c r="B345" i="41"/>
  <c r="E345" i="41" s="1"/>
  <c r="B191" i="41"/>
  <c r="E191" i="41" s="1"/>
  <c r="G282" i="41"/>
  <c r="B141" i="41"/>
  <c r="E141" i="41" s="1"/>
  <c r="D222" i="41"/>
  <c r="L107" i="41"/>
  <c r="L84" i="41"/>
  <c r="B150" i="41"/>
  <c r="J150" i="41" s="1"/>
  <c r="D19" i="39"/>
  <c r="H19" i="39" s="1"/>
  <c r="B28" i="39"/>
  <c r="E28" i="39" s="1"/>
  <c r="D31" i="39"/>
  <c r="H31" i="39" s="1"/>
  <c r="G609" i="41"/>
  <c r="D492" i="41"/>
  <c r="B311" i="41"/>
  <c r="K311" i="41" s="1"/>
  <c r="B625" i="41"/>
  <c r="I625" i="41" s="1"/>
  <c r="L248" i="41"/>
  <c r="L641" i="41"/>
  <c r="L60" i="41"/>
  <c r="G596" i="41"/>
  <c r="B527" i="41"/>
  <c r="E527" i="41" s="1"/>
  <c r="L79" i="41"/>
  <c r="D41" i="41"/>
  <c r="D383" i="41"/>
  <c r="D155" i="41"/>
  <c r="L342" i="41"/>
  <c r="G353" i="41"/>
  <c r="D527" i="41"/>
  <c r="D60" i="41"/>
  <c r="L510" i="41"/>
  <c r="B294" i="41"/>
  <c r="J294" i="41" s="1"/>
  <c r="G575" i="41"/>
  <c r="G204" i="41"/>
  <c r="D139" i="41"/>
  <c r="L78" i="41"/>
  <c r="D642" i="41"/>
  <c r="B148" i="41"/>
  <c r="H148" i="41" s="1"/>
  <c r="B177" i="41"/>
  <c r="J177" i="41" s="1"/>
  <c r="B261" i="41"/>
  <c r="E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K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J288" i="41" s="1"/>
  <c r="G118" i="41"/>
  <c r="D20" i="41"/>
  <c r="D395" i="41"/>
  <c r="D667" i="41"/>
  <c r="B293" i="41"/>
  <c r="I293" i="41" s="1"/>
  <c r="B455" i="41"/>
  <c r="K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H666" i="41" s="1"/>
  <c r="D355" i="41"/>
  <c r="G141" i="41"/>
  <c r="B316" i="41"/>
  <c r="K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H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I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H94" i="41" s="1"/>
  <c r="G209" i="41"/>
  <c r="D89" i="41"/>
  <c r="D147" i="41"/>
  <c r="B428" i="41"/>
  <c r="E428" i="41" s="1"/>
  <c r="B564" i="41"/>
  <c r="I564" i="41" s="1"/>
  <c r="L151" i="41"/>
  <c r="B507" i="41"/>
  <c r="K507" i="41" s="1"/>
  <c r="B226" i="41"/>
  <c r="K226" i="41" s="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I656" i="41" s="1"/>
  <c r="L471" i="41"/>
  <c r="L565" i="41"/>
  <c r="B616" i="41"/>
  <c r="J616" i="41" s="1"/>
  <c r="L475" i="41"/>
  <c r="B92" i="41"/>
  <c r="H92" i="41" s="1"/>
  <c r="G653" i="41"/>
  <c r="G468" i="41"/>
  <c r="G390" i="41"/>
  <c r="B511" i="41"/>
  <c r="E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I653" i="41" s="1"/>
  <c r="D209" i="41"/>
  <c r="B37" i="41"/>
  <c r="I37" i="41" s="1"/>
  <c r="L468" i="41"/>
  <c r="L261" i="41"/>
  <c r="B390" i="41"/>
  <c r="K390" i="41" s="1"/>
  <c r="B691" i="41"/>
  <c r="E691" i="41" s="1"/>
  <c r="D172" i="41"/>
  <c r="L147" i="41"/>
  <c r="L511" i="41"/>
  <c r="D428" i="41"/>
  <c r="L324" i="41"/>
  <c r="B140" i="41"/>
  <c r="I140" i="41" s="1"/>
  <c r="B164" i="41"/>
  <c r="I164" i="41" s="1"/>
  <c r="L27" i="41"/>
  <c r="D564" i="41"/>
  <c r="L256" i="41"/>
  <c r="G151" i="41"/>
  <c r="B639" i="41"/>
  <c r="I639" i="41" s="1"/>
  <c r="D239" i="41"/>
  <c r="B275" i="41"/>
  <c r="I275" i="41" s="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E468" i="41" s="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H228" i="41" s="1"/>
  <c r="G21" i="41"/>
  <c r="G616" i="41"/>
  <c r="B111" i="41"/>
  <c r="H111" i="41" s="1"/>
  <c r="B595" i="41"/>
  <c r="K595" i="41" s="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I681" i="41" s="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H489" i="41" s="1"/>
  <c r="D406" i="41"/>
  <c r="D453" i="41"/>
  <c r="B418" i="41"/>
  <c r="J418" i="41" s="1"/>
  <c r="B305" i="41"/>
  <c r="K305" i="41" s="1"/>
  <c r="L669" i="41"/>
  <c r="B392" i="41"/>
  <c r="E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K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I322" i="41" s="1"/>
  <c r="G281" i="41"/>
  <c r="D339" i="41"/>
  <c r="G308" i="41"/>
  <c r="B657" i="41"/>
  <c r="K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H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J247" i="41" s="1"/>
  <c r="B238" i="41"/>
  <c r="J238" i="41" s="1"/>
  <c r="B41" i="41"/>
  <c r="I41" i="41" s="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K323" i="41" s="1"/>
  <c r="B529" i="41"/>
  <c r="H529" i="41" s="1"/>
  <c r="L145" i="41"/>
  <c r="L593" i="41"/>
  <c r="D78" i="41"/>
  <c r="B387" i="41"/>
  <c r="K387" i="41" s="1"/>
  <c r="B193" i="41"/>
  <c r="J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J299" i="41" s="1"/>
  <c r="D294" i="41"/>
  <c r="G247" i="41"/>
  <c r="D238" i="41"/>
  <c r="G41" i="41"/>
  <c r="L466" i="41"/>
  <c r="B575" i="41"/>
  <c r="H575" i="41" s="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E383" i="41" s="1"/>
  <c r="G516" i="41"/>
  <c r="G323" i="41"/>
  <c r="B259" i="41"/>
  <c r="E259" i="41" s="1"/>
  <c r="L529" i="41"/>
  <c r="D35" i="41"/>
  <c r="D593" i="41"/>
  <c r="G78" i="41"/>
  <c r="B98" i="41"/>
  <c r="K98" i="41" s="1"/>
  <c r="G387" i="41"/>
  <c r="D477" i="41"/>
  <c r="L375" i="41"/>
  <c r="B56" i="41"/>
  <c r="K56" i="41" s="1"/>
  <c r="G193" i="41"/>
  <c r="L386" i="41"/>
  <c r="B353" i="41"/>
  <c r="H353" i="41" s="1"/>
  <c r="B642" i="41"/>
  <c r="K642" i="41" s="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I18" i="39"/>
  <c r="J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H596" i="41"/>
  <c r="J596" i="41"/>
  <c r="K596" i="41"/>
  <c r="I596" i="41"/>
  <c r="E596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93" i="41"/>
  <c r="H593" i="41"/>
  <c r="J593" i="41"/>
  <c r="I593" i="41"/>
  <c r="K593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J536" i="41"/>
  <c r="I377" i="41"/>
  <c r="E377" i="41"/>
  <c r="H377" i="41"/>
  <c r="K377" i="41"/>
  <c r="J377" i="41"/>
  <c r="E172" i="41"/>
  <c r="I172" i="41"/>
  <c r="K172" i="41"/>
  <c r="J172" i="41"/>
  <c r="H172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J226" i="41"/>
  <c r="E226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J235" i="41"/>
  <c r="I235" i="41"/>
  <c r="E235" i="41"/>
  <c r="K235" i="41"/>
  <c r="H235" i="41"/>
  <c r="E94" i="41"/>
  <c r="I517" i="41"/>
  <c r="H517" i="41"/>
  <c r="J517" i="41"/>
  <c r="K517" i="41"/>
  <c r="E517" i="41"/>
  <c r="K202" i="11"/>
  <c r="K203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26" i="39"/>
  <c r="I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K41" i="41"/>
  <c r="E84" i="41"/>
  <c r="K84" i="41"/>
  <c r="H84" i="41"/>
  <c r="I84" i="41"/>
  <c r="J84" i="41"/>
  <c r="J147" i="41"/>
  <c r="H170" i="41"/>
  <c r="I170" i="41"/>
  <c r="K170" i="41"/>
  <c r="J170" i="41"/>
  <c r="E170" i="41"/>
  <c r="I427" i="41"/>
  <c r="K427" i="41"/>
  <c r="E427" i="41"/>
  <c r="H427" i="41"/>
  <c r="J427" i="41"/>
  <c r="I428" i="41"/>
  <c r="H324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J23" i="39"/>
  <c r="H23" i="39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I45" i="41"/>
  <c r="J275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K527" i="41"/>
  <c r="I222" i="41"/>
  <c r="K222" i="41"/>
  <c r="H222" i="41"/>
  <c r="J222" i="41"/>
  <c r="E222" i="41"/>
  <c r="J426" i="41"/>
  <c r="I426" i="41"/>
  <c r="E426" i="41"/>
  <c r="K426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E574" i="41"/>
  <c r="J653" i="41"/>
  <c r="E455" i="41"/>
  <c r="K468" i="41"/>
  <c r="J468" i="41"/>
  <c r="I650" i="41"/>
  <c r="J650" i="41"/>
  <c r="E650" i="41"/>
  <c r="K650" i="41"/>
  <c r="H650" i="41"/>
  <c r="K641" i="41"/>
  <c r="E641" i="41"/>
  <c r="H641" i="41"/>
  <c r="I641" i="41"/>
  <c r="J641" i="41"/>
  <c r="K288" i="41"/>
  <c r="E288" i="41"/>
  <c r="H564" i="41"/>
  <c r="E150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J19" i="39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J31" i="39"/>
  <c r="J30" i="39"/>
  <c r="J16" i="39"/>
  <c r="H16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K15" i="41"/>
  <c r="H15" i="41"/>
  <c r="I15" i="41"/>
  <c r="J15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I588" i="41"/>
  <c r="H339" i="41"/>
  <c r="K228" i="41"/>
  <c r="K21" i="41"/>
  <c r="E21" i="41"/>
  <c r="I21" i="41"/>
  <c r="H21" i="41"/>
  <c r="J21" i="41"/>
  <c r="J78" i="41"/>
  <c r="I78" i="41"/>
  <c r="H78" i="41"/>
  <c r="K78" i="41"/>
  <c r="E78" i="41"/>
  <c r="K616" i="41"/>
  <c r="H56" i="41"/>
  <c r="E56" i="41"/>
  <c r="E595" i="41"/>
  <c r="H609" i="41"/>
  <c r="E609" i="41"/>
  <c r="J609" i="41"/>
  <c r="I657" i="41" l="1"/>
  <c r="H461" i="41"/>
  <c r="J345" i="41"/>
  <c r="K345" i="41"/>
  <c r="H350" i="41"/>
  <c r="I544" i="41"/>
  <c r="J672" i="41"/>
  <c r="J37" i="41"/>
  <c r="I193" i="41"/>
  <c r="J32" i="39"/>
  <c r="I261" i="41"/>
  <c r="K570" i="41"/>
  <c r="I312" i="41"/>
  <c r="E507" i="41"/>
  <c r="H261" i="41"/>
  <c r="I24" i="39"/>
  <c r="I32" i="39"/>
  <c r="K395" i="41"/>
  <c r="I511" i="41"/>
  <c r="J316" i="41"/>
  <c r="H423" i="41"/>
  <c r="J395" i="41"/>
  <c r="E294" i="41"/>
  <c r="K511" i="41"/>
  <c r="I13" i="41"/>
  <c r="J92" i="41"/>
  <c r="H595" i="41"/>
  <c r="H30" i="39"/>
  <c r="K30" i="39" s="1"/>
  <c r="I31" i="39"/>
  <c r="K31" i="39" s="1"/>
  <c r="I288" i="41"/>
  <c r="H288" i="41"/>
  <c r="K653" i="41"/>
  <c r="H140" i="41"/>
  <c r="K428" i="41"/>
  <c r="I26" i="39"/>
  <c r="K94" i="41"/>
  <c r="I666" i="41"/>
  <c r="I609" i="41"/>
  <c r="J228" i="41"/>
  <c r="J56" i="41"/>
  <c r="E228" i="41"/>
  <c r="I575" i="41"/>
  <c r="H653" i="41"/>
  <c r="K275" i="41"/>
  <c r="E140" i="41"/>
  <c r="H681" i="41"/>
  <c r="H29" i="39"/>
  <c r="K29" i="39" s="1"/>
  <c r="I94" i="41"/>
  <c r="J666" i="41"/>
  <c r="J625" i="41"/>
  <c r="K389" i="41"/>
  <c r="I98" i="41"/>
  <c r="K489" i="41"/>
  <c r="J41" i="41"/>
  <c r="I56" i="41"/>
  <c r="I228" i="41"/>
  <c r="K681" i="41"/>
  <c r="J669" i="41"/>
  <c r="I595" i="41"/>
  <c r="K575" i="41"/>
  <c r="I468" i="41"/>
  <c r="I323" i="41"/>
  <c r="K383" i="41"/>
  <c r="I489" i="41"/>
  <c r="J595" i="41"/>
  <c r="H468" i="41"/>
  <c r="E653" i="41"/>
  <c r="E323" i="41"/>
  <c r="H383" i="41"/>
  <c r="K140" i="41"/>
  <c r="H41" i="41"/>
  <c r="I472" i="41"/>
  <c r="E529" i="41"/>
  <c r="K282" i="41"/>
  <c r="I238" i="41"/>
  <c r="E531" i="41"/>
  <c r="H625" i="41"/>
  <c r="E625" i="41"/>
  <c r="E389" i="41"/>
  <c r="E575" i="41"/>
  <c r="J323" i="41"/>
  <c r="H323" i="41"/>
  <c r="H275" i="41"/>
  <c r="J489" i="41"/>
  <c r="J140" i="41"/>
  <c r="J428" i="41"/>
  <c r="H428" i="41"/>
  <c r="J681" i="41"/>
  <c r="E41" i="41"/>
  <c r="J94" i="41"/>
  <c r="I642" i="41"/>
  <c r="J22" i="39"/>
  <c r="K22" i="39" s="1"/>
  <c r="I669" i="41"/>
  <c r="I226" i="41"/>
  <c r="H226" i="41"/>
  <c r="E666" i="41"/>
  <c r="K536" i="41"/>
  <c r="K625" i="41"/>
  <c r="I389" i="41"/>
  <c r="J575" i="41"/>
  <c r="E98" i="41"/>
  <c r="E275" i="41"/>
  <c r="E489" i="41"/>
  <c r="E681" i="41"/>
  <c r="K666" i="41"/>
  <c r="H536" i="41"/>
  <c r="J409" i="41"/>
  <c r="J389" i="41"/>
  <c r="H656" i="41"/>
  <c r="K574" i="41"/>
  <c r="E281" i="41"/>
  <c r="K267" i="41"/>
  <c r="I18" i="41"/>
  <c r="I177" i="41"/>
  <c r="H392" i="41"/>
  <c r="H639" i="41"/>
  <c r="I691" i="41"/>
  <c r="E267" i="41"/>
  <c r="I455" i="41"/>
  <c r="I600" i="41"/>
  <c r="K424" i="41"/>
  <c r="I345" i="41"/>
  <c r="E639" i="41"/>
  <c r="E424" i="41"/>
  <c r="J656" i="41"/>
  <c r="E657" i="41"/>
  <c r="H255" i="41"/>
  <c r="E322" i="41"/>
  <c r="I19" i="39"/>
  <c r="H267" i="41"/>
  <c r="H455" i="41"/>
  <c r="H345" i="41"/>
  <c r="E299" i="41"/>
  <c r="I574" i="41"/>
  <c r="K193" i="41"/>
  <c r="J281" i="41"/>
  <c r="J639" i="41"/>
  <c r="K691" i="41"/>
  <c r="J691" i="41"/>
  <c r="K37" i="41"/>
  <c r="E37" i="41"/>
  <c r="I461" i="41"/>
  <c r="I672" i="41"/>
  <c r="J392" i="41"/>
  <c r="K656" i="41"/>
  <c r="E656" i="41"/>
  <c r="J255" i="41"/>
  <c r="K322" i="41"/>
  <c r="J267" i="41"/>
  <c r="H574" i="41"/>
  <c r="H193" i="41"/>
  <c r="J45" i="41"/>
  <c r="H691" i="41"/>
  <c r="H37" i="41"/>
  <c r="K544" i="41"/>
  <c r="I350" i="41"/>
  <c r="E461" i="41"/>
  <c r="K461" i="41"/>
  <c r="K672" i="41"/>
  <c r="J424" i="41"/>
  <c r="J657" i="41"/>
  <c r="I255" i="41"/>
  <c r="J455" i="41"/>
  <c r="H299" i="41"/>
  <c r="H281" i="41"/>
  <c r="K639" i="41"/>
  <c r="H247" i="41"/>
  <c r="H544" i="41"/>
  <c r="J350" i="41"/>
  <c r="H486" i="41"/>
  <c r="I424" i="41"/>
  <c r="K392" i="41"/>
  <c r="H657" i="41"/>
  <c r="K255" i="41"/>
  <c r="H322" i="41"/>
  <c r="I299" i="41"/>
  <c r="E193" i="41"/>
  <c r="I281" i="41"/>
  <c r="K45" i="41"/>
  <c r="E558" i="41"/>
  <c r="I247" i="41"/>
  <c r="J558" i="41"/>
  <c r="E45" i="41"/>
  <c r="I392" i="41"/>
  <c r="J322" i="41"/>
  <c r="K299" i="41"/>
  <c r="K247" i="41"/>
  <c r="E65" i="41"/>
  <c r="J98" i="41"/>
  <c r="H98" i="41"/>
  <c r="J383" i="41"/>
  <c r="E642" i="41"/>
  <c r="E669" i="41"/>
  <c r="H531" i="41"/>
  <c r="E409" i="41"/>
  <c r="I383" i="41"/>
  <c r="J642" i="41"/>
  <c r="H669" i="41"/>
  <c r="K409" i="41"/>
  <c r="J585" i="41"/>
  <c r="I570" i="41"/>
  <c r="E316" i="41"/>
  <c r="J311" i="41"/>
  <c r="E423" i="41"/>
  <c r="H395" i="41"/>
  <c r="K261" i="41"/>
  <c r="I294" i="41"/>
  <c r="H294" i="41"/>
  <c r="J282" i="41"/>
  <c r="J511" i="41"/>
  <c r="E13" i="41"/>
  <c r="I459" i="41"/>
  <c r="H507" i="41"/>
  <c r="E570" i="41"/>
  <c r="H511" i="41"/>
  <c r="J204" i="41"/>
  <c r="E111" i="41"/>
  <c r="J507" i="41"/>
  <c r="I507" i="41"/>
  <c r="J261" i="41"/>
  <c r="K294" i="41"/>
  <c r="I282" i="41"/>
  <c r="E282" i="41"/>
  <c r="I332" i="41"/>
  <c r="J570" i="41"/>
  <c r="H24" i="39"/>
  <c r="H13" i="41"/>
  <c r="I316" i="41"/>
  <c r="K475" i="41"/>
  <c r="E311" i="41"/>
  <c r="I423" i="41"/>
  <c r="J423" i="41"/>
  <c r="E395" i="41"/>
  <c r="H332" i="41"/>
  <c r="K13" i="41"/>
  <c r="H316" i="41"/>
  <c r="J475" i="41"/>
  <c r="H312" i="41"/>
  <c r="J308" i="41"/>
  <c r="H342" i="41"/>
  <c r="E430" i="41"/>
  <c r="I92" i="41"/>
  <c r="K600" i="41"/>
  <c r="E177" i="41"/>
  <c r="E247" i="41"/>
  <c r="I558" i="41"/>
  <c r="H672" i="41"/>
  <c r="E544" i="41"/>
  <c r="E350" i="41"/>
  <c r="K558" i="41"/>
  <c r="H65" i="41"/>
  <c r="K480" i="41"/>
  <c r="J486" i="41"/>
  <c r="K486" i="41"/>
  <c r="K510" i="41"/>
  <c r="H642" i="41"/>
  <c r="J480" i="41"/>
  <c r="E486" i="41"/>
  <c r="J17" i="39"/>
  <c r="I403" i="41"/>
  <c r="J510" i="41"/>
  <c r="K16" i="29"/>
  <c r="H600" i="41"/>
  <c r="H480" i="41"/>
  <c r="H510" i="41"/>
  <c r="K353" i="41"/>
  <c r="H585" i="41"/>
  <c r="E204" i="41"/>
  <c r="H475" i="41"/>
  <c r="J111" i="41"/>
  <c r="J312" i="41"/>
  <c r="H459" i="41"/>
  <c r="K92" i="41"/>
  <c r="I585" i="41"/>
  <c r="I204" i="41"/>
  <c r="I136" i="41"/>
  <c r="K707" i="41"/>
  <c r="H375" i="41"/>
  <c r="H259" i="41"/>
  <c r="I353" i="41"/>
  <c r="E92" i="41"/>
  <c r="E387" i="41"/>
  <c r="I150" i="41"/>
  <c r="E564" i="41"/>
  <c r="I527" i="41"/>
  <c r="E621" i="41"/>
  <c r="K529" i="41"/>
  <c r="I147" i="41"/>
  <c r="E550" i="41"/>
  <c r="E451" i="41"/>
  <c r="I402" i="41"/>
  <c r="K462" i="41"/>
  <c r="J588" i="41"/>
  <c r="J402" i="41"/>
  <c r="E260" i="41"/>
  <c r="J182" i="41"/>
  <c r="E462" i="41"/>
  <c r="K339" i="41"/>
  <c r="E588" i="41"/>
  <c r="K150" i="41"/>
  <c r="E26" i="41"/>
  <c r="H527" i="41"/>
  <c r="J621" i="41"/>
  <c r="K472" i="41"/>
  <c r="I607" i="41"/>
  <c r="J18" i="41"/>
  <c r="I35" i="41"/>
  <c r="H550" i="41"/>
  <c r="E627" i="41"/>
  <c r="K293" i="41"/>
  <c r="I27" i="41"/>
  <c r="K141" i="41"/>
  <c r="E616" i="41"/>
  <c r="I616" i="41"/>
  <c r="H387" i="41"/>
  <c r="H402" i="41"/>
  <c r="K260" i="41"/>
  <c r="I182" i="41"/>
  <c r="I462" i="41"/>
  <c r="J339" i="41"/>
  <c r="H150" i="41"/>
  <c r="K26" i="41"/>
  <c r="J527" i="41"/>
  <c r="H621" i="41"/>
  <c r="E472" i="41"/>
  <c r="J607" i="41"/>
  <c r="H18" i="41"/>
  <c r="J324" i="41"/>
  <c r="E466" i="41"/>
  <c r="I141" i="41"/>
  <c r="H451" i="41"/>
  <c r="E600" i="41"/>
  <c r="J65" i="41"/>
  <c r="K65" i="41"/>
  <c r="I480" i="41"/>
  <c r="I536" i="41"/>
  <c r="H177" i="41"/>
  <c r="H17" i="39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35" i="39"/>
  <c r="K34" i="39"/>
  <c r="D10" i="59"/>
  <c r="B204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K16" i="39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26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K32" i="39" l="1"/>
  <c r="K24" i="39"/>
  <c r="I38" i="39"/>
  <c r="J38" i="39"/>
  <c r="J39" i="39" s="1"/>
  <c r="J40" i="39" s="1"/>
  <c r="K19" i="39"/>
  <c r="K17" i="39"/>
  <c r="H38" i="39"/>
  <c r="H39" i="39" s="1"/>
  <c r="H40" i="39" s="1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I39" i="39"/>
  <c r="I40" i="39" s="1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D11" i="59"/>
  <c r="F7" i="54"/>
  <c r="K38" i="39" l="1"/>
  <c r="K39" i="39" s="1"/>
  <c r="K40" i="39" s="1"/>
  <c r="E12" i="54"/>
  <c r="L12" i="54"/>
  <c r="M12" i="54" s="1"/>
  <c r="I13" i="54"/>
  <c r="H13" i="54"/>
  <c r="C14" i="54"/>
  <c r="D13" i="54"/>
  <c r="H169" i="29"/>
  <c r="H170" i="2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J16" i="54" s="1"/>
  <c r="S7" i="54"/>
  <c r="Q8" i="54"/>
  <c r="N15" i="54" l="1"/>
  <c r="P15" i="54" s="1"/>
  <c r="H17" i="54"/>
  <c r="D17" i="54"/>
  <c r="E17" i="54" s="1"/>
  <c r="I17" i="54"/>
  <c r="C18" i="54"/>
  <c r="L16" i="54"/>
  <c r="M16" i="54" s="1"/>
  <c r="N16" i="54" s="1"/>
  <c r="P16" i="54" s="1"/>
  <c r="Q9" i="54"/>
  <c r="S8" i="54"/>
  <c r="J17" i="54" l="1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/>
  <c r="M23" i="54" s="1"/>
  <c r="S15" i="54"/>
  <c r="Q16" i="54"/>
  <c r="T15" i="54"/>
  <c r="N23" i="54" l="1"/>
  <c r="P23" i="54" s="1"/>
  <c r="J24" i="54"/>
  <c r="I25" i="54"/>
  <c r="H25" i="54"/>
  <c r="J25" i="54" s="1"/>
  <c r="C26" i="54"/>
  <c r="D25" i="54"/>
  <c r="E25" i="54" s="1"/>
  <c r="E24" i="54"/>
  <c r="L24" i="54" s="1"/>
  <c r="M24" i="54" s="1"/>
  <c r="Q17" i="54"/>
  <c r="S16" i="54"/>
  <c r="T16" i="54"/>
  <c r="N24" i="54" l="1"/>
  <c r="P24" i="54" s="1"/>
  <c r="L25" i="54"/>
  <c r="M25" i="54" s="1"/>
  <c r="N25" i="54" s="1"/>
  <c r="P25" i="54" s="1"/>
  <c r="H26" i="54"/>
  <c r="C27" i="54"/>
  <c r="I26" i="54"/>
  <c r="D26" i="54"/>
  <c r="Q18" i="54"/>
  <c r="S17" i="54"/>
  <c r="T17" i="54"/>
  <c r="H27" i="54" l="1"/>
  <c r="D27" i="54"/>
  <c r="C28" i="54"/>
  <c r="I27" i="54"/>
  <c r="J26" i="54"/>
  <c r="E26" i="54"/>
  <c r="L26" i="54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/>
  <c r="M28" i="54" s="1"/>
  <c r="N28" i="54" s="1"/>
  <c r="P28" i="54" s="1"/>
  <c r="N27" i="54"/>
  <c r="P27" i="54" s="1"/>
  <c r="I29" i="54"/>
  <c r="C30" i="54"/>
  <c r="D29" i="54"/>
  <c r="H29" i="54"/>
  <c r="E29" i="54"/>
  <c r="L29" i="54" s="1"/>
  <c r="M29" i="54" s="1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<sst xmlns="http://schemas.openxmlformats.org/spreadsheetml/2006/main" count="4910" uniqueCount="1661">
  <si>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</si>
  <si>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</si>
  <si>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</si>
  <si>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</si>
  <si>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</si>
  <si>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</si>
  <si>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</si>
  <si>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</si>
  <si>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</si>
  <si>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</si>
  <si>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</si>
  <si>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</si>
  <si>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</si>
  <si>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</si>
  <si>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</si>
  <si>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</si>
  <si>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</si>
  <si>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</si>
  <si>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</si>
  <si>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</si>
  <si>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</si>
  <si>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</si>
  <si>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</si>
  <si>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</si>
  <si>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</si>
  <si>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</si>
  <si>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</si>
  <si>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</si>
  <si>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</si>
  <si>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</si>
  <si>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</si>
  <si>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</si>
  <si>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</si>
  <si>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</si>
  <si>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</si>
  <si>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</si>
  <si>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</si>
  <si>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</si>
  <si>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</si>
  <si>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</si>
  <si>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</si>
  <si>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</si>
  <si>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</si>
  <si>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</si>
  <si>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</si>
  <si>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</si>
  <si>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</si>
  <si>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</si>
  <si>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</si>
  <si>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</si>
  <si>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</si>
  <si>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</si>
  <si>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</si>
  <si>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</si>
  <si>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</si>
  <si>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</si>
  <si>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</si>
  <si>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</si>
  <si>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</si>
  <si>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</si>
  <si>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</si>
  <si>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</si>
  <si>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</si>
  <si>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</si>
  <si>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</si>
  <si>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</si>
  <si>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</si>
  <si>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</si>
  <si>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</si>
  <si>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</si>
  <si>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</si>
  <si>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</si>
  <si>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</si>
  <si>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</si>
  <si>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</si>
  <si>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</si>
  <si>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</si>
  <si>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</si>
  <si>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</si>
  <si>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</si>
  <si>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</si>
  <si>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</si>
  <si>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</si>
  <si>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</si>
  <si>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</si>
  <si>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</si>
  <si>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</si>
  <si>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</si>
  <si>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</si>
  <si>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</si>
  <si>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</si>
  <si>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</si>
  <si>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</si>
  <si>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</si>
  <si>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</si>
  <si>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</si>
  <si>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</si>
  <si>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</si>
  <si>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</si>
  <si>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</si>
  <si>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</si>
  <si>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</si>
  <si>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</si>
  <si>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</si>
  <si>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</si>
  <si>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</si>
  <si>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</si>
  <si>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</si>
  <si>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</si>
  <si>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</si>
  <si>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</si>
  <si>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</si>
  <si>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</si>
  <si>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</si>
  <si>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</si>
  <si>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</si>
  <si>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</si>
  <si>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</si>
  <si>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</si>
  <si>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</si>
  <si>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</si>
  <si>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</si>
  <si>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</si>
  <si>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</si>
  <si>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</si>
  <si>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</si>
  <si>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</si>
  <si>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</si>
  <si>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</si>
  <si>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</si>
  <si>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</si>
  <si>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</si>
  <si>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</si>
  <si>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</si>
  <si>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</si>
  <si>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</si>
  <si>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</si>
  <si>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</si>
  <si>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</si>
  <si>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</si>
  <si>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</si>
  <si>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</si>
  <si>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</si>
  <si>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</si>
  <si>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</si>
  <si>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</si>
  <si>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</si>
  <si>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</si>
  <si>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</si>
  <si>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</si>
  <si>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</si>
  <si>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</si>
  <si>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</si>
  <si>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</si>
  <si>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</si>
  <si>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</si>
  <si>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</si>
  <si>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</si>
  <si>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</si>
  <si>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</si>
  <si>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</si>
  <si>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</si>
  <si>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</si>
  <si>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</si>
  <si>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</si>
  <si>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</si>
  <si>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</si>
  <si>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</si>
  <si>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</si>
  <si>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</si>
  <si>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</si>
  <si>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</si>
  <si>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</si>
  <si>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</si>
  <si>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</si>
  <si>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</si>
  <si>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</si>
  <si>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</si>
  <si>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</si>
  <si>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</si>
  <si>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</si>
  <si>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</si>
  <si>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</si>
  <si>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</si>
  <si>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</si>
  <si>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</si>
  <si>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</si>
  <si>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</si>
  <si>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</si>
  <si>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</si>
  <si>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</si>
  <si>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</si>
  <si>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</si>
  <si>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</si>
  <si>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</si>
  <si>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</si>
  <si>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</si>
  <si>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</si>
  <si>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</si>
  <si>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</si>
  <si>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</si>
  <si>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</si>
  <si>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</si>
  <si>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</si>
  <si>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</si>
  <si>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</si>
  <si>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</si>
  <si>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</si>
  <si>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</si>
  <si>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</si>
  <si>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</si>
  <si>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</si>
  <si>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</si>
  <si>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</si>
  <si>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</si>
  <si>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</si>
  <si>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</si>
  <si>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</si>
  <si>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</si>
  <si>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</si>
  <si>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</si>
  <si>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</si>
  <si>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</si>
  <si>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</si>
  <si>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</si>
  <si>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</si>
  <si>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</si>
  <si>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</si>
  <si>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</si>
  <si>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</si>
  <si>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</si>
  <si>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</si>
  <si>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</si>
  <si>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</si>
  <si>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</si>
  <si>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</si>
  <si>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</si>
  <si>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</si>
  <si>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</si>
  <si>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</si>
  <si>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</si>
  <si>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</si>
  <si>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</si>
  <si>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</si>
  <si>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</si>
  <si>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</si>
  <si>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</si>
  <si>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</si>
  <si>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</si>
  <si>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</si>
  <si>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</si>
  <si>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</si>
  <si>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</si>
  <si>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</si>
  <si>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</si>
  <si>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</si>
  <si>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</si>
  <si>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</si>
  <si>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</si>
  <si>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</si>
  <si>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</si>
  <si>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</si>
  <si>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</si>
  <si>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</si>
  <si>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</si>
  <si>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</si>
  <si>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</si>
  <si>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</si>
  <si>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</si>
  <si>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</si>
  <si>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</si>
  <si>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</si>
  <si>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</si>
  <si>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</si>
  <si>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</si>
  <si>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</si>
  <si>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</si>
  <si>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</si>
  <si>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</si>
  <si>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</si>
  <si>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</si>
  <si>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</si>
  <si>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</si>
  <si>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</si>
  <si>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</si>
  <si>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</si>
  <si>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</si>
  <si>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</si>
  <si>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</si>
  <si>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</si>
  <si>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</si>
  <si>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</si>
  <si>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</si>
  <si>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</si>
  <si>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</si>
  <si>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</si>
  <si>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</si>
  <si>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</si>
  <si>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</si>
  <si>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</si>
  <si>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</si>
  <si>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</si>
  <si>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</si>
  <si>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</si>
  <si>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</si>
  <si>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</si>
  <si>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</si>
  <si>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</si>
  <si>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</si>
  <si>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</si>
  <si>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</si>
  <si>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</si>
  <si>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</si>
  <si>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</si>
  <si>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</si>
  <si>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</si>
  <si>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</si>
  <si>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</si>
  <si>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</si>
  <si>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</si>
  <si>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</si>
  <si>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</si>
  <si>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</si>
  <si>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</si>
  <si>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</si>
  <si>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</si>
  <si>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</si>
  <si>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</si>
  <si>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</si>
  <si>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</si>
  <si>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</si>
  <si>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</si>
  <si>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</si>
  <si>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</si>
  <si>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</si>
  <si>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</si>
  <si>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</si>
  <si>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</si>
  <si>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</si>
  <si>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</si>
  <si>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</si>
  <si>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</si>
  <si>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</si>
  <si>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</si>
  <si>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</si>
  <si>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</si>
  <si>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</si>
  <si>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</si>
  <si>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</si>
  <si>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</si>
  <si>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</si>
  <si>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</si>
  <si>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</si>
  <si>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</si>
  <si>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</si>
  <si>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</si>
  <si>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</si>
  <si>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</si>
  <si>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</si>
  <si>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</si>
  <si>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</si>
  <si>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</si>
  <si>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</si>
  <si>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</si>
  <si>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</si>
  <si>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</si>
  <si>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</si>
  <si>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</si>
  <si>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</si>
  <si>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</si>
  <si>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</si>
  <si>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</si>
  <si>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</si>
  <si>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</si>
  <si>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</si>
  <si>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</si>
  <si>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</si>
  <si>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</si>
  <si>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</si>
  <si>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</si>
  <si>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</si>
  <si>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</si>
  <si>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</si>
  <si>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</si>
  <si>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</si>
  <si>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</si>
  <si>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</si>
  <si>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</si>
  <si>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</si>
  <si>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</si>
  <si>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</si>
  <si>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</si>
  <si>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</si>
  <si>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</si>
  <si>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</si>
  <si>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</si>
  <si>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</si>
  <si>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</si>
  <si>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</si>
  <si>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</si>
  <si>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</si>
  <si>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</si>
  <si>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</si>
  <si>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</si>
  <si>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</si>
  <si>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</si>
  <si>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</si>
  <si>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</si>
  <si>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</si>
  <si>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</si>
  <si>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</si>
  <si>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</si>
  <si>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</si>
  <si>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</si>
  <si>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</si>
  <si>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</si>
  <si>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</si>
  <si>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</si>
  <si>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</si>
  <si>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</si>
  <si>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</si>
  <si>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</si>
  <si>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</si>
  <si>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</si>
  <si>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</si>
  <si>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</si>
  <si>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</si>
  <si>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</si>
  <si>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</si>
  <si>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</si>
  <si>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</si>
  <si>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</si>
  <si>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</si>
  <si>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</si>
  <si>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</si>
  <si>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</si>
  <si>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</si>
  <si>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</si>
  <si>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</si>
  <si>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</si>
  <si>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</si>
  <si>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</si>
  <si>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</si>
  <si>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</si>
  <si>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</si>
  <si>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</si>
  <si>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</si>
  <si>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</si>
  <si>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</si>
  <si>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</si>
  <si>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</si>
  <si>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</si>
  <si>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</si>
  <si>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</si>
  <si>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</si>
  <si>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</si>
  <si>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</si>
  <si>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</si>
  <si>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</si>
  <si>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</si>
  <si>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</si>
  <si>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</si>
  <si>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</si>
  <si>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</si>
  <si>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</si>
  <si>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</si>
  <si>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</si>
  <si>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</si>
  <si>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</si>
  <si>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</si>
  <si>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</si>
  <si>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</si>
  <si>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</si>
  <si>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</si>
  <si>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</si>
  <si>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</si>
  <si>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</si>
  <si>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</si>
  <si>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</si>
  <si>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</si>
  <si>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</si>
  <si>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</si>
  <si>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</si>
  <si>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</si>
  <si>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</si>
  <si>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</si>
  <si>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</si>
  <si>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</si>
  <si>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</si>
  <si>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</si>
  <si>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</si>
  <si>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</si>
  <si>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</si>
  <si>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</si>
  <si>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</si>
  <si>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</si>
  <si>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</si>
  <si>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</si>
  <si>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</si>
  <si>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</si>
  <si>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</si>
  <si>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</si>
  <si>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</si>
  <si>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</si>
  <si>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</si>
  <si>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</si>
  <si>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</si>
  <si>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</si>
  <si>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</si>
  <si>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</si>
  <si>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</si>
  <si>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</si>
  <si>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</si>
  <si>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</si>
  <si>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</si>
  <si>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</si>
  <si>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</si>
  <si>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</si>
  <si>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</si>
  <si>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</si>
  <si>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</si>
  <si>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</si>
  <si>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</si>
  <si>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</si>
  <si>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</si>
  <si>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</si>
  <si>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</si>
  <si>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</si>
  <si>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</si>
  <si>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</si>
  <si>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</si>
  <si>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</si>
  <si>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</si>
  <si>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</si>
  <si>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</si>
  <si>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</si>
  <si>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</si>
  <si>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</si>
  <si>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</si>
  <si>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</si>
  <si>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</si>
  <si>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</si>
  <si>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</si>
  <si>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</si>
  <si>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</si>
  <si>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</si>
  <si>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</si>
  <si>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</si>
  <si>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</si>
  <si>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</si>
  <si>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</si>
  <si>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</si>
  <si>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</si>
  <si>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</si>
  <si>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</si>
  <si>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</si>
  <si>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</si>
  <si>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</si>
  <si>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</si>
  <si>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</si>
  <si>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</si>
  <si>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</si>
  <si>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</si>
  <si>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</si>
  <si>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</si>
  <si>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</si>
  <si>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</si>
  <si>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</si>
  <si>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</si>
  <si>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</si>
  <si>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</si>
  <si>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</si>
  <si>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</si>
  <si>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</si>
  <si>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</si>
  <si>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</si>
  <si>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</si>
  <si>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</si>
  <si>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</si>
  <si>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</si>
  <si>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</si>
  <si>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</si>
  <si>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</si>
  <si>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</si>
  <si>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</si>
  <si>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</si>
  <si>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</si>
  <si>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</si>
  <si>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</si>
  <si>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</si>
  <si>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</si>
  <si>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</si>
  <si>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</si>
  <si>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</si>
  <si>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</si>
  <si>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</si>
  <si>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</si>
  <si>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</si>
  <si>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</si>
  <si>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</si>
  <si>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</si>
  <si>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</si>
  <si>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</si>
  <si>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</si>
  <si>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</si>
  <si>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</si>
  <si>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</si>
  <si>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</si>
  <si>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</si>
  <si>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</si>
  <si>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</si>
  <si>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</si>
  <si>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</si>
  <si>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</si>
  <si>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</si>
  <si>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</si>
  <si>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</si>
  <si>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</si>
  <si>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</si>
  <si>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</si>
  <si>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</si>
  <si>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</si>
  <si>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</si>
  <si>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</si>
  <si>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</si>
  <si>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</si>
  <si>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</si>
  <si>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</si>
  <si>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</si>
  <si>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</si>
  <si>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</si>
  <si>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</si>
  <si>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</si>
  <si>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</si>
  <si>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</si>
  <si>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</si>
  <si>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</si>
  <si>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</si>
  <si>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</si>
  <si>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</si>
  <si>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</si>
  <si>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</si>
  <si>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</si>
  <si>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</si>
  <si>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</si>
  <si>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</si>
  <si>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</si>
  <si>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</si>
  <si>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</si>
  <si>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</si>
  <si>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</si>
  <si>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</si>
  <si>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</si>
  <si>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</si>
  <si>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</si>
  <si>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</si>
  <si>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</si>
  <si>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</si>
  <si>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</si>
  <si>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</si>
  <si>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</si>
  <si>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</si>
  <si>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</si>
  <si>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</si>
  <si>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</si>
  <si>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</si>
  <si>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</si>
  <si>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</si>
  <si>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</si>
  <si>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</si>
  <si>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</si>
  <si>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</si>
  <si>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</si>
  <si>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</si>
  <si>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</si>
  <si>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</si>
  <si>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</si>
  <si>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</si>
  <si>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</si>
  <si>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</si>
  <si>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</si>
  <si>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</si>
  <si>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</si>
  <si>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</si>
  <si>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</si>
  <si>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</si>
  <si>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</si>
  <si>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</si>
  <si>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</si>
  <si>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</si>
  <si>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</si>
  <si>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</si>
  <si>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</si>
  <si>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</si>
  <si>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</si>
  <si>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</si>
  <si>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</si>
  <si>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</si>
  <si>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</si>
  <si>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</si>
  <si>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</si>
  <si>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</si>
  <si>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</si>
  <si>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</si>
  <si>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</si>
  <si>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</si>
  <si>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</si>
  <si>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</si>
  <si>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</si>
  <si>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</si>
  <si>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</si>
  <si>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</si>
  <si>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</si>
  <si>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</si>
  <si>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</si>
  <si>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</si>
  <si>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</si>
  <si>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</si>
  <si>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</si>
  <si>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</si>
  <si>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</si>
  <si>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</si>
  <si>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</si>
  <si>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</si>
  <si>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</si>
  <si>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</si>
  <si>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</si>
  <si>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</si>
  <si>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</si>
  <si>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</si>
  <si>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</si>
  <si>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</si>
  <si>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</si>
  <si>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</si>
  <si>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</si>
  <si>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</si>
  <si>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</si>
  <si>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</si>
  <si>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</si>
  <si>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</si>
  <si>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</si>
  <si>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</si>
  <si>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</si>
  <si>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</si>
  <si>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</si>
  <si>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</si>
  <si>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</si>
  <si>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</si>
  <si>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</si>
  <si>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</si>
  <si>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</si>
  <si>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</si>
  <si>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</si>
  <si>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</si>
  <si>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</si>
  <si>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</si>
  <si>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</si>
  <si>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</si>
  <si>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</si>
  <si>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</si>
  <si>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</si>
  <si>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</si>
  <si>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</si>
  <si>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</si>
  <si>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</si>
  <si>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</si>
  <si>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</si>
  <si>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</si>
  <si>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</si>
  <si>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</si>
  <si>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</si>
  <si>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</si>
  <si>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</si>
  <si>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</si>
  <si>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</si>
  <si>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</si>
  <si>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</si>
  <si>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</si>
  <si>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</si>
  <si>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</si>
  <si>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</si>
  <si>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</si>
  <si>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</si>
  <si>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</si>
  <si>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</si>
  <si>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</si>
  <si>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</si>
  <si>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</si>
  <si>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</si>
  <si>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</si>
  <si>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</si>
  <si>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</si>
  <si>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</si>
  <si>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</si>
  <si>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</si>
  <si>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</si>
  <si>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</si>
  <si>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</si>
  <si>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</si>
  <si>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</si>
  <si>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</si>
  <si>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</si>
  <si>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</si>
  <si>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</si>
  <si>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</si>
  <si>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</si>
  <si>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</si>
  <si>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</si>
  <si>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</si>
  <si>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</si>
  <si>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</si>
  <si>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</si>
  <si>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</si>
  <si>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</si>
  <si>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</si>
  <si>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</si>
  <si>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</si>
  <si>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</si>
  <si>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</si>
  <si>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</si>
  <si>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</si>
  <si>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</si>
  <si>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</si>
  <si>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</si>
  <si>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</si>
  <si>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</si>
  <si>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</si>
  <si>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</si>
  <si>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</si>
  <si>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</si>
  <si>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</si>
  <si>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</si>
  <si>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</si>
  <si>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</si>
  <si>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</si>
  <si>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</si>
  <si>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</si>
  <si>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</si>
  <si>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</si>
  <si>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</si>
  <si>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</si>
  <si>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</si>
  <si>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</si>
  <si>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</si>
  <si>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</si>
  <si>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</si>
  <si>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</si>
  <si>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</si>
  <si>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</si>
  <si>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</si>
  <si>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</si>
  <si>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</si>
  <si>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</si>
  <si>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</si>
  <si>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</si>
  <si>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</si>
  <si>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</si>
  <si>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</si>
  <si>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</si>
  <si>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</si>
  <si>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</si>
  <si>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</si>
  <si>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</si>
  <si>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</si>
  <si>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</si>
  <si>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</si>
  <si>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</si>
  <si>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</si>
  <si>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</si>
  <si>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</si>
  <si>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</si>
  <si>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</si>
  <si>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</si>
  <si>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</si>
  <si>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</si>
  <si>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</si>
  <si>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</si>
  <si>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</si>
  <si>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</si>
  <si>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</si>
  <si>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</si>
  <si>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</si>
  <si>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</si>
  <si>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</si>
  <si>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</si>
  <si>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</si>
  <si>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</si>
  <si>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</si>
  <si>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</si>
  <si>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</si>
  <si>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</si>
  <si>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</si>
  <si>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</si>
  <si>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</si>
  <si>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</si>
  <si>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</si>
  <si>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</si>
  <si>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</si>
  <si>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</si>
  <si>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</si>
  <si>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</si>
  <si>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</si>
  <si>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</si>
  <si>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</si>
  <si>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</si>
  <si>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</si>
  <si>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</si>
  <si>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</si>
  <si>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</si>
  <si>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</si>
  <si>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</si>
  <si>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</si>
  <si>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</si>
  <si>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</si>
  <si>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</si>
  <si>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</si>
  <si>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</si>
  <si>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</si>
  <si>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</si>
  <si>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</si>
  <si>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</si>
  <si>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</si>
  <si>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</si>
  <si>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</si>
  <si>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</si>
  <si>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</si>
  <si>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</si>
  <si>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</si>
  <si>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</si>
  <si>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</si>
  <si>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</si>
  <si>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</si>
  <si>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</si>
  <si>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</si>
  <si>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</si>
  <si>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</si>
  <si>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</si>
  <si>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</si>
  <si>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</si>
  <si>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</si>
  <si>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</si>
  <si>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</si>
  <si>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</si>
  <si>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</si>
  <si>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</si>
  <si>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</si>
  <si>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</si>
  <si>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</si>
  <si>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</si>
  <si>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</si>
  <si>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</si>
  <si>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</si>
  <si>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</si>
  <si>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</si>
  <si>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</si>
  <si>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</si>
  <si>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</si>
  <si>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</si>
  <si>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</si>
  <si>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</si>
  <si>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</si>
  <si>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</si>
  <si>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</si>
  <si>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</si>
  <si>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</si>
  <si>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</si>
  <si>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</si>
  <si>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</si>
  <si>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</si>
  <si>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</si>
  <si>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</si>
  <si>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</si>
  <si>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</si>
  <si>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</si>
  <si>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</si>
  <si>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</si>
  <si>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</si>
  <si>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</si>
  <si>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</si>
  <si>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</si>
  <si>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</si>
  <si>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</si>
  <si>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</si>
  <si>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</si>
  <si>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</si>
  <si>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</si>
  <si>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</si>
  <si>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</si>
  <si>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</si>
  <si>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</si>
  <si>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</si>
  <si>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</si>
  <si>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</si>
  <si>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</si>
  <si>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</si>
  <si>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</si>
  <si>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</si>
  <si>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</si>
  <si>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</si>
  <si>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</si>
  <si>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</si>
  <si>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</si>
  <si>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</si>
  <si>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</si>
  <si>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</si>
  <si>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</si>
  <si>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</si>
  <si>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</si>
  <si>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</si>
  <si>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</si>
  <si>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</si>
  <si>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</si>
  <si>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</si>
  <si>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</si>
  <si>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</si>
  <si>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</si>
  <si>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</si>
  <si>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</si>
  <si>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</si>
  <si>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</si>
  <si>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</si>
  <si>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</si>
  <si>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</si>
  <si>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</si>
  <si>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</si>
  <si>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</si>
  <si>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</si>
  <si>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</si>
  <si>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</si>
  <si>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</si>
  <si>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</si>
  <si>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</si>
  <si>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</si>
  <si>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</si>
  <si>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</si>
  <si>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</si>
  <si>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</si>
  <si>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</si>
  <si>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</si>
  <si>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</si>
  <si>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</si>
  <si>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</si>
  <si>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</si>
  <si>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</si>
  <si>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</si>
  <si>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</si>
  <si>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</si>
  <si>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</si>
  <si>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</si>
  <si>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</si>
  <si>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</si>
  <si>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</si>
  <si>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</si>
  <si>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</si>
  <si>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</si>
  <si>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</si>
  <si>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</si>
  <si>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</si>
  <si>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</si>
  <si>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</si>
  <si>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</si>
  <si>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</si>
  <si>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</si>
  <si>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</si>
  <si>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</si>
  <si>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</si>
  <si>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</si>
  <si>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</si>
  <si>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</si>
  <si>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</si>
  <si>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</si>
  <si>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</si>
  <si>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</si>
  <si>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</si>
  <si>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</si>
  <si>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</si>
  <si>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</si>
  <si>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</si>
  <si>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</si>
  <si>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</si>
  <si>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</si>
  <si>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</si>
  <si>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</si>
  <si>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</si>
  <si>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</si>
  <si>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</si>
  <si>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</si>
  <si>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</si>
  <si>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</si>
  <si>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</si>
  <si>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</si>
  <si>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</si>
  <si>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</si>
  <si>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</si>
  <si>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</si>
  <si>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</si>
  <si>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</si>
  <si>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</si>
  <si>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</si>
  <si>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</si>
  <si>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</si>
  <si>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</si>
  <si>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</si>
  <si>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</si>
  <si>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</si>
  <si>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</si>
  <si>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</si>
  <si>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</si>
  <si>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</si>
  <si>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</si>
  <si>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</si>
  <si>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</si>
  <si>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</si>
  <si>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</si>
  <si>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</si>
  <si>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</si>
  <si>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</si>
  <si>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</si>
  <si>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</si>
  <si>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</si>
  <si>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</si>
  <si>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</si>
  <si>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</si>
  <si>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</si>
  <si>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</si>
  <si>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</si>
  <si>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</si>
  <si>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</si>
  <si>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</si>
  <si>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</si>
  <si>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</si>
  <si>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</si>
  <si>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</si>
  <si>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</si>
  <si>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</si>
  <si>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</si>
  <si>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</si>
  <si>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</si>
  <si>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</si>
  <si>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</si>
  <si>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</si>
  <si>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</si>
  <si>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</si>
  <si>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</si>
  <si>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</si>
  <si>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</si>
  <si>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</si>
  <si>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</si>
  <si>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</si>
  <si>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</si>
  <si>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</si>
  <si>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</si>
  <si>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</si>
  <si>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</si>
  <si>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</si>
  <si>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</si>
  <si>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</si>
  <si>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</si>
  <si>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</si>
  <si>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</si>
  <si>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</si>
  <si>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</si>
  <si>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</si>
  <si>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</si>
  <si>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</si>
  <si>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</si>
  <si>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</si>
  <si>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</si>
  <si>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</si>
  <si>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</si>
  <si>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</si>
  <si>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</si>
  <si>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</si>
  <si>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</si>
  <si>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</si>
  <si>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</si>
  <si>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</si>
  <si>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</si>
  <si>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</si>
  <si>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</si>
  <si>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</si>
  <si>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</si>
  <si>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</si>
  <si>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</si>
  <si>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</si>
  <si>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</si>
  <si>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</si>
  <si>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</si>
  <si>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</si>
  <si>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</si>
  <si>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</si>
  <si>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</si>
  <si>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</si>
  <si>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</si>
  <si>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</si>
  <si>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</si>
  <si>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</si>
  <si>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</si>
  <si>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</si>
  <si>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</si>
  <si>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</si>
  <si>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</si>
  <si>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</si>
  <si>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</si>
  <si>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</si>
  <si>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</si>
  <si>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</si>
  <si>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</si>
  <si>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</si>
  <si>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</si>
  <si>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</si>
  <si>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</si>
  <si>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</si>
  <si>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</si>
  <si>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</si>
  <si>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</si>
  <si>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</si>
  <si>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</si>
  <si>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</si>
  <si>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</si>
  <si>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</si>
  <si>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</si>
  <si>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</si>
  <si>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</si>
  <si>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</si>
  <si>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</si>
  <si>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</si>
  <si>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</si>
  <si>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</si>
  <si>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</si>
  <si>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</si>
  <si>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</si>
  <si>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</si>
  <si>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</si>
  <si>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</si>
  <si>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</si>
  <si>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</si>
  <si>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</si>
  <si>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</si>
  <si>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</si>
  <si>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</si>
  <si>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</si>
  <si>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</si>
  <si>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</si>
  <si>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</si>
  <si>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</si>
  <si>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</si>
  <si>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</si>
  <si>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</si>
  <si>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</si>
  <si>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</si>
  <si>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</si>
  <si>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</si>
  <si>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</si>
  <si>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</si>
  <si>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</si>
  <si>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</si>
  <si>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</si>
  <si>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</si>
  <si>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</si>
  <si>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</si>
  <si>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</si>
  <si>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</si>
  <si>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</si>
  <si>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</si>
  <si>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</si>
  <si>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</si>
  <si>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</si>
  <si>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</si>
  <si>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</si>
  <si>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</si>
  <si>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</si>
  <si>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</si>
  <si>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</si>
  <si>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</si>
  <si>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</si>
  <si>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</si>
  <si>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</si>
  <si>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</si>
  <si>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</si>
  <si>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</si>
  <si>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</si>
  <si>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</si>
  <si>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</si>
  <si>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</si>
  <si>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</si>
  <si>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</si>
  <si>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</si>
  <si>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</si>
  <si>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</si>
  <si>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</si>
  <si>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</si>
  <si>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</si>
  <si>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</si>
  <si>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</si>
  <si>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</si>
  <si>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</si>
  <si>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</si>
  <si>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</si>
  <si>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</si>
  <si>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</si>
  <si>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</si>
  <si>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</si>
  <si>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</si>
  <si>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</si>
  <si>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</si>
  <si>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</si>
  <si>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</si>
  <si>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</si>
  <si>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</si>
  <si>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</si>
  <si>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</si>
  <si>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</si>
  <si>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</si>
  <si>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</si>
  <si>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</si>
  <si>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</si>
  <si>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</si>
  <si>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</si>
  <si>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</si>
  <si>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</si>
  <si>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</si>
  <si>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</si>
  <si>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</si>
  <si>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</si>
  <si>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</si>
  <si>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</si>
  <si>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</si>
  <si>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</si>
  <si>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</si>
  <si>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</si>
  <si>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</si>
  <si>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</si>
  <si>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</si>
  <si>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</si>
  <si>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</si>
  <si>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</si>
  <si>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</si>
  <si>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</si>
  <si>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</si>
  <si>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</si>
  <si>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</si>
  <si>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</si>
  <si>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</si>
  <si>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</si>
  <si>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</si>
  <si>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</si>
  <si>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</si>
  <si>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</si>
  <si>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</si>
  <si>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</si>
  <si>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</si>
  <si>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</si>
  <si>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</si>
  <si>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</si>
  <si>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</si>
  <si>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</si>
  <si>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</si>
  <si>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</si>
  <si>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</si>
  <si>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</si>
  <si>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</si>
  <si>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</si>
  <si>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</si>
  <si>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</si>
  <si>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</si>
  <si>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</si>
  <si>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</si>
  <si>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</si>
  <si>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</si>
  <si>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</si>
  <si>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</si>
  <si>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</si>
  <si>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</si>
  <si>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</si>
  <si>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</si>
  <si>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</si>
  <si>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</si>
  <si>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</si>
  <si>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</si>
  <si>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</si>
  <si>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</si>
  <si>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</si>
  <si>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</si>
  <si>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</si>
  <si>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</si>
  <si>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</si>
  <si>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</si>
  <si>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</si>
  <si>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</si>
  <si>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</si>
  <si>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</si>
  <si>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</si>
  <si>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</si>
  <si>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</si>
  <si>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</si>
  <si>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</si>
  <si>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</si>
  <si>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</si>
  <si>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</si>
  <si>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</si>
  <si>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</si>
  <si>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</si>
  <si>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</si>
  <si>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</si>
  <si>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</si>
  <si>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</si>
  <si>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</si>
  <si>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</si>
  <si>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</si>
  <si>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</si>
  <si>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</si>
  <si>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</si>
  <si>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</si>
  <si>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</si>
  <si>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</si>
  <si>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</si>
  <si>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</si>
  <si>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</si>
  <si>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</si>
  <si>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</si>
  <si>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</si>
  <si>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</si>
  <si>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</si>
  <si>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</si>
  <si>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</si>
  <si>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</si>
  <si>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</si>
  <si>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</si>
  <si>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</si>
  <si>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</si>
  <si>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</si>
  <si>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</si>
  <si>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</si>
  <si>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</si>
  <si>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</si>
  <si>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</si>
  <si>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</si>
  <si>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</si>
  <si>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</si>
  <si>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</si>
  <si>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</si>
  <si>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</si>
  <si>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</si>
  <si>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</si>
  <si>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</si>
  <si>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</si>
  <si>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</si>
  <si>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</si>
  <si>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</si>
  <si>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</si>
  <si>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</si>
  <si>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</si>
  <si>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</si>
  <si>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</si>
  <si>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</si>
  <si>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</si>
  <si>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</si>
  <si>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</si>
  <si>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</si>
  <si>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</si>
  <si>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</si>
  <si>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</si>
  <si>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</si>
  <si>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</si>
  <si>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</si>
  <si>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</si>
  <si>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</si>
  <si>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</si>
  <si>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</si>
  <si>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</si>
  <si>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</si>
  <si>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</si>
  <si>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</si>
  <si>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</si>
  <si>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</si>
  <si>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</si>
  <si>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</si>
  <si>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</si>
  <si>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</si>
  <si>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</si>
  <si>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</si>
  <si>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</si>
  <si>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</si>
  <si>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</si>
  <si>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</si>
  <si>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</si>
  <si>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</si>
  <si>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</si>
  <si>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</si>
  <si>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</si>
  <si>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</si>
  <si>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</si>
  <si>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</si>
  <si>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</si>
  <si>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</si>
  <si>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</si>
  <si>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</si>
  <si>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</si>
  <si>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</si>
  <si>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</si>
  <si>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</si>
  <si>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</si>
  <si>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</si>
  <si>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</si>
  <si>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</si>
  <si>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</si>
  <si>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</si>
  <si>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</si>
  <si>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</si>
  <si>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</si>
  <si>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</si>
  <si>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</si>
  <si>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</si>
  <si>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</si>
  <si>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</si>
  <si>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</si>
  <si>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</si>
  <si>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</si>
  <si>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</si>
  <si>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</si>
  <si>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</si>
  <si>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</si>
  <si>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</si>
  <si>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</si>
  <si>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</si>
  <si>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</si>
  <si>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</si>
  <si>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</si>
  <si>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</si>
  <si>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</si>
  <si>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</si>
  <si>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</si>
  <si>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</si>
  <si>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</si>
  <si>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</si>
  <si>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</si>
  <si>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</si>
  <si>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</si>
  <si>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</si>
  <si>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</si>
  <si>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</si>
  <si>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</si>
  <si>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</si>
  <si>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</si>
  <si>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</si>
  <si>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</si>
  <si>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</si>
  <si>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</si>
  <si>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</si>
  <si>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</si>
  <si>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</si>
  <si>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</si>
  <si>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</si>
  <si>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</si>
  <si>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</si>
  <si>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</si>
  <si>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</si>
  <si>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</si>
  <si>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</si>
  <si>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</si>
  <si>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</si>
  <si>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</si>
  <si>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</si>
  <si>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</si>
  <si>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</si>
  <si>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</si>
  <si>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</si>
  <si>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</si>
  <si>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</si>
  <si>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</si>
  <si>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</si>
  <si>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</si>
  <si>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</si>
  <si>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</si>
  <si>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</si>
  <si>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</si>
  <si>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</si>
  <si>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</si>
  <si>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</si>
  <si>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</si>
  <si>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</si>
  <si>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</si>
  <si>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</si>
  <si>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</si>
  <si>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</si>
  <si>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</si>
  <si>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</si>
  <si>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</si>
  <si>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</si>
  <si>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</si>
  <si>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</si>
  <si>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</si>
  <si>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</si>
  <si>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</si>
  <si>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</si>
  <si>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</si>
  <si>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</si>
  <si>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</si>
  <si>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</si>
  <si>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</si>
  <si>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</si>
  <si>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</si>
  <si>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</si>
  <si>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</si>
  <si>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</si>
  <si>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</si>
  <si>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</si>
  <si>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</si>
  <si>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</si>
  <si>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</si>
  <si>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</si>
  <si>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</si>
  <si>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</si>
  <si>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</si>
  <si>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</si>
  <si>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</si>
  <si>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</si>
  <si>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</si>
  <si>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</si>
  <si>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</si>
  <si>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</si>
  <si>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</si>
  <si>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m</t>
  </si>
  <si>
    <t>CM2-11</t>
  </si>
  <si>
    <t>BTG</t>
  </si>
  <si>
    <t>SR APP 41,5 KVA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</si>
  <si>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</si>
  <si>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</si>
  <si>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</si>
  <si>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</si>
  <si>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</si>
  <si>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</si>
  <si>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Trafo 3 Fasa 50 KVA 1 Tiang (G312-A)</t>
  </si>
  <si>
    <t>NFA2X-T 3 x 70 + N 50 mm²</t>
  </si>
  <si>
    <t>Daya 41.500 VA</t>
  </si>
  <si>
    <t>B2</t>
  </si>
  <si>
    <t>C12-350</t>
  </si>
  <si>
    <t>C12-200</t>
  </si>
  <si>
    <t>C11-200</t>
  </si>
  <si>
    <t>CC1-A</t>
  </si>
  <si>
    <t>CA5</t>
  </si>
  <si>
    <t>CC8-A</t>
  </si>
  <si>
    <t>CE1-3</t>
  </si>
  <si>
    <t>F1-3</t>
  </si>
  <si>
    <t>CM2-12A</t>
  </si>
  <si>
    <t>PB SITI KRISNAWATI 82,5 KVA</t>
  </si>
  <si>
    <t>G312-A 50KVA</t>
  </si>
  <si>
    <t>AAAC 70MM</t>
  </si>
  <si>
    <t>LVTC 3X70+70</t>
  </si>
  <si>
    <t>MTR</t>
  </si>
  <si>
    <t>CJ5-T</t>
  </si>
  <si>
    <t>P12C-2</t>
  </si>
  <si>
    <t>CA-5</t>
  </si>
  <si>
    <t>-7.061294, 110.912677</t>
  </si>
  <si>
    <t>PB DAYA 41,5 KVA DEDI IRAWAN</t>
  </si>
  <si>
    <t>DS JANGKUNGHARJO</t>
  </si>
  <si>
    <t>K2-573/29</t>
  </si>
  <si>
    <t>PWI04</t>
  </si>
  <si>
    <t>Isolator Tarik ( Porcelain ) 20 KV + Primary Dead End Clamp 150-240 mm²</t>
  </si>
  <si>
    <t>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</si>
</sst>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11"/>
      <name val="Calibri"/>
      <family val="2"/>
      <charset val="1"/>
      <scheme val="minor"/>
    </font>
    <font>
      <b/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rgb="FFFF000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/>
      <top style="thin">
        <color theme="1"/>
      </top>
      <bottom/>
      <diagonal/>
    </border>
    <border>
      <left style="thin">
        <color theme="1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/>
      <bottom style="thin">
        <color rgb="FFFF0000"/>
      </bottom>
      <diagonal/>
    </border>
  </borders>
  <cellStyleXfs count="2679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  <xf numFmtId="0" fontId="108" fillId="0" borderId="0"/>
  </cellStyleXfs>
  <cellXfs count="774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124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2" fontId="3" fillId="0" borderId="21" xfId="1652" applyNumberFormat="1" applyFont="1" applyBorder="1" applyAlignment="1">
      <alignment horizontal="center" vertical="center"/>
    </xf>
    <xf numFmtId="0" fontId="170" fillId="0" borderId="21" xfId="0" applyFont="1" applyBorder="1" applyAlignment="1">
      <alignment wrapText="1"/>
    </xf>
    <xf numFmtId="0" fontId="170" fillId="0" borderId="20" xfId="0" applyFont="1" applyBorder="1" applyAlignment="1">
      <alignment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51" fillId="33" borderId="21" xfId="1615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7" fillId="0" borderId="21" xfId="2678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13" fillId="33" borderId="0" xfId="2677" applyFont="1" applyFill="1" applyAlignment="1">
      <alignment horizontal="center"/>
    </xf>
    <xf numFmtId="49" fontId="89" fillId="33" borderId="94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49" fontId="171" fillId="33" borderId="94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89" fillId="33" borderId="94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49" fontId="89" fillId="33" borderId="0" xfId="2677" applyNumberFormat="1" applyFont="1" applyFill="1" applyAlignment="1">
      <alignment horizontal="left" vertical="center"/>
    </xf>
    <xf numFmtId="0" fontId="89" fillId="33" borderId="0" xfId="2677" applyFont="1" applyFill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0" xfId="2677" applyFont="1" applyFill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0" fontId="112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89" fillId="33" borderId="95" xfId="2677" applyFont="1" applyFill="1" applyBorder="1" applyAlignment="1">
      <alignment horizontal="center"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0" xfId="2677" applyFont="1" applyFill="1" applyAlignment="1">
      <alignment horizontal="left" vertical="center"/>
    </xf>
    <xf numFmtId="0" fontId="172" fillId="33" borderId="96" xfId="2677" applyFont="1" applyFill="1" applyBorder="1" applyAlignment="1">
      <alignment horizontal="left" vertical="center"/>
    </xf>
    <xf numFmtId="0" fontId="172" fillId="33" borderId="97" xfId="2677" applyFont="1" applyFill="1" applyBorder="1" applyAlignment="1">
      <alignment horizontal="left" vertical="center"/>
    </xf>
    <xf numFmtId="0" fontId="172" fillId="33" borderId="98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9" xfId="2677" applyFont="1" applyFill="1" applyBorder="1" applyAlignment="1">
      <alignment horizontal="left" vertical="center" wrapText="1"/>
    </xf>
    <xf numFmtId="0" fontId="116" fillId="33" borderId="99" xfId="2677" applyFont="1" applyFill="1" applyBorder="1" applyAlignment="1">
      <alignment horizontal="center" vertical="top" wrapText="1"/>
    </xf>
    <xf numFmtId="0" fontId="116" fillId="33" borderId="100" xfId="2677" applyFont="1" applyFill="1" applyBorder="1" applyAlignment="1">
      <alignment horizontal="center" vertical="top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2" fillId="33" borderId="56" xfId="2677" applyFont="1" applyFill="1" applyBorder="1" applyAlignment="1">
      <alignment horizontal="center" vertical="top" wrapText="1"/>
    </xf>
    <xf numFmtId="0" fontId="112" fillId="33" borderId="65" xfId="2677" applyFont="1" applyFill="1" applyBorder="1" applyAlignment="1">
      <alignment horizontal="center" vertical="top" wrapText="1"/>
    </xf>
    <xf numFmtId="0" fontId="112" fillId="33" borderId="101" xfId="2677" applyFont="1" applyFill="1" applyBorder="1" applyAlignment="1">
      <alignment vertical="top" wrapText="1"/>
    </xf>
    <xf numFmtId="0" fontId="112" fillId="33" borderId="102" xfId="2677" applyFont="1" applyFill="1" applyBorder="1" applyAlignment="1">
      <alignment vertical="top" wrapText="1"/>
    </xf>
    <xf numFmtId="0" fontId="116" fillId="33" borderId="103" xfId="2677" applyFont="1" applyFill="1" applyBorder="1" applyAlignment="1">
      <alignment horizontal="center" vertical="center" wrapText="1"/>
    </xf>
    <xf numFmtId="0" fontId="116" fillId="33" borderId="104" xfId="2677" applyFont="1" applyFill="1" applyBorder="1" applyAlignment="1">
      <alignment horizontal="center" vertical="center" wrapText="1"/>
    </xf>
    <xf numFmtId="0" fontId="116" fillId="33" borderId="105" xfId="2677" applyFont="1" applyFill="1" applyBorder="1" applyAlignment="1">
      <alignment horizontal="center" vertical="top" wrapText="1"/>
    </xf>
    <xf numFmtId="0" fontId="116" fillId="33" borderId="106" xfId="2677" applyFont="1" applyFill="1" applyBorder="1" applyAlignment="1">
      <alignment horizontal="center" vertical="top" wrapText="1"/>
    </xf>
    <xf numFmtId="0" fontId="112" fillId="33" borderId="107" xfId="2677" applyFont="1" applyFill="1" applyBorder="1" applyAlignment="1">
      <alignment horizontal="center" vertical="top" wrapText="1"/>
    </xf>
    <xf numFmtId="0" fontId="112" fillId="33" borderId="108" xfId="2677" applyFont="1" applyFill="1" applyBorder="1" applyAlignment="1">
      <alignment horizontal="center" vertical="top" wrapText="1"/>
    </xf>
    <xf numFmtId="0" fontId="112" fillId="33" borderId="109" xfId="2677" applyFont="1" applyFill="1" applyBorder="1" applyAlignment="1">
      <alignment vertical="top" wrapText="1"/>
    </xf>
    <xf numFmtId="0" fontId="112" fillId="33" borderId="110" xfId="2677" applyFont="1" applyFill="1" applyBorder="1" applyAlignment="1">
      <alignment vertical="top" wrapText="1"/>
    </xf>
    <xf numFmtId="0" fontId="112" fillId="33" borderId="109" xfId="2677" applyFont="1" applyFill="1" applyBorder="1" applyAlignment="1">
      <alignment horizontal="center"/>
    </xf>
    <xf numFmtId="0" fontId="116" fillId="33" borderId="18" xfId="2677" applyFont="1" applyFill="1" applyBorder="1" applyAlignment="1">
      <alignment horizontal="center" vertical="top" wrapText="1"/>
    </xf>
    <xf numFmtId="0" fontId="112" fillId="33" borderId="111" xfId="2677" applyFont="1" applyFill="1" applyBorder="1" applyAlignment="1">
      <alignment horizontal="center" vertical="top" wrapText="1"/>
    </xf>
    <xf numFmtId="0" fontId="112" fillId="33" borderId="112" xfId="2677" applyFont="1" applyFill="1" applyBorder="1" applyAlignment="1">
      <alignment horizontal="center" vertical="top" wrapText="1"/>
    </xf>
    <xf numFmtId="0" fontId="112" fillId="33" borderId="113" xfId="2677" applyFont="1" applyFill="1" applyBorder="1" applyAlignment="1">
      <alignment vertical="top" wrapText="1"/>
    </xf>
    <xf numFmtId="0" fontId="112" fillId="33" borderId="114" xfId="2677" applyFont="1" applyFill="1" applyBorder="1" applyAlignment="1">
      <alignment vertical="top" wrapText="1"/>
    </xf>
    <xf numFmtId="0" fontId="116" fillId="33" borderId="33" xfId="2677" applyFont="1" applyFill="1" applyBorder="1" applyAlignment="1">
      <alignment horizontal="left" vertical="center" wrapText="1"/>
    </xf>
    <xf numFmtId="0" fontId="116" fillId="33" borderId="21" xfId="2677" applyFont="1" applyFill="1" applyBorder="1" applyAlignment="1">
      <alignment horizontal="left" vertical="center" wrapText="1"/>
    </xf>
    <xf numFmtId="0" fontId="116" fillId="33" borderId="115" xfId="2677" applyFont="1" applyFill="1" applyBorder="1" applyAlignment="1">
      <alignment horizontal="center" vertical="top" wrapText="1"/>
    </xf>
    <xf numFmtId="0" fontId="116" fillId="33" borderId="103" xfId="2677" applyFont="1" applyFill="1" applyBorder="1" applyAlignment="1">
      <alignment horizontal="center" vertical="top" wrapText="1"/>
    </xf>
    <xf numFmtId="0" fontId="112" fillId="33" borderId="116" xfId="2677" applyFont="1" applyFill="1" applyBorder="1" applyAlignment="1">
      <alignment horizontal="center" vertical="top" wrapText="1"/>
    </xf>
    <xf numFmtId="0" fontId="112" fillId="33" borderId="117" xfId="2677" applyFont="1" applyFill="1" applyBorder="1" applyAlignment="1">
      <alignment horizontal="center" vertical="top" wrapText="1"/>
    </xf>
    <xf numFmtId="0" fontId="112" fillId="33" borderId="118" xfId="2677" applyFont="1" applyFill="1" applyBorder="1" applyAlignment="1">
      <alignment vertical="top" wrapText="1"/>
    </xf>
    <xf numFmtId="0" fontId="112" fillId="33" borderId="119" xfId="2677" applyFont="1" applyFill="1" applyBorder="1" applyAlignment="1">
      <alignment vertical="top" wrapText="1"/>
    </xf>
    <xf numFmtId="0" fontId="112" fillId="33" borderId="120" xfId="2677" applyFont="1" applyFill="1" applyBorder="1" applyAlignment="1">
      <alignment horizontal="center"/>
    </xf>
    <xf numFmtId="0" fontId="116" fillId="33" borderId="50" xfId="2677" applyFont="1" applyFill="1" applyBorder="1" applyAlignment="1">
      <alignment horizontal="center" vertical="center" wrapText="1"/>
    </xf>
    <xf numFmtId="0" fontId="116" fillId="33" borderId="41" xfId="2677" applyFont="1" applyFill="1" applyBorder="1" applyAlignment="1">
      <alignment horizontal="center" vertical="center" wrapText="1"/>
    </xf>
    <xf numFmtId="0" fontId="116" fillId="33" borderId="3" xfId="2677" applyFont="1" applyFill="1" applyBorder="1" applyAlignment="1">
      <alignment horizontal="center" vertical="top" wrapText="1"/>
    </xf>
    <xf numFmtId="0" fontId="112" fillId="33" borderId="50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0" xfId="2677" applyFont="1" applyFill="1" applyAlignment="1">
      <alignment horizontal="left" vertical="top" wrapText="1"/>
    </xf>
    <xf numFmtId="0" fontId="113" fillId="33" borderId="37" xfId="2677" applyFont="1" applyFill="1" applyBorder="1" applyAlignment="1">
      <alignment horizontal="left" vertical="top" wrapText="1"/>
    </xf>
    <xf numFmtId="0" fontId="112" fillId="33" borderId="42" xfId="2677" applyFont="1" applyFill="1" applyBorder="1" applyAlignment="1">
      <alignment horizontal="center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72" fillId="33" borderId="0" xfId="2677" applyFont="1" applyFill="1" applyAlignment="1">
      <alignment horizontal="left" vertical="center"/>
    </xf>
    <xf numFmtId="0" fontId="112" fillId="33" borderId="39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72" fillId="33" borderId="0" xfId="2677" applyFont="1" applyFill="1" applyAlignment="1">
      <alignment horizontal="center" vertic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6" fillId="33" borderId="0" xfId="2677" applyFont="1" applyFill="1" applyAlignment="1">
      <alignment horizontal="center" vertical="top" wrapText="1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6" fillId="33" borderId="0" xfId="2677" applyFont="1" applyFill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70" fillId="0" borderId="20" xfId="0" quotePrefix="1" applyFont="1" applyBorder="1" applyAlignment="1">
      <alignment horizontal="center" wrapText="1"/>
    </xf>
    <xf numFmtId="0" fontId="170" fillId="0" borderId="20" xfId="0" applyFont="1" applyBorder="1" applyAlignment="1">
      <alignment horizont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3" fillId="0" borderId="21" xfId="1614" applyFont="1" applyBorder="1" applyAlignment="1">
      <alignment vertical="center" wrapText="1"/>
    </xf>
    <xf numFmtId="0" fontId="173" fillId="0" borderId="20" xfId="1614" applyFont="1" applyBorder="1" applyAlignment="1">
      <alignment horizontal="center" vertical="center"/>
    </xf>
    <xf numFmtId="0" fontId="108" fillId="0" borderId="21" xfId="1614" applyBorder="1" applyAlignment="1">
      <alignment horizontal="center" vertical="center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2" fontId="1" fillId="0" borderId="21" xfId="1652" quotePrefix="1" applyNumberFormat="1" applyFont="1" applyBorder="1" applyAlignment="1">
      <alignment horizontal="center" vertical="center"/>
    </xf>
    <xf numFmtId="0" fontId="174" fillId="0" borderId="20" xfId="0" applyFont="1" applyBorder="1" applyAlignment="1">
      <alignment horizontal="center" wrapText="1"/>
    </xf>
    <xf numFmtId="0" fontId="174" fillId="0" borderId="21" xfId="0" applyFont="1" applyBorder="1" applyAlignment="1">
      <alignment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calcChain" Target="calcChain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theme" Target="theme/theme1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tyles" Target="style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1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212</xdr:row>
      <xdr:rowOff>68515</xdr:rowOff>
    </xdr:from>
    <xdr:to>
      <xdr:col>12</xdr:col>
      <xdr:colOff>189677</xdr:colOff>
      <xdr:row>215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96098</xdr:colOff>
      <xdr:row>6</xdr:row>
      <xdr:rowOff>40406</xdr:rowOff>
    </xdr:from>
    <xdr:to>
      <xdr:col>20</xdr:col>
      <xdr:colOff>12770</xdr:colOff>
      <xdr:row>37</xdr:row>
      <xdr:rowOff>120249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3325F-12FA-4028-8C50-8B85E156AE55}"/>
            </a:ext>
          </a:extLst>
        </xdr:cNvPr>
        <xdr:cNvSpPr txBox="1"/>
      </xdr:nvSpPr>
      <xdr:spPr>
        <a:xfrm rot="16793663" flipV="1">
          <a:off x="4619850" y="3231904"/>
          <a:ext cx="4813768" cy="297672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136028</xdr:colOff>
      <xdr:row>70</xdr:row>
      <xdr:rowOff>76200</xdr:rowOff>
    </xdr:from>
    <xdr:to>
      <xdr:col>16</xdr:col>
      <xdr:colOff>334510</xdr:colOff>
      <xdr:row>76</xdr:row>
      <xdr:rowOff>88392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4BFDA7A-8880-42C3-BE5C-B6A9421C23F3}"/>
            </a:ext>
          </a:extLst>
        </xdr:cNvPr>
        <xdr:cNvSpPr/>
      </xdr:nvSpPr>
      <xdr:spPr>
        <a:xfrm>
          <a:off x="4250828" y="10896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57</xdr:row>
      <xdr:rowOff>85727</xdr:rowOff>
    </xdr:from>
    <xdr:to>
      <xdr:col>36</xdr:col>
      <xdr:colOff>310923</xdr:colOff>
      <xdr:row>58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D304DA9-8CF9-4891-BDC5-2610BA8B95D0}"/>
            </a:ext>
          </a:extLst>
        </xdr:cNvPr>
        <xdr:cNvCxnSpPr/>
      </xdr:nvCxnSpPr>
      <xdr:spPr>
        <a:xfrm flipH="1">
          <a:off x="13655744" y="8915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FE6528F7-DE70-4425-AB1B-610DACD2781E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E8E5358D-9481-78F4-EABE-EAC2EBC107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52895657-8A05-01EF-F188-6BE3EE7DD257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225329A9-E0F2-55A2-405A-02B722ACFB72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441778-0D84-49F2-8EC6-3FC93F79C9BF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7340C2FF-7055-4DFC-BBC7-CE5F74829CF6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EEFE9745-0130-A8F6-316C-40AC17D6F92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F29AFAE-4FE0-03B4-C21A-A7A76006F70A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6CFCFEB8-68FD-0D12-63A5-7236345899A1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EE6922A-EECD-4EA1-A6E5-CEB983954E1A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E6D08473-36FD-43BD-9369-C8BE7288FF83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83ECDED9-C927-44E0-A779-1D8EE64F2DF3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3F2B98-8B47-4155-BFE0-14416F5B2700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3D110B3-ACB4-48E6-9D25-275B96FA3B5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7D8C2BF5-FDEB-48F2-981A-A87DFC3EE5FB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CB803E8-753D-4F16-A65F-46A4240C67D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E53A787-1C03-4276-85BB-F7F4F0888DD8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BCAE59C-D650-482D-9A36-F91996FC0E0D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135A015-4A8C-485A-A8CE-6BD4CD61747E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D78F730F-5A97-4FED-B534-9C8622609E37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E726984-1B64-4531-9B22-B63EBC90C68A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F83CA5D-80CA-4443-96B6-B9358FB7BFC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BBDB6B04-9D9F-4B7E-B9E7-95241E0A4F4F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A14B8E28-919B-4D77-A620-8403DEF7DF4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54C3DE56-FFD4-417A-B56F-B6B1CE21255E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AACDAC73-E9FA-4A40-91B9-CD42733DF39C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52CE7098-29EC-4721-806D-F5AF89579968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35D1F40D-8C8B-4EEF-A67B-E46F7991B14B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1C62FFC-745D-477A-B377-B97EDF64051F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54AEA5B3-1CD0-4215-AE52-140846A4B41D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F922E8D-A956-444B-9A78-ADAC58B575CD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813F2BFC-37A0-4E15-BDA0-67C1E91CDAAC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E0D3F427-8E49-4611-9C72-652BEB8962A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BCC2C36E-C12D-4480-BF94-F0E2F7A930AB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0B88EFB-0ACC-4ED9-AC3D-2207DED26D40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33430E0-E8B4-39F8-0169-B1F2AC0DBA2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68D2EA2C-A7C4-6914-1A59-81B04A04D7D8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8FB82D6-9AE7-46AC-A383-59B242190759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2A4F3F02-FC0C-E32D-9D45-AB5C9D751A1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29ADD71C-560D-FDB3-6DDB-A66EF18D1DAC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B718719-FAC5-4456-83B9-144EADC64DFA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5C35AE9-D2C1-8E5D-221F-A63520A84CD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F1AC5F02-F92D-B147-7476-F49C705CD11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CAF5DD20-B8CA-EDD2-63B6-9D670E7FB0E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40EB11D-6B9E-A025-0159-5F6C0FA5D6C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82933D60-1C82-4148-B851-D9028C207B3E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0F1DE217-4D97-1814-2833-C35C44FC3EB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039C008-6DCC-09EC-01B5-FDA628A9AAC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C48B38B-95B4-FFA7-1FD3-DFF24995BC1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1BDA4EF2-4C71-E40D-877A-8D524615F0F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8002B55-F83C-42B4-A66C-77E091983B2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0B51E099-AFEF-4BC7-AB75-0A985E20AB30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F051D74-0974-4D0A-B12E-4F9EA85B958B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8E88B20-C2B1-4B6E-9003-6081723FF12A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980342D1-EA89-4F48-A0B8-191AB9058BD8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6B191FDE-2820-2BDB-9EA0-0E3C2BB42F2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277F7B07-CAF6-2696-4048-DE6CBB99A31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7DDE5242-7F54-656D-D952-F409AC7F744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BC655CE-8C8B-4A54-A732-B81FA490471F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A810C7C8-5C96-8039-1E46-1BB72640D7A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92E8C91B-1511-E63D-FA11-451BB9D5D81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1CDDBBC0-20A6-C466-809B-CA5140E7D5C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348135</xdr:colOff>
      <xdr:row>1</xdr:row>
      <xdr:rowOff>34613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BE760945-302B-4206-8A8B-0990ACC6B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129935" y="196538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0BB2F96-7549-41B5-A410-D3E3CC9CD586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2CCBD977-A732-47F7-BC1C-6B020996FECF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A70F8D2-8137-4849-B211-F4F4DC19891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B8F3252B-1477-41A2-AE96-3F100140920B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BE0C1D49-B206-46FD-96E9-E7D65B21AABE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DA36F48C-CA5F-4710-9CDA-BD88C93CBEED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62</xdr:row>
      <xdr:rowOff>117730</xdr:rowOff>
    </xdr:from>
    <xdr:to>
      <xdr:col>20</xdr:col>
      <xdr:colOff>52443</xdr:colOff>
      <xdr:row>63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CD742D90-84C2-485E-AE2A-7A680C20B1F5}"/>
            </a:ext>
          </a:extLst>
        </xdr:cNvPr>
        <xdr:cNvGrpSpPr/>
      </xdr:nvGrpSpPr>
      <xdr:grpSpPr>
        <a:xfrm rot="21429191">
          <a:off x="7131421" y="9718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4DA8C749-4CD3-9BB0-0E2D-FCC7CBD42ED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31868B9D-4A50-36B7-F6A0-BC60378BAFC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3C9757C0-1531-ED21-AD4B-667A03F93F0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6004D6D5-8057-4260-B575-E3AF9A300D0A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8759ACA7-3E4A-142F-50CF-E6B7864F6DDB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10BF9871-5827-6EDF-B568-19AC964EB4D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F92A0473-6C70-F00C-5B8B-9587A6E4715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D0540EE2-FBBC-478B-B0AF-3229C943722F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2A39AFE6-97DF-8DED-113E-E7031C221CE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816FC2F-0797-97A7-DD6F-12C507583C4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5C53835-B778-8ACD-F070-4D73E879053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12216583-FF0E-2141-217B-3D3E5601A0B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A9E7001A-B617-4ADB-87BF-D70966D88CB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96D10A63-63F0-4D6B-8FBA-38A273973EB7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A6A69D2C-754B-42CE-8196-D35A0D1A9B39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56941BF3-4811-7453-A50F-51B30C3EE4D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6320B679-DC9C-BDBC-B68B-FD3C3D1267F6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C7500CA5-A97A-48BF-8096-F2A99152F6F7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775595D1-59C8-BF2F-9248-A12FDD41009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BF88428F-1BFF-0525-FF2F-245EDA9244D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FD5F7FFE-3386-45EA-990A-BFDC9BFD5C38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A465BD90-7A62-D21E-93D0-5E03D375423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6D7A17A8-134F-E060-D114-A94CA400D7A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8DFAB80D-A634-4B58-4357-2044A5CE95A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17C31EC2-519F-88F8-4ABB-F3DFC105F85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0204D867-EEDF-4247-9873-23275B7FB02C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A4D490E0-CA62-5600-39AE-41B63166D44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B74AFC5-133F-B1D2-6A6B-426CBED9A6A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3943C8DE-5F0A-451B-5B4D-D4271899ED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4AA8D4C3-9665-DB02-EDAF-DA00B40F463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C618C14-ECE3-487E-B22A-991C86E38EA7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379B6015-251F-42B0-A6FF-92E3ADFB13AA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262975C2-D665-4099-B015-D2C17411956D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B21E1CC3-F4C1-4CFD-BF28-0F7F21C3C713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8BF9FA60-B123-4B1D-A241-3BEF0AFC26A1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F33F44A1-FBC7-26A9-F715-35009C2B6C9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F50B4D22-DA17-AC94-5567-3A0B442C9D2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6AC58A9D-9279-AB0C-AB0C-24F5E9C47262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807FC933-3C47-4C2B-B299-EA2EDD2068D9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58B18D7-784F-CA3C-E287-3B4069F4829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DB5203F8-7A20-D3C9-6636-E18365C5C3A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A79F924E-931F-AC0A-8788-7EAD775ABC6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19</xdr:col>
      <xdr:colOff>1303</xdr:colOff>
      <xdr:row>5</xdr:row>
      <xdr:rowOff>73414</xdr:rowOff>
    </xdr:from>
    <xdr:to>
      <xdr:col>19</xdr:col>
      <xdr:colOff>242616</xdr:colOff>
      <xdr:row>27</xdr:row>
      <xdr:rowOff>118417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42F5B07-8675-4634-8167-3EF24C73E755}"/>
            </a:ext>
          </a:extLst>
        </xdr:cNvPr>
        <xdr:cNvSpPr txBox="1"/>
      </xdr:nvSpPr>
      <xdr:spPr>
        <a:xfrm rot="6031839">
          <a:off x="5200096" y="2437471"/>
          <a:ext cx="3407328" cy="24131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71</xdr:row>
      <xdr:rowOff>140158</xdr:rowOff>
    </xdr:from>
    <xdr:to>
      <xdr:col>12</xdr:col>
      <xdr:colOff>109399</xdr:colOff>
      <xdr:row>74</xdr:row>
      <xdr:rowOff>2844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DA088DAA-6A52-4D5E-9B35-EC177F10EB31}"/>
            </a:ext>
          </a:extLst>
        </xdr:cNvPr>
        <xdr:cNvSpPr txBox="1"/>
      </xdr:nvSpPr>
      <xdr:spPr>
        <a:xfrm>
          <a:off x="2230416" y="11112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70</xdr:row>
      <xdr:rowOff>11038</xdr:rowOff>
    </xdr:from>
    <xdr:to>
      <xdr:col>6</xdr:col>
      <xdr:colOff>305994</xdr:colOff>
      <xdr:row>71</xdr:row>
      <xdr:rowOff>109715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5C70BA69-F50F-4041-88BD-D47A36D99438}"/>
            </a:ext>
          </a:extLst>
        </xdr:cNvPr>
        <xdr:cNvSpPr/>
      </xdr:nvSpPr>
      <xdr:spPr>
        <a:xfrm>
          <a:off x="1890543" y="10831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63</xdr:row>
      <xdr:rowOff>74365</xdr:rowOff>
    </xdr:from>
    <xdr:to>
      <xdr:col>4</xdr:col>
      <xdr:colOff>330975</xdr:colOff>
      <xdr:row>70</xdr:row>
      <xdr:rowOff>109539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3CB9AE2-CBE7-450A-B261-FB8537365715}"/>
            </a:ext>
          </a:extLst>
        </xdr:cNvPr>
        <xdr:cNvSpPr txBox="1"/>
      </xdr:nvSpPr>
      <xdr:spPr>
        <a:xfrm>
          <a:off x="426252" y="9827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69</xdr:row>
      <xdr:rowOff>2547</xdr:rowOff>
    </xdr:from>
    <xdr:to>
      <xdr:col>12</xdr:col>
      <xdr:colOff>52892</xdr:colOff>
      <xdr:row>72</xdr:row>
      <xdr:rowOff>79589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DD4784A-B54D-4043-88DF-2DB8D9A253D2}"/>
            </a:ext>
          </a:extLst>
        </xdr:cNvPr>
        <xdr:cNvSpPr txBox="1"/>
      </xdr:nvSpPr>
      <xdr:spPr>
        <a:xfrm>
          <a:off x="2417039" y="10670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70</xdr:row>
      <xdr:rowOff>58653</xdr:rowOff>
    </xdr:from>
    <xdr:to>
      <xdr:col>19</xdr:col>
      <xdr:colOff>43083</xdr:colOff>
      <xdr:row>71</xdr:row>
      <xdr:rowOff>98620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4A639780-67BB-4944-B89C-0825D1EA95A2}"/>
            </a:ext>
          </a:extLst>
        </xdr:cNvPr>
        <xdr:cNvSpPr txBox="1"/>
      </xdr:nvSpPr>
      <xdr:spPr>
        <a:xfrm>
          <a:off x="6462356" y="10879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64</xdr:row>
      <xdr:rowOff>104775</xdr:rowOff>
    </xdr:from>
    <xdr:to>
      <xdr:col>7</xdr:col>
      <xdr:colOff>52388</xdr:colOff>
      <xdr:row>70</xdr:row>
      <xdr:rowOff>11038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604526E4-5CA6-462E-9FD7-8171F4DDD96A}"/>
            </a:ext>
          </a:extLst>
        </xdr:cNvPr>
        <xdr:cNvCxnSpPr>
          <a:cxnSpLocks/>
          <a:endCxn id="119" idx="0"/>
        </xdr:cNvCxnSpPr>
      </xdr:nvCxnSpPr>
      <xdr:spPr bwMode="auto">
        <a:xfrm flipH="1">
          <a:off x="2012669" y="10010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75</xdr:row>
      <xdr:rowOff>0</xdr:rowOff>
    </xdr:from>
    <xdr:to>
      <xdr:col>4</xdr:col>
      <xdr:colOff>362274</xdr:colOff>
      <xdr:row>80</xdr:row>
      <xdr:rowOff>68189</xdr:rowOff>
    </xdr:to>
    <xdr:sp macro="" textlink="">
      <xdr:nvSpPr>
        <xdr:cNvPr id="124" name="TextBox 162">
          <a:extLst>
            <a:ext uri="{FF2B5EF4-FFF2-40B4-BE49-F238E27FC236}">
              <a16:creationId xmlns:a16="http://schemas.microsoft.com/office/drawing/2014/main" id="{8F2FA98C-6BC4-4745-8DA1-E726DBE17CDF}"/>
            </a:ext>
          </a:extLst>
        </xdr:cNvPr>
        <xdr:cNvSpPr txBox="1"/>
      </xdr:nvSpPr>
      <xdr:spPr>
        <a:xfrm>
          <a:off x="685800" y="11582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75</xdr:row>
      <xdr:rowOff>34290</xdr:rowOff>
    </xdr:from>
    <xdr:to>
      <xdr:col>7</xdr:col>
      <xdr:colOff>177596</xdr:colOff>
      <xdr:row>81</xdr:row>
      <xdr:rowOff>12222</xdr:rowOff>
    </xdr:to>
    <xdr:sp macro="" textlink="">
      <xdr:nvSpPr>
        <xdr:cNvPr id="125" name="TextBox 145">
          <a:extLst>
            <a:ext uri="{FF2B5EF4-FFF2-40B4-BE49-F238E27FC236}">
              <a16:creationId xmlns:a16="http://schemas.microsoft.com/office/drawing/2014/main" id="{3D40B99C-ACB8-4560-88CF-A7931FEEDF85}"/>
            </a:ext>
          </a:extLst>
        </xdr:cNvPr>
        <xdr:cNvSpPr txBox="1"/>
      </xdr:nvSpPr>
      <xdr:spPr>
        <a:xfrm>
          <a:off x="1693545" y="11616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75</xdr:row>
      <xdr:rowOff>17145</xdr:rowOff>
    </xdr:from>
    <xdr:to>
      <xdr:col>10</xdr:col>
      <xdr:colOff>277372</xdr:colOff>
      <xdr:row>79</xdr:row>
      <xdr:rowOff>97177</xdr:rowOff>
    </xdr:to>
    <xdr:sp macro="" textlink="">
      <xdr:nvSpPr>
        <xdr:cNvPr id="126" name="TextBox 157">
          <a:extLst>
            <a:ext uri="{FF2B5EF4-FFF2-40B4-BE49-F238E27FC236}">
              <a16:creationId xmlns:a16="http://schemas.microsoft.com/office/drawing/2014/main" id="{D278D9D4-78C0-4F01-A926-EDD267E1B638}"/>
            </a:ext>
          </a:extLst>
        </xdr:cNvPr>
        <xdr:cNvSpPr txBox="1"/>
      </xdr:nvSpPr>
      <xdr:spPr>
        <a:xfrm>
          <a:off x="2665095" y="11599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61</xdr:row>
      <xdr:rowOff>0</xdr:rowOff>
    </xdr:from>
    <xdr:to>
      <xdr:col>9</xdr:col>
      <xdr:colOff>147007</xdr:colOff>
      <xdr:row>61</xdr:row>
      <xdr:rowOff>131649</xdr:rowOff>
    </xdr:to>
    <xdr:grpSp>
      <xdr:nvGrpSpPr>
        <xdr:cNvPr id="127" name="Group 13">
          <a:extLst>
            <a:ext uri="{FF2B5EF4-FFF2-40B4-BE49-F238E27FC236}">
              <a16:creationId xmlns:a16="http://schemas.microsoft.com/office/drawing/2014/main" id="{304D745A-EE84-4C65-974D-CAFE226DDCD1}"/>
            </a:ext>
          </a:extLst>
        </xdr:cNvPr>
        <xdr:cNvGrpSpPr/>
      </xdr:nvGrpSpPr>
      <xdr:grpSpPr>
        <a:xfrm>
          <a:off x="2971800" y="9448800"/>
          <a:ext cx="147007" cy="131649"/>
          <a:chOff x="9937028" y="802652"/>
          <a:chExt cx="83991" cy="77961"/>
        </a:xfrm>
      </xdr:grpSpPr>
      <xdr:sp macro="" textlink="">
        <xdr:nvSpPr>
          <xdr:cNvPr id="128" name="Oval 1">
            <a:extLst>
              <a:ext uri="{FF2B5EF4-FFF2-40B4-BE49-F238E27FC236}">
                <a16:creationId xmlns:a16="http://schemas.microsoft.com/office/drawing/2014/main" id="{D4DE10BA-14DB-0C9F-AF20-0FD85A21144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9" name="Straight Connector 3">
            <a:extLst>
              <a:ext uri="{FF2B5EF4-FFF2-40B4-BE49-F238E27FC236}">
                <a16:creationId xmlns:a16="http://schemas.microsoft.com/office/drawing/2014/main" id="{8C1A05B7-6A03-88CD-3475-DA0D587C012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7">
            <a:extLst>
              <a:ext uri="{FF2B5EF4-FFF2-40B4-BE49-F238E27FC236}">
                <a16:creationId xmlns:a16="http://schemas.microsoft.com/office/drawing/2014/main" id="{0E2E27F0-39FA-AE4E-A642-78A14022D11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60</xdr:row>
      <xdr:rowOff>131446</xdr:rowOff>
    </xdr:from>
    <xdr:to>
      <xdr:col>10</xdr:col>
      <xdr:colOff>181246</xdr:colOff>
      <xdr:row>61</xdr:row>
      <xdr:rowOff>120219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0971A1B2-B222-4364-A1DC-EBF5352AEF4A}"/>
            </a:ext>
          </a:extLst>
        </xdr:cNvPr>
        <xdr:cNvGrpSpPr/>
      </xdr:nvGrpSpPr>
      <xdr:grpSpPr>
        <a:xfrm>
          <a:off x="3375660" y="9427846"/>
          <a:ext cx="158386" cy="141173"/>
          <a:chOff x="9937028" y="802652"/>
          <a:chExt cx="83991" cy="77961"/>
        </a:xfrm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2C2464E2-BCB8-758D-141F-C9D3F9E762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221A6C54-79F8-3A7B-B903-D8E876141C4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840EA1D9-9FA2-C372-9821-F8B9E7BCA31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61</xdr:row>
      <xdr:rowOff>17144</xdr:rowOff>
    </xdr:from>
    <xdr:to>
      <xdr:col>11</xdr:col>
      <xdr:colOff>334443</xdr:colOff>
      <xdr:row>62</xdr:row>
      <xdr:rowOff>5919</xdr:rowOff>
    </xdr:to>
    <xdr:grpSp>
      <xdr:nvGrpSpPr>
        <xdr:cNvPr id="135" name="Group 13">
          <a:extLst>
            <a:ext uri="{FF2B5EF4-FFF2-40B4-BE49-F238E27FC236}">
              <a16:creationId xmlns:a16="http://schemas.microsoft.com/office/drawing/2014/main" id="{5E70F2C4-0C93-4F63-B904-37ACCC6CF353}"/>
            </a:ext>
          </a:extLst>
        </xdr:cNvPr>
        <xdr:cNvGrpSpPr/>
      </xdr:nvGrpSpPr>
      <xdr:grpSpPr>
        <a:xfrm>
          <a:off x="3910965" y="9465944"/>
          <a:ext cx="157278" cy="141175"/>
          <a:chOff x="9937028" y="802652"/>
          <a:chExt cx="83991" cy="77961"/>
        </a:xfrm>
      </xdr:grpSpPr>
      <xdr:sp macro="" textlink="">
        <xdr:nvSpPr>
          <xdr:cNvPr id="136" name="Oval 1">
            <a:extLst>
              <a:ext uri="{FF2B5EF4-FFF2-40B4-BE49-F238E27FC236}">
                <a16:creationId xmlns:a16="http://schemas.microsoft.com/office/drawing/2014/main" id="{9F1A7299-C4FA-16E2-090A-042B3E0C009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3">
            <a:extLst>
              <a:ext uri="{FF2B5EF4-FFF2-40B4-BE49-F238E27FC236}">
                <a16:creationId xmlns:a16="http://schemas.microsoft.com/office/drawing/2014/main" id="{EAD2D4E7-27FE-5B88-714C-72AA30C1357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7">
            <a:extLst>
              <a:ext uri="{FF2B5EF4-FFF2-40B4-BE49-F238E27FC236}">
                <a16:creationId xmlns:a16="http://schemas.microsoft.com/office/drawing/2014/main" id="{837245FB-1130-F966-C5A2-F44E2416F36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120015</xdr:colOff>
      <xdr:row>19</xdr:row>
      <xdr:rowOff>17145</xdr:rowOff>
    </xdr:from>
    <xdr:to>
      <xdr:col>18</xdr:col>
      <xdr:colOff>264567</xdr:colOff>
      <xdr:row>20</xdr:row>
      <xdr:rowOff>13578</xdr:rowOff>
    </xdr:to>
    <xdr:grpSp>
      <xdr:nvGrpSpPr>
        <xdr:cNvPr id="139" name="Group 13">
          <a:extLst>
            <a:ext uri="{FF2B5EF4-FFF2-40B4-BE49-F238E27FC236}">
              <a16:creationId xmlns:a16="http://schemas.microsoft.com/office/drawing/2014/main" id="{78EADD54-9024-411A-BC56-4DB5B48981DE}"/>
            </a:ext>
          </a:extLst>
        </xdr:cNvPr>
        <xdr:cNvGrpSpPr/>
      </xdr:nvGrpSpPr>
      <xdr:grpSpPr>
        <a:xfrm>
          <a:off x="6520815" y="2941320"/>
          <a:ext cx="144552" cy="148833"/>
          <a:chOff x="9937028" y="802652"/>
          <a:chExt cx="83991" cy="77961"/>
        </a:xfrm>
      </xdr:grpSpPr>
      <xdr:sp macro="" textlink="">
        <xdr:nvSpPr>
          <xdr:cNvPr id="140" name="Oval 1">
            <a:extLst>
              <a:ext uri="{FF2B5EF4-FFF2-40B4-BE49-F238E27FC236}">
                <a16:creationId xmlns:a16="http://schemas.microsoft.com/office/drawing/2014/main" id="{1A1AF1D6-1116-3048-220C-60EECED445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1" name="Straight Connector 3">
            <a:extLst>
              <a:ext uri="{FF2B5EF4-FFF2-40B4-BE49-F238E27FC236}">
                <a16:creationId xmlns:a16="http://schemas.microsoft.com/office/drawing/2014/main" id="{CA097C9A-0D1E-B0D5-CE58-E2F431A1B1F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7">
            <a:extLst>
              <a:ext uri="{FF2B5EF4-FFF2-40B4-BE49-F238E27FC236}">
                <a16:creationId xmlns:a16="http://schemas.microsoft.com/office/drawing/2014/main" id="{940D4351-49A3-741D-2CFC-146A280150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61</xdr:row>
      <xdr:rowOff>11429</xdr:rowOff>
    </xdr:from>
    <xdr:to>
      <xdr:col>14</xdr:col>
      <xdr:colOff>7392</xdr:colOff>
      <xdr:row>62</xdr:row>
      <xdr:rowOff>647</xdr:rowOff>
    </xdr:to>
    <xdr:grpSp>
      <xdr:nvGrpSpPr>
        <xdr:cNvPr id="143" name="Group 13">
          <a:extLst>
            <a:ext uri="{FF2B5EF4-FFF2-40B4-BE49-F238E27FC236}">
              <a16:creationId xmlns:a16="http://schemas.microsoft.com/office/drawing/2014/main" id="{7AC8E56C-A0E8-4FC0-B0FC-D68CB5A26985}"/>
            </a:ext>
          </a:extLst>
        </xdr:cNvPr>
        <xdr:cNvGrpSpPr/>
      </xdr:nvGrpSpPr>
      <xdr:grpSpPr>
        <a:xfrm>
          <a:off x="4758690" y="9460229"/>
          <a:ext cx="125502" cy="141618"/>
          <a:chOff x="9937028" y="802652"/>
          <a:chExt cx="83991" cy="77961"/>
        </a:xfrm>
      </xdr:grpSpPr>
      <xdr:sp macro="" textlink="">
        <xdr:nvSpPr>
          <xdr:cNvPr id="144" name="Oval 1">
            <a:extLst>
              <a:ext uri="{FF2B5EF4-FFF2-40B4-BE49-F238E27FC236}">
                <a16:creationId xmlns:a16="http://schemas.microsoft.com/office/drawing/2014/main" id="{87CEBDC0-1F60-0873-DA6F-A66CCA2A12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" name="Straight Connector 3">
            <a:extLst>
              <a:ext uri="{FF2B5EF4-FFF2-40B4-BE49-F238E27FC236}">
                <a16:creationId xmlns:a16="http://schemas.microsoft.com/office/drawing/2014/main" id="{530B4BF3-7F13-B3D1-653D-A207380DEC3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7">
            <a:extLst>
              <a:ext uri="{FF2B5EF4-FFF2-40B4-BE49-F238E27FC236}">
                <a16:creationId xmlns:a16="http://schemas.microsoft.com/office/drawing/2014/main" id="{2A7FD651-27EE-E14F-B5B5-A5CC82469A5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61</xdr:row>
      <xdr:rowOff>85724</xdr:rowOff>
    </xdr:from>
    <xdr:to>
      <xdr:col>20</xdr:col>
      <xdr:colOff>371475</xdr:colOff>
      <xdr:row>61</xdr:row>
      <xdr:rowOff>97154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B9E38E56-BE77-4643-A28A-2B121E9F729F}"/>
            </a:ext>
          </a:extLst>
        </xdr:cNvPr>
        <xdr:cNvCxnSpPr>
          <a:cxnSpLocks/>
        </xdr:cNvCxnSpPr>
      </xdr:nvCxnSpPr>
      <xdr:spPr bwMode="auto">
        <a:xfrm flipH="1">
          <a:off x="6884670" y="9534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60</xdr:row>
      <xdr:rowOff>108585</xdr:rowOff>
    </xdr:from>
    <xdr:to>
      <xdr:col>17</xdr:col>
      <xdr:colOff>382905</xdr:colOff>
      <xdr:row>63</xdr:row>
      <xdr:rowOff>68579</xdr:rowOff>
    </xdr:to>
    <xdr:cxnSp macro="">
      <xdr:nvCxnSpPr>
        <xdr:cNvPr id="148" name="Straight Connector 139">
          <a:extLst>
            <a:ext uri="{FF2B5EF4-FFF2-40B4-BE49-F238E27FC236}">
              <a16:creationId xmlns:a16="http://schemas.microsoft.com/office/drawing/2014/main" id="{2A3B44EE-3A37-4D87-B90E-31F769420741}"/>
            </a:ext>
          </a:extLst>
        </xdr:cNvPr>
        <xdr:cNvCxnSpPr>
          <a:cxnSpLocks/>
        </xdr:cNvCxnSpPr>
      </xdr:nvCxnSpPr>
      <xdr:spPr bwMode="auto">
        <a:xfrm>
          <a:off x="6396990" y="9404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60</xdr:row>
      <xdr:rowOff>125730</xdr:rowOff>
    </xdr:from>
    <xdr:to>
      <xdr:col>15</xdr:col>
      <xdr:colOff>104547</xdr:colOff>
      <xdr:row>61</xdr:row>
      <xdr:rowOff>122164</xdr:rowOff>
    </xdr:to>
    <xdr:grpSp>
      <xdr:nvGrpSpPr>
        <xdr:cNvPr id="149" name="Group 13">
          <a:extLst>
            <a:ext uri="{FF2B5EF4-FFF2-40B4-BE49-F238E27FC236}">
              <a16:creationId xmlns:a16="http://schemas.microsoft.com/office/drawing/2014/main" id="{4BAD7C2F-8B49-44E2-9FAE-CB54A17C9A3D}"/>
            </a:ext>
          </a:extLst>
        </xdr:cNvPr>
        <xdr:cNvGrpSpPr/>
      </xdr:nvGrpSpPr>
      <xdr:grpSpPr>
        <a:xfrm>
          <a:off x="5236845" y="9422130"/>
          <a:ext cx="125502" cy="148834"/>
          <a:chOff x="9937028" y="802652"/>
          <a:chExt cx="83991" cy="77961"/>
        </a:xfrm>
      </xdr:grpSpPr>
      <xdr:sp macro="" textlink="">
        <xdr:nvSpPr>
          <xdr:cNvPr id="150" name="Oval 1">
            <a:extLst>
              <a:ext uri="{FF2B5EF4-FFF2-40B4-BE49-F238E27FC236}">
                <a16:creationId xmlns:a16="http://schemas.microsoft.com/office/drawing/2014/main" id="{8D55A10C-7377-FAE6-0F49-E295AF7716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3">
            <a:extLst>
              <a:ext uri="{FF2B5EF4-FFF2-40B4-BE49-F238E27FC236}">
                <a16:creationId xmlns:a16="http://schemas.microsoft.com/office/drawing/2014/main" id="{68A5B335-5378-508B-363B-FB5CC38AC8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7">
            <a:extLst>
              <a:ext uri="{FF2B5EF4-FFF2-40B4-BE49-F238E27FC236}">
                <a16:creationId xmlns:a16="http://schemas.microsoft.com/office/drawing/2014/main" id="{A87D1E72-830E-663B-AB50-FEBD93D014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61</xdr:row>
      <xdr:rowOff>34290</xdr:rowOff>
    </xdr:from>
    <xdr:to>
      <xdr:col>16</xdr:col>
      <xdr:colOff>253008</xdr:colOff>
      <xdr:row>62</xdr:row>
      <xdr:rowOff>36818</xdr:rowOff>
    </xdr:to>
    <xdr:grpSp>
      <xdr:nvGrpSpPr>
        <xdr:cNvPr id="153" name="Group 13">
          <a:extLst>
            <a:ext uri="{FF2B5EF4-FFF2-40B4-BE49-F238E27FC236}">
              <a16:creationId xmlns:a16="http://schemas.microsoft.com/office/drawing/2014/main" id="{23791CF7-F561-4797-9B9C-D144F3A33A11}"/>
            </a:ext>
          </a:extLst>
        </xdr:cNvPr>
        <xdr:cNvGrpSpPr/>
      </xdr:nvGrpSpPr>
      <xdr:grpSpPr>
        <a:xfrm>
          <a:off x="5747385" y="9483090"/>
          <a:ext cx="144423" cy="154928"/>
          <a:chOff x="9937028" y="802652"/>
          <a:chExt cx="83991" cy="77961"/>
        </a:xfrm>
      </xdr:grpSpPr>
      <xdr:sp macro="" textlink="">
        <xdr:nvSpPr>
          <xdr:cNvPr id="154" name="Oval 1">
            <a:extLst>
              <a:ext uri="{FF2B5EF4-FFF2-40B4-BE49-F238E27FC236}">
                <a16:creationId xmlns:a16="http://schemas.microsoft.com/office/drawing/2014/main" id="{7928AE25-7B5E-2186-216B-F11340A06F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5" name="Straight Connector 3">
            <a:extLst>
              <a:ext uri="{FF2B5EF4-FFF2-40B4-BE49-F238E27FC236}">
                <a16:creationId xmlns:a16="http://schemas.microsoft.com/office/drawing/2014/main" id="{F5917B5F-51B6-6740-E2FA-42D577061F8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7">
            <a:extLst>
              <a:ext uri="{FF2B5EF4-FFF2-40B4-BE49-F238E27FC236}">
                <a16:creationId xmlns:a16="http://schemas.microsoft.com/office/drawing/2014/main" id="{3B30A315-2821-79FA-0A16-2AC3AFE58B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63</xdr:row>
      <xdr:rowOff>51434</xdr:rowOff>
    </xdr:from>
    <xdr:to>
      <xdr:col>19</xdr:col>
      <xdr:colOff>5715</xdr:colOff>
      <xdr:row>63</xdr:row>
      <xdr:rowOff>62864</xdr:rowOff>
    </xdr:to>
    <xdr:cxnSp macro="">
      <xdr:nvCxnSpPr>
        <xdr:cNvPr id="157" name="Straight Arrow Connector 166">
          <a:extLst>
            <a:ext uri="{FF2B5EF4-FFF2-40B4-BE49-F238E27FC236}">
              <a16:creationId xmlns:a16="http://schemas.microsoft.com/office/drawing/2014/main" id="{81ACD34B-E640-4ED3-A011-179CEFCA1209}"/>
            </a:ext>
          </a:extLst>
        </xdr:cNvPr>
        <xdr:cNvCxnSpPr>
          <a:cxnSpLocks/>
        </xdr:cNvCxnSpPr>
      </xdr:nvCxnSpPr>
      <xdr:spPr>
        <a:xfrm flipV="1">
          <a:off x="6595110" y="9805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70</xdr:row>
      <xdr:rowOff>57150</xdr:rowOff>
    </xdr:from>
    <xdr:to>
      <xdr:col>20</xdr:col>
      <xdr:colOff>4387</xdr:colOff>
      <xdr:row>71</xdr:row>
      <xdr:rowOff>97117</xdr:rowOff>
    </xdr:to>
    <xdr:sp macro="" textlink="">
      <xdr:nvSpPr>
        <xdr:cNvPr id="158" name="TextBox 161">
          <a:extLst>
            <a:ext uri="{FF2B5EF4-FFF2-40B4-BE49-F238E27FC236}">
              <a16:creationId xmlns:a16="http://schemas.microsoft.com/office/drawing/2014/main" id="{73DEF6C2-426A-48F6-9071-0D2BD61F5748}"/>
            </a:ext>
          </a:extLst>
        </xdr:cNvPr>
        <xdr:cNvSpPr txBox="1"/>
      </xdr:nvSpPr>
      <xdr:spPr>
        <a:xfrm>
          <a:off x="6804660" y="10877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63</xdr:row>
      <xdr:rowOff>85724</xdr:rowOff>
    </xdr:from>
    <xdr:to>
      <xdr:col>23</xdr:col>
      <xdr:colOff>154305</xdr:colOff>
      <xdr:row>63</xdr:row>
      <xdr:rowOff>120014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2623B8B2-4D1B-4B64-9888-0870A3101222}"/>
            </a:ext>
          </a:extLst>
        </xdr:cNvPr>
        <xdr:cNvCxnSpPr>
          <a:cxnSpLocks/>
        </xdr:cNvCxnSpPr>
      </xdr:nvCxnSpPr>
      <xdr:spPr>
        <a:xfrm>
          <a:off x="8119110" y="9839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61</xdr:row>
      <xdr:rowOff>17144</xdr:rowOff>
    </xdr:from>
    <xdr:to>
      <xdr:col>4</xdr:col>
      <xdr:colOff>325756</xdr:colOff>
      <xdr:row>61</xdr:row>
      <xdr:rowOff>18546</xdr:rowOff>
    </xdr:to>
    <xdr:cxnSp macro="">
      <xdr:nvCxnSpPr>
        <xdr:cNvPr id="160" name="Straight Connector 148">
          <a:extLst>
            <a:ext uri="{FF2B5EF4-FFF2-40B4-BE49-F238E27FC236}">
              <a16:creationId xmlns:a16="http://schemas.microsoft.com/office/drawing/2014/main" id="{49D19D75-B1CF-4F1C-8B7A-30C948328CC1}"/>
            </a:ext>
          </a:extLst>
        </xdr:cNvPr>
        <xdr:cNvCxnSpPr>
          <a:cxnSpLocks/>
        </xdr:cNvCxnSpPr>
      </xdr:nvCxnSpPr>
      <xdr:spPr bwMode="auto">
        <a:xfrm flipV="1">
          <a:off x="356236" y="9465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76</xdr:row>
      <xdr:rowOff>22860</xdr:rowOff>
    </xdr:from>
    <xdr:to>
      <xdr:col>20</xdr:col>
      <xdr:colOff>53701</xdr:colOff>
      <xdr:row>77</xdr:row>
      <xdr:rowOff>70589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C578FEBB-2230-443A-97D1-3621E7DF1CFD}"/>
            </a:ext>
          </a:extLst>
        </xdr:cNvPr>
        <xdr:cNvSpPr txBox="1"/>
      </xdr:nvSpPr>
      <xdr:spPr>
        <a:xfrm>
          <a:off x="6435091" y="11757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60</xdr:row>
      <xdr:rowOff>97155</xdr:rowOff>
    </xdr:from>
    <xdr:to>
      <xdr:col>8</xdr:col>
      <xdr:colOff>67173</xdr:colOff>
      <xdr:row>61</xdr:row>
      <xdr:rowOff>39470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ED234741-E8ED-43B4-A244-4AD669434088}"/>
            </a:ext>
          </a:extLst>
        </xdr:cNvPr>
        <xdr:cNvGrpSpPr/>
      </xdr:nvGrpSpPr>
      <xdr:grpSpPr>
        <a:xfrm>
          <a:off x="2426970" y="9393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6495B218-832A-B4FC-E21B-BC0227299C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519CDE9D-5387-F569-8EBC-311F234692B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B12EE6A3-6F56-CEC3-2491-4A3A3126128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60</xdr:row>
      <xdr:rowOff>45721</xdr:rowOff>
    </xdr:from>
    <xdr:to>
      <xdr:col>6</xdr:col>
      <xdr:colOff>309710</xdr:colOff>
      <xdr:row>60</xdr:row>
      <xdr:rowOff>130912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480A283C-1D2B-4432-A387-C2538C9E7375}"/>
            </a:ext>
          </a:extLst>
        </xdr:cNvPr>
        <xdr:cNvSpPr/>
      </xdr:nvSpPr>
      <xdr:spPr>
        <a:xfrm>
          <a:off x="1977391" y="9342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62</xdr:row>
      <xdr:rowOff>22861</xdr:rowOff>
    </xdr:from>
    <xdr:to>
      <xdr:col>6</xdr:col>
      <xdr:colOff>370068</xdr:colOff>
      <xdr:row>62</xdr:row>
      <xdr:rowOff>108052</xdr:rowOff>
    </xdr:to>
    <xdr:grpSp>
      <xdr:nvGrpSpPr>
        <xdr:cNvPr id="167" name="Group 134">
          <a:extLst>
            <a:ext uri="{FF2B5EF4-FFF2-40B4-BE49-F238E27FC236}">
              <a16:creationId xmlns:a16="http://schemas.microsoft.com/office/drawing/2014/main" id="{1F83A96E-8E62-4753-8226-79BD521ACE02}"/>
            </a:ext>
          </a:extLst>
        </xdr:cNvPr>
        <xdr:cNvGrpSpPr/>
      </xdr:nvGrpSpPr>
      <xdr:grpSpPr>
        <a:xfrm>
          <a:off x="1948815" y="9624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8" name="Isosceles Triangle 118">
            <a:extLst>
              <a:ext uri="{FF2B5EF4-FFF2-40B4-BE49-F238E27FC236}">
                <a16:creationId xmlns:a16="http://schemas.microsoft.com/office/drawing/2014/main" id="{F38EAE22-AE44-D581-A4E1-9F4D2789521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19">
            <a:extLst>
              <a:ext uri="{FF2B5EF4-FFF2-40B4-BE49-F238E27FC236}">
                <a16:creationId xmlns:a16="http://schemas.microsoft.com/office/drawing/2014/main" id="{5FECE0D6-1058-0D1C-0F9A-4DD508FD5D4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0" name="Isosceles Triangle 120">
            <a:extLst>
              <a:ext uri="{FF2B5EF4-FFF2-40B4-BE49-F238E27FC236}">
                <a16:creationId xmlns:a16="http://schemas.microsoft.com/office/drawing/2014/main" id="{1DA9F5EF-3C90-D4D8-F26D-77EB66E2377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62</xdr:row>
      <xdr:rowOff>34291</xdr:rowOff>
    </xdr:from>
    <xdr:to>
      <xdr:col>8</xdr:col>
      <xdr:colOff>103969</xdr:colOff>
      <xdr:row>62</xdr:row>
      <xdr:rowOff>119482</xdr:rowOff>
    </xdr:to>
    <xdr:sp macro="" textlink="">
      <xdr:nvSpPr>
        <xdr:cNvPr id="171" name="Isosceles Triangle 120">
          <a:extLst>
            <a:ext uri="{FF2B5EF4-FFF2-40B4-BE49-F238E27FC236}">
              <a16:creationId xmlns:a16="http://schemas.microsoft.com/office/drawing/2014/main" id="{11D816F7-9B81-4B2A-A53A-D6AC002B765E}"/>
            </a:ext>
          </a:extLst>
        </xdr:cNvPr>
        <xdr:cNvSpPr/>
      </xdr:nvSpPr>
      <xdr:spPr>
        <a:xfrm>
          <a:off x="2552700" y="9635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62</xdr:row>
      <xdr:rowOff>131446</xdr:rowOff>
    </xdr:from>
    <xdr:to>
      <xdr:col>21</xdr:col>
      <xdr:colOff>34292</xdr:colOff>
      <xdr:row>63</xdr:row>
      <xdr:rowOff>61917</xdr:rowOff>
    </xdr:to>
    <xdr:grpSp>
      <xdr:nvGrpSpPr>
        <xdr:cNvPr id="172" name="Group 73">
          <a:extLst>
            <a:ext uri="{FF2B5EF4-FFF2-40B4-BE49-F238E27FC236}">
              <a16:creationId xmlns:a16="http://schemas.microsoft.com/office/drawing/2014/main" id="{44789963-133F-4E5E-A38A-A84E2658C2B5}"/>
            </a:ext>
          </a:extLst>
        </xdr:cNvPr>
        <xdr:cNvGrpSpPr/>
      </xdr:nvGrpSpPr>
      <xdr:grpSpPr>
        <a:xfrm rot="21429191">
          <a:off x="7494270" y="9732646"/>
          <a:ext cx="83822" cy="82871"/>
          <a:chOff x="12175074" y="2285812"/>
          <a:chExt cx="107252" cy="65186"/>
        </a:xfrm>
      </xdr:grpSpPr>
      <xdr:cxnSp macro="">
        <xdr:nvCxnSpPr>
          <xdr:cNvPr id="173" name="Straight Connector 74">
            <a:extLst>
              <a:ext uri="{FF2B5EF4-FFF2-40B4-BE49-F238E27FC236}">
                <a16:creationId xmlns:a16="http://schemas.microsoft.com/office/drawing/2014/main" id="{214F66F1-F357-FE4A-17F2-2A61059F9D2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5">
            <a:extLst>
              <a:ext uri="{FF2B5EF4-FFF2-40B4-BE49-F238E27FC236}">
                <a16:creationId xmlns:a16="http://schemas.microsoft.com/office/drawing/2014/main" id="{D07E7442-85F8-C69D-80F4-6B1B07C38D5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76">
            <a:extLst>
              <a:ext uri="{FF2B5EF4-FFF2-40B4-BE49-F238E27FC236}">
                <a16:creationId xmlns:a16="http://schemas.microsoft.com/office/drawing/2014/main" id="{4B0404E9-8C8F-76C0-060F-14A7D763C95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62</xdr:row>
      <xdr:rowOff>134303</xdr:rowOff>
    </xdr:from>
    <xdr:to>
      <xdr:col>21</xdr:col>
      <xdr:colOff>310585</xdr:colOff>
      <xdr:row>63</xdr:row>
      <xdr:rowOff>48661</xdr:rowOff>
    </xdr:to>
    <xdr:grpSp>
      <xdr:nvGrpSpPr>
        <xdr:cNvPr id="176" name="Grup 239">
          <a:extLst>
            <a:ext uri="{FF2B5EF4-FFF2-40B4-BE49-F238E27FC236}">
              <a16:creationId xmlns:a16="http://schemas.microsoft.com/office/drawing/2014/main" id="{9124EC2E-B111-40E4-86D8-F8257C9F88FC}"/>
            </a:ext>
          </a:extLst>
        </xdr:cNvPr>
        <xdr:cNvGrpSpPr/>
      </xdr:nvGrpSpPr>
      <xdr:grpSpPr>
        <a:xfrm>
          <a:off x="7715250" y="9735503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87B2A21B-BF97-75A1-B3E8-A661547E272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ADFD8FE5-B62C-61B2-AED7-90D4EFB73D5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FEB4C98D-9059-5253-18AD-0CA11DC5B7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0B8E9B8B-2020-C939-618E-E431C1546A8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62</xdr:row>
      <xdr:rowOff>119062</xdr:rowOff>
    </xdr:from>
    <xdr:to>
      <xdr:col>22</xdr:col>
      <xdr:colOff>142945</xdr:colOff>
      <xdr:row>63</xdr:row>
      <xdr:rowOff>33420</xdr:rowOff>
    </xdr:to>
    <xdr:grpSp>
      <xdr:nvGrpSpPr>
        <xdr:cNvPr id="181" name="Grup 244">
          <a:extLst>
            <a:ext uri="{FF2B5EF4-FFF2-40B4-BE49-F238E27FC236}">
              <a16:creationId xmlns:a16="http://schemas.microsoft.com/office/drawing/2014/main" id="{C53B6673-DA4C-4A1F-8EC9-D2BD279D9F63}"/>
            </a:ext>
          </a:extLst>
        </xdr:cNvPr>
        <xdr:cNvGrpSpPr/>
      </xdr:nvGrpSpPr>
      <xdr:grpSpPr>
        <a:xfrm>
          <a:off x="7928610" y="9720262"/>
          <a:ext cx="139135" cy="66758"/>
          <a:chOff x="13302191" y="2320613"/>
          <a:chExt cx="139135" cy="57233"/>
        </a:xfrm>
      </xdr:grpSpPr>
      <xdr:cxnSp macro="">
        <xdr:nvCxnSpPr>
          <xdr:cNvPr id="182" name="Straight Connector 81">
            <a:extLst>
              <a:ext uri="{FF2B5EF4-FFF2-40B4-BE49-F238E27FC236}">
                <a16:creationId xmlns:a16="http://schemas.microsoft.com/office/drawing/2014/main" id="{66EDFF65-E845-CFD0-DDA9-184AF18236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2">
            <a:extLst>
              <a:ext uri="{FF2B5EF4-FFF2-40B4-BE49-F238E27FC236}">
                <a16:creationId xmlns:a16="http://schemas.microsoft.com/office/drawing/2014/main" id="{160D01E8-F8D8-AF4D-DEA3-39980CDF8F8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3">
            <a:extLst>
              <a:ext uri="{FF2B5EF4-FFF2-40B4-BE49-F238E27FC236}">
                <a16:creationId xmlns:a16="http://schemas.microsoft.com/office/drawing/2014/main" id="{D17DCDB0-BAC2-2D64-76D2-523C808D33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4">
            <a:extLst>
              <a:ext uri="{FF2B5EF4-FFF2-40B4-BE49-F238E27FC236}">
                <a16:creationId xmlns:a16="http://schemas.microsoft.com/office/drawing/2014/main" id="{32D920DC-5FA8-5790-AFDE-596A1C5F375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146814</xdr:colOff>
      <xdr:row>26</xdr:row>
      <xdr:rowOff>137248</xdr:rowOff>
    </xdr:from>
    <xdr:to>
      <xdr:col>19</xdr:col>
      <xdr:colOff>520</xdr:colOff>
      <xdr:row>29</xdr:row>
      <xdr:rowOff>56246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E38E978-6F26-4161-8C02-9D31E5A7EB61}"/>
            </a:ext>
          </a:extLst>
        </xdr:cNvPr>
        <xdr:cNvSpPr txBox="1"/>
      </xdr:nvSpPr>
      <xdr:spPr>
        <a:xfrm rot="3215411">
          <a:off x="6476868" y="4198969"/>
          <a:ext cx="376198" cy="23470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285815</xdr:colOff>
      <xdr:row>29</xdr:row>
      <xdr:rowOff>89190</xdr:rowOff>
    </xdr:from>
    <xdr:to>
      <xdr:col>20</xdr:col>
      <xdr:colOff>179588</xdr:colOff>
      <xdr:row>31</xdr:row>
      <xdr:rowOff>31392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7AC28C8-3F6E-490B-8E8B-1F57D725CCF1}"/>
            </a:ext>
          </a:extLst>
        </xdr:cNvPr>
        <xdr:cNvSpPr txBox="1"/>
      </xdr:nvSpPr>
      <xdr:spPr>
        <a:xfrm rot="2170161">
          <a:off x="6686615" y="4537365"/>
          <a:ext cx="655773" cy="2374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1009</xdr:colOff>
      <xdr:row>31</xdr:row>
      <xdr:rowOff>30614</xdr:rowOff>
    </xdr:from>
    <xdr:to>
      <xdr:col>20</xdr:col>
      <xdr:colOff>224068</xdr:colOff>
      <xdr:row>35</xdr:row>
      <xdr:rowOff>90040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CED08937-673C-4D10-B136-6B85278241CE}"/>
            </a:ext>
          </a:extLst>
        </xdr:cNvPr>
        <xdr:cNvSpPr txBox="1"/>
      </xdr:nvSpPr>
      <xdr:spPr>
        <a:xfrm rot="4859108">
          <a:off x="6940826" y="4997047"/>
          <a:ext cx="669026" cy="223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41412</xdr:colOff>
      <xdr:row>35</xdr:row>
      <xdr:rowOff>15059</xdr:rowOff>
    </xdr:from>
    <xdr:to>
      <xdr:col>20</xdr:col>
      <xdr:colOff>264471</xdr:colOff>
      <xdr:row>52</xdr:row>
      <xdr:rowOff>55719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30977B52-CEEB-4DE7-BB23-FDF7F0B5ECAC}"/>
            </a:ext>
          </a:extLst>
        </xdr:cNvPr>
        <xdr:cNvSpPr txBox="1"/>
      </xdr:nvSpPr>
      <xdr:spPr>
        <a:xfrm rot="5400000">
          <a:off x="5990487" y="6581834"/>
          <a:ext cx="2650510" cy="223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361950</xdr:colOff>
      <xdr:row>24</xdr:row>
      <xdr:rowOff>137039</xdr:rowOff>
    </xdr:from>
    <xdr:to>
      <xdr:col>17</xdr:col>
      <xdr:colOff>182218</xdr:colOff>
      <xdr:row>26</xdr:row>
      <xdr:rowOff>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FCA61DC-9BAA-4174-845B-867C570FC374}"/>
            </a:ext>
          </a:extLst>
        </xdr:cNvPr>
        <xdr:cNvSpPr txBox="1"/>
      </xdr:nvSpPr>
      <xdr:spPr>
        <a:xfrm>
          <a:off x="2571750" y="3823214"/>
          <a:ext cx="3630268" cy="16776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140804</xdr:colOff>
      <xdr:row>15</xdr:row>
      <xdr:rowOff>6023</xdr:rowOff>
    </xdr:from>
    <xdr:to>
      <xdr:col>19</xdr:col>
      <xdr:colOff>56650</xdr:colOff>
      <xdr:row>16</xdr:row>
      <xdr:rowOff>28575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64AAA604-78F5-4A98-A458-E2091F80FDC6}"/>
            </a:ext>
          </a:extLst>
        </xdr:cNvPr>
        <xdr:cNvSpPr txBox="1"/>
      </xdr:nvSpPr>
      <xdr:spPr>
        <a:xfrm rot="10800000" flipV="1">
          <a:off x="1207604" y="2320598"/>
          <a:ext cx="5630846" cy="174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293196</xdr:colOff>
      <xdr:row>14</xdr:row>
      <xdr:rowOff>152007</xdr:rowOff>
    </xdr:from>
    <xdr:to>
      <xdr:col>13</xdr:col>
      <xdr:colOff>72194</xdr:colOff>
      <xdr:row>37</xdr:row>
      <xdr:rowOff>102114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415DE75D-D154-4939-A7DD-6DF368E70998}"/>
            </a:ext>
          </a:extLst>
        </xdr:cNvPr>
        <xdr:cNvSpPr txBox="1"/>
      </xdr:nvSpPr>
      <xdr:spPr>
        <a:xfrm rot="5886753" flipV="1">
          <a:off x="2760341" y="3961837"/>
          <a:ext cx="3455307" cy="15999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154790</xdr:colOff>
      <xdr:row>22</xdr:row>
      <xdr:rowOff>47236</xdr:rowOff>
    </xdr:from>
    <xdr:to>
      <xdr:col>18</xdr:col>
      <xdr:colOff>287312</xdr:colOff>
      <xdr:row>25</xdr:row>
      <xdr:rowOff>134100</xdr:rowOff>
    </xdr:to>
    <xdr:sp macro="" textlink="">
      <xdr:nvSpPr>
        <xdr:cNvPr id="193" name="Block Arc 192">
          <a:extLst>
            <a:ext uri="{FF2B5EF4-FFF2-40B4-BE49-F238E27FC236}">
              <a16:creationId xmlns:a16="http://schemas.microsoft.com/office/drawing/2014/main" id="{964CA725-4428-43CA-BD24-EEA5E7ABE6F2}"/>
            </a:ext>
          </a:extLst>
        </xdr:cNvPr>
        <xdr:cNvSpPr/>
      </xdr:nvSpPr>
      <xdr:spPr>
        <a:xfrm rot="10496400">
          <a:off x="5793590" y="3428611"/>
          <a:ext cx="894522" cy="544064"/>
        </a:xfrm>
        <a:prstGeom prst="blockArc">
          <a:avLst>
            <a:gd name="adj1" fmla="val 10800000"/>
            <a:gd name="adj2" fmla="val 18005578"/>
            <a:gd name="adj3" fmla="val 24178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187749</xdr:colOff>
      <xdr:row>11</xdr:row>
      <xdr:rowOff>14051</xdr:rowOff>
    </xdr:from>
    <xdr:to>
      <xdr:col>17</xdr:col>
      <xdr:colOff>301426</xdr:colOff>
      <xdr:row>16</xdr:row>
      <xdr:rowOff>44023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52EB808-2930-474B-A18C-38E582D5FECE}"/>
            </a:ext>
          </a:extLst>
        </xdr:cNvPr>
        <xdr:cNvSpPr txBox="1"/>
      </xdr:nvSpPr>
      <xdr:spPr>
        <a:xfrm rot="16690983" flipV="1">
          <a:off x="5863639" y="2053411"/>
          <a:ext cx="801497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11902</xdr:colOff>
      <xdr:row>15</xdr:row>
      <xdr:rowOff>129278</xdr:rowOff>
    </xdr:from>
    <xdr:to>
      <xdr:col>18</xdr:col>
      <xdr:colOff>104426</xdr:colOff>
      <xdr:row>18</xdr:row>
      <xdr:rowOff>62075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28D21518-9C62-4A70-8503-8BE66FDFBB82}"/>
            </a:ext>
          </a:extLst>
        </xdr:cNvPr>
        <xdr:cNvSpPr txBox="1"/>
      </xdr:nvSpPr>
      <xdr:spPr>
        <a:xfrm rot="16690983" flipV="1">
          <a:off x="6263965" y="2592590"/>
          <a:ext cx="389997" cy="92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15</xdr:col>
      <xdr:colOff>90951</xdr:colOff>
      <xdr:row>11</xdr:row>
      <xdr:rowOff>78212</xdr:rowOff>
    </xdr:from>
    <xdr:to>
      <xdr:col>15</xdr:col>
      <xdr:colOff>213291</xdr:colOff>
      <xdr:row>20</xdr:row>
      <xdr:rowOff>95343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25D3B2AA-271D-49F7-9E34-09EAA6C438D4}"/>
            </a:ext>
          </a:extLst>
        </xdr:cNvPr>
        <xdr:cNvSpPr txBox="1"/>
      </xdr:nvSpPr>
      <xdr:spPr>
        <a:xfrm rot="16690983" flipV="1">
          <a:off x="4710793" y="2411620"/>
          <a:ext cx="1398256" cy="12234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124239</xdr:colOff>
      <xdr:row>10</xdr:row>
      <xdr:rowOff>64002</xdr:rowOff>
    </xdr:from>
    <xdr:to>
      <xdr:col>14</xdr:col>
      <xdr:colOff>237916</xdr:colOff>
      <xdr:row>15</xdr:row>
      <xdr:rowOff>77408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4FD969C0-44E0-4AB1-A9C9-3972EDE62017}"/>
            </a:ext>
          </a:extLst>
        </xdr:cNvPr>
        <xdr:cNvSpPr txBox="1"/>
      </xdr:nvSpPr>
      <xdr:spPr>
        <a:xfrm rot="16690983" flipV="1">
          <a:off x="4665412" y="1942679"/>
          <a:ext cx="784931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</xdr:colOff>
      <xdr:row>16</xdr:row>
      <xdr:rowOff>30872</xdr:rowOff>
    </xdr:from>
    <xdr:to>
      <xdr:col>12</xdr:col>
      <xdr:colOff>113678</xdr:colOff>
      <xdr:row>21</xdr:row>
      <xdr:rowOff>60845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41FF80F6-4771-497C-A8B1-2941460E3F64}"/>
            </a:ext>
          </a:extLst>
        </xdr:cNvPr>
        <xdr:cNvSpPr txBox="1"/>
      </xdr:nvSpPr>
      <xdr:spPr>
        <a:xfrm rot="16690983" flipV="1">
          <a:off x="3775653" y="2836995"/>
          <a:ext cx="791973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130076</xdr:colOff>
      <xdr:row>11</xdr:row>
      <xdr:rowOff>93663</xdr:rowOff>
    </xdr:from>
    <xdr:to>
      <xdr:col>10</xdr:col>
      <xdr:colOff>264157</xdr:colOff>
      <xdr:row>15</xdr:row>
      <xdr:rowOff>98409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2F587BEE-251C-444D-82EE-10C52ED5AED3}"/>
            </a:ext>
          </a:extLst>
        </xdr:cNvPr>
        <xdr:cNvSpPr txBox="1"/>
      </xdr:nvSpPr>
      <xdr:spPr>
        <a:xfrm rot="17082941" flipV="1">
          <a:off x="3237981" y="2034008"/>
          <a:ext cx="623871" cy="13408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74545</xdr:colOff>
      <xdr:row>10</xdr:row>
      <xdr:rowOff>55720</xdr:rowOff>
    </xdr:from>
    <xdr:to>
      <xdr:col>9</xdr:col>
      <xdr:colOff>188222</xdr:colOff>
      <xdr:row>15</xdr:row>
      <xdr:rowOff>69126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A2215B2A-94A5-497F-955A-5A3FE1688689}"/>
            </a:ext>
          </a:extLst>
        </xdr:cNvPr>
        <xdr:cNvSpPr txBox="1"/>
      </xdr:nvSpPr>
      <xdr:spPr>
        <a:xfrm rot="16690983" flipV="1">
          <a:off x="2710718" y="1934397"/>
          <a:ext cx="784931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117288</xdr:colOff>
      <xdr:row>15</xdr:row>
      <xdr:rowOff>93803</xdr:rowOff>
    </xdr:from>
    <xdr:to>
      <xdr:col>10</xdr:col>
      <xdr:colOff>242431</xdr:colOff>
      <xdr:row>19</xdr:row>
      <xdr:rowOff>108074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5C8500B-11E2-4D75-B676-0BCF8F763D95}"/>
            </a:ext>
          </a:extLst>
        </xdr:cNvPr>
        <xdr:cNvSpPr txBox="1"/>
      </xdr:nvSpPr>
      <xdr:spPr>
        <a:xfrm rot="15588577" flipV="1">
          <a:off x="3220724" y="2657742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57150</xdr:colOff>
      <xdr:row>15</xdr:row>
      <xdr:rowOff>114300</xdr:rowOff>
    </xdr:from>
    <xdr:to>
      <xdr:col>8</xdr:col>
      <xdr:colOff>182293</xdr:colOff>
      <xdr:row>19</xdr:row>
      <xdr:rowOff>128571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346B8D19-B4D6-4E17-A9AC-0E40C128EE57}"/>
            </a:ext>
          </a:extLst>
        </xdr:cNvPr>
        <xdr:cNvSpPr txBox="1"/>
      </xdr:nvSpPr>
      <xdr:spPr>
        <a:xfrm rot="15588577" flipV="1">
          <a:off x="2398586" y="26782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6</xdr:col>
      <xdr:colOff>266700</xdr:colOff>
      <xdr:row>15</xdr:row>
      <xdr:rowOff>123825</xdr:rowOff>
    </xdr:from>
    <xdr:to>
      <xdr:col>7</xdr:col>
      <xdr:colOff>10843</xdr:colOff>
      <xdr:row>19</xdr:row>
      <xdr:rowOff>138096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56CA90C0-492D-4B71-92E4-6A9DCE98C27B}"/>
            </a:ext>
          </a:extLst>
        </xdr:cNvPr>
        <xdr:cNvSpPr txBox="1"/>
      </xdr:nvSpPr>
      <xdr:spPr>
        <a:xfrm rot="16017659" flipV="1">
          <a:off x="1846136" y="2687764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323850</xdr:colOff>
      <xdr:row>11</xdr:row>
      <xdr:rowOff>9525</xdr:rowOff>
    </xdr:from>
    <xdr:to>
      <xdr:col>6</xdr:col>
      <xdr:colOff>67993</xdr:colOff>
      <xdr:row>15</xdr:row>
      <xdr:rowOff>14271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6695148C-DE29-43BE-9E07-3BC510273E46}"/>
            </a:ext>
          </a:extLst>
        </xdr:cNvPr>
        <xdr:cNvSpPr txBox="1"/>
      </xdr:nvSpPr>
      <xdr:spPr>
        <a:xfrm rot="16200000" flipV="1">
          <a:off x="1522286" y="19543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81774</xdr:colOff>
      <xdr:row>7</xdr:row>
      <xdr:rowOff>69826</xdr:rowOff>
    </xdr:from>
    <xdr:to>
      <xdr:col>4</xdr:col>
      <xdr:colOff>228167</xdr:colOff>
      <xdr:row>38</xdr:row>
      <xdr:rowOff>25434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A0F44934-814F-464E-A891-25C87A47616E}"/>
            </a:ext>
          </a:extLst>
        </xdr:cNvPr>
        <xdr:cNvSpPr txBox="1"/>
      </xdr:nvSpPr>
      <xdr:spPr>
        <a:xfrm rot="16031933" flipV="1">
          <a:off x="-1127758" y="3432008"/>
          <a:ext cx="4699058" cy="14639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314326</xdr:colOff>
      <xdr:row>25</xdr:row>
      <xdr:rowOff>0</xdr:rowOff>
    </xdr:from>
    <xdr:to>
      <xdr:col>8</xdr:col>
      <xdr:colOff>58469</xdr:colOff>
      <xdr:row>29</xdr:row>
      <xdr:rowOff>14271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F0E6A18A-213F-49E5-9312-2E50488F5EA8}"/>
            </a:ext>
          </a:extLst>
        </xdr:cNvPr>
        <xdr:cNvSpPr txBox="1"/>
      </xdr:nvSpPr>
      <xdr:spPr>
        <a:xfrm rot="16017659" flipV="1">
          <a:off x="2274762" y="40879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257175</xdr:colOff>
      <xdr:row>28</xdr:row>
      <xdr:rowOff>77915</xdr:rowOff>
    </xdr:from>
    <xdr:to>
      <xdr:col>8</xdr:col>
      <xdr:colOff>69707</xdr:colOff>
      <xdr:row>29</xdr:row>
      <xdr:rowOff>38101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C22427D7-92EE-4DE8-948D-AA30B9223A8D}"/>
            </a:ext>
          </a:extLst>
        </xdr:cNvPr>
        <xdr:cNvSpPr txBox="1"/>
      </xdr:nvSpPr>
      <xdr:spPr>
        <a:xfrm rot="10800000" flipV="1">
          <a:off x="1323975" y="4373690"/>
          <a:ext cx="1336532" cy="11258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</xdr:col>
      <xdr:colOff>361950</xdr:colOff>
      <xdr:row>12</xdr:row>
      <xdr:rowOff>116014</xdr:rowOff>
    </xdr:from>
    <xdr:to>
      <xdr:col>4</xdr:col>
      <xdr:colOff>50657</xdr:colOff>
      <xdr:row>13</xdr:row>
      <xdr:rowOff>79232</xdr:rowOff>
    </xdr:to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C2A2FBEF-4281-4863-B8C7-109EBD514926}"/>
            </a:ext>
          </a:extLst>
        </xdr:cNvPr>
        <xdr:cNvSpPr txBox="1"/>
      </xdr:nvSpPr>
      <xdr:spPr>
        <a:xfrm rot="10800000" flipV="1">
          <a:off x="552450" y="1963864"/>
          <a:ext cx="565007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194663</xdr:colOff>
      <xdr:row>25</xdr:row>
      <xdr:rowOff>115385</xdr:rowOff>
    </xdr:from>
    <xdr:to>
      <xdr:col>10</xdr:col>
      <xdr:colOff>284186</xdr:colOff>
      <xdr:row>28</xdr:row>
      <xdr:rowOff>78868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F91BB7CA-708A-4564-B506-026791D8D79C}"/>
            </a:ext>
          </a:extLst>
        </xdr:cNvPr>
        <xdr:cNvSpPr txBox="1"/>
      </xdr:nvSpPr>
      <xdr:spPr>
        <a:xfrm rot="16017659" flipV="1">
          <a:off x="3381883" y="4119540"/>
          <a:ext cx="420683" cy="8952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234469</xdr:colOff>
      <xdr:row>28</xdr:row>
      <xdr:rowOff>3655</xdr:rowOff>
    </xdr:from>
    <xdr:to>
      <xdr:col>12</xdr:col>
      <xdr:colOff>257174</xdr:colOff>
      <xdr:row>28</xdr:row>
      <xdr:rowOff>95250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6FF36288-A4A3-4965-9DBF-8696E6435D7D}"/>
            </a:ext>
          </a:extLst>
        </xdr:cNvPr>
        <xdr:cNvSpPr txBox="1"/>
      </xdr:nvSpPr>
      <xdr:spPr>
        <a:xfrm rot="10800000" flipV="1">
          <a:off x="3587269" y="4299430"/>
          <a:ext cx="784705" cy="9159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364238</xdr:colOff>
      <xdr:row>10</xdr:row>
      <xdr:rowOff>96734</xdr:rowOff>
    </xdr:from>
    <xdr:to>
      <xdr:col>19</xdr:col>
      <xdr:colOff>127790</xdr:colOff>
      <xdr:row>11</xdr:row>
      <xdr:rowOff>93167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2B4AA791-E176-4C01-A6FA-27BC1CE4750E}"/>
            </a:ext>
          </a:extLst>
        </xdr:cNvPr>
        <xdr:cNvGrpSpPr/>
      </xdr:nvGrpSpPr>
      <xdr:grpSpPr>
        <a:xfrm>
          <a:off x="6765038" y="1639784"/>
          <a:ext cx="144552" cy="148833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664133AA-8E31-1228-212F-07A9B27BF5B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19987B57-B9A3-574C-1BEA-A38BA3FB736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D0612994-6FC8-78F2-2F1C-651884B209B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209550</xdr:colOff>
      <xdr:row>16</xdr:row>
      <xdr:rowOff>19050</xdr:rowOff>
    </xdr:from>
    <xdr:to>
      <xdr:col>18</xdr:col>
      <xdr:colOff>356557</xdr:colOff>
      <xdr:row>16</xdr:row>
      <xdr:rowOff>150699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632BE57D-18D4-4481-9B00-F2E92C77FA45}"/>
            </a:ext>
          </a:extLst>
        </xdr:cNvPr>
        <xdr:cNvGrpSpPr/>
      </xdr:nvGrpSpPr>
      <xdr:grpSpPr>
        <a:xfrm>
          <a:off x="6610350" y="2486025"/>
          <a:ext cx="147007" cy="131649"/>
          <a:chOff x="9937028" y="802652"/>
          <a:chExt cx="83991" cy="77961"/>
        </a:xfrm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1D269E98-E839-BD28-0F00-42B42F42752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FD17B0A8-B1B0-AA7C-3CE4-BD1B9F4E228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">
            <a:extLst>
              <a:ext uri="{FF2B5EF4-FFF2-40B4-BE49-F238E27FC236}">
                <a16:creationId xmlns:a16="http://schemas.microsoft.com/office/drawing/2014/main" id="{EEA786A0-69EF-05A2-40B3-6BEBFD14B4C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262431</xdr:colOff>
      <xdr:row>16</xdr:row>
      <xdr:rowOff>44669</xdr:rowOff>
    </xdr:from>
    <xdr:to>
      <xdr:col>12</xdr:col>
      <xdr:colOff>28438</xdr:colOff>
      <xdr:row>17</xdr:row>
      <xdr:rowOff>23918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C3250E96-C44B-4AD6-BF7D-D2DB8A919F77}"/>
            </a:ext>
          </a:extLst>
        </xdr:cNvPr>
        <xdr:cNvGrpSpPr/>
      </xdr:nvGrpSpPr>
      <xdr:grpSpPr>
        <a:xfrm>
          <a:off x="3996231" y="2511644"/>
          <a:ext cx="147007" cy="131649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86ED9EF9-07DF-6BA9-2E7A-2FCF9D73F85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E906B37-775F-F5B0-73ED-3C36C3E624F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7">
            <a:extLst>
              <a:ext uri="{FF2B5EF4-FFF2-40B4-BE49-F238E27FC236}">
                <a16:creationId xmlns:a16="http://schemas.microsoft.com/office/drawing/2014/main" id="{B5CEA984-5374-3C3A-975A-CD34AEC69B9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209550</xdr:colOff>
      <xdr:row>16</xdr:row>
      <xdr:rowOff>28575</xdr:rowOff>
    </xdr:from>
    <xdr:to>
      <xdr:col>15</xdr:col>
      <xdr:colOff>356557</xdr:colOff>
      <xdr:row>17</xdr:row>
      <xdr:rowOff>7824</xdr:rowOff>
    </xdr:to>
    <xdr:grpSp>
      <xdr:nvGrpSpPr>
        <xdr:cNvPr id="223" name="Group 13">
          <a:extLst>
            <a:ext uri="{FF2B5EF4-FFF2-40B4-BE49-F238E27FC236}">
              <a16:creationId xmlns:a16="http://schemas.microsoft.com/office/drawing/2014/main" id="{50BF99E3-658F-4BC0-A081-B9AC00D59B0D}"/>
            </a:ext>
          </a:extLst>
        </xdr:cNvPr>
        <xdr:cNvGrpSpPr/>
      </xdr:nvGrpSpPr>
      <xdr:grpSpPr>
        <a:xfrm>
          <a:off x="5467350" y="2495550"/>
          <a:ext cx="147007" cy="131649"/>
          <a:chOff x="9937028" y="802652"/>
          <a:chExt cx="83991" cy="77961"/>
        </a:xfrm>
      </xdr:grpSpPr>
      <xdr:sp macro="" textlink="">
        <xdr:nvSpPr>
          <xdr:cNvPr id="224" name="Oval 1">
            <a:extLst>
              <a:ext uri="{FF2B5EF4-FFF2-40B4-BE49-F238E27FC236}">
                <a16:creationId xmlns:a16="http://schemas.microsoft.com/office/drawing/2014/main" id="{4AC486A5-AB34-D9C9-20B2-53908AEEBE2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5" name="Straight Connector 3">
            <a:extLst>
              <a:ext uri="{FF2B5EF4-FFF2-40B4-BE49-F238E27FC236}">
                <a16:creationId xmlns:a16="http://schemas.microsoft.com/office/drawing/2014/main" id="{B6872B2C-AB61-DCAE-FBA9-5A5D9BDC03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7">
            <a:extLst>
              <a:ext uri="{FF2B5EF4-FFF2-40B4-BE49-F238E27FC236}">
                <a16:creationId xmlns:a16="http://schemas.microsoft.com/office/drawing/2014/main" id="{CDD9977B-E796-8DBD-3E23-ACCBC1B5A9B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99192</xdr:colOff>
      <xdr:row>16</xdr:row>
      <xdr:rowOff>54194</xdr:rowOff>
    </xdr:from>
    <xdr:to>
      <xdr:col>7</xdr:col>
      <xdr:colOff>246199</xdr:colOff>
      <xdr:row>17</xdr:row>
      <xdr:rowOff>33443</xdr:rowOff>
    </xdr:to>
    <xdr:grpSp>
      <xdr:nvGrpSpPr>
        <xdr:cNvPr id="227" name="Group 13">
          <a:extLst>
            <a:ext uri="{FF2B5EF4-FFF2-40B4-BE49-F238E27FC236}">
              <a16:creationId xmlns:a16="http://schemas.microsoft.com/office/drawing/2014/main" id="{6D05FC02-6D8F-455C-94CB-76F6FA49A7F6}"/>
            </a:ext>
          </a:extLst>
        </xdr:cNvPr>
        <xdr:cNvGrpSpPr/>
      </xdr:nvGrpSpPr>
      <xdr:grpSpPr>
        <a:xfrm>
          <a:off x="2308992" y="2521169"/>
          <a:ext cx="147007" cy="131649"/>
          <a:chOff x="9937028" y="802652"/>
          <a:chExt cx="83991" cy="77961"/>
        </a:xfrm>
      </xdr:grpSpPr>
      <xdr:sp macro="" textlink="">
        <xdr:nvSpPr>
          <xdr:cNvPr id="228" name="Oval 1">
            <a:extLst>
              <a:ext uri="{FF2B5EF4-FFF2-40B4-BE49-F238E27FC236}">
                <a16:creationId xmlns:a16="http://schemas.microsoft.com/office/drawing/2014/main" id="{29275801-5BEF-AFB6-7E6A-AC16524B16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9" name="Straight Connector 3">
            <a:extLst>
              <a:ext uri="{FF2B5EF4-FFF2-40B4-BE49-F238E27FC236}">
                <a16:creationId xmlns:a16="http://schemas.microsoft.com/office/drawing/2014/main" id="{9E43606D-8D25-FC98-6E68-122C6E9E544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">
            <a:extLst>
              <a:ext uri="{FF2B5EF4-FFF2-40B4-BE49-F238E27FC236}">
                <a16:creationId xmlns:a16="http://schemas.microsoft.com/office/drawing/2014/main" id="{B717C6D6-29FE-AB43-84FF-EC74A9B4E40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361950</xdr:colOff>
      <xdr:row>16</xdr:row>
      <xdr:rowOff>38100</xdr:rowOff>
    </xdr:from>
    <xdr:to>
      <xdr:col>17</xdr:col>
      <xdr:colOff>127957</xdr:colOff>
      <xdr:row>17</xdr:row>
      <xdr:rowOff>17349</xdr:rowOff>
    </xdr:to>
    <xdr:grpSp>
      <xdr:nvGrpSpPr>
        <xdr:cNvPr id="231" name="Group 13">
          <a:extLst>
            <a:ext uri="{FF2B5EF4-FFF2-40B4-BE49-F238E27FC236}">
              <a16:creationId xmlns:a16="http://schemas.microsoft.com/office/drawing/2014/main" id="{4D39C1AD-133C-4D87-8413-5D6845087214}"/>
            </a:ext>
          </a:extLst>
        </xdr:cNvPr>
        <xdr:cNvGrpSpPr/>
      </xdr:nvGrpSpPr>
      <xdr:grpSpPr>
        <a:xfrm>
          <a:off x="6000750" y="2505075"/>
          <a:ext cx="147007" cy="131649"/>
          <a:chOff x="9937028" y="802652"/>
          <a:chExt cx="83991" cy="77961"/>
        </a:xfrm>
      </xdr:grpSpPr>
      <xdr:sp macro="" textlink="">
        <xdr:nvSpPr>
          <xdr:cNvPr id="232" name="Oval 1">
            <a:extLst>
              <a:ext uri="{FF2B5EF4-FFF2-40B4-BE49-F238E27FC236}">
                <a16:creationId xmlns:a16="http://schemas.microsoft.com/office/drawing/2014/main" id="{93EBC2B2-F2C0-4A00-60FA-E46665FF4B6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3" name="Straight Connector 3">
            <a:extLst>
              <a:ext uri="{FF2B5EF4-FFF2-40B4-BE49-F238E27FC236}">
                <a16:creationId xmlns:a16="http://schemas.microsoft.com/office/drawing/2014/main" id="{C7B8D675-EEF1-59C3-8977-E00278B0283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7">
            <a:extLst>
              <a:ext uri="{FF2B5EF4-FFF2-40B4-BE49-F238E27FC236}">
                <a16:creationId xmlns:a16="http://schemas.microsoft.com/office/drawing/2014/main" id="{0F85EA1D-518C-DE59-3B1E-24E0110EBAB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265714</xdr:colOff>
      <xdr:row>16</xdr:row>
      <xdr:rowOff>54193</xdr:rowOff>
    </xdr:from>
    <xdr:to>
      <xdr:col>6</xdr:col>
      <xdr:colOff>31721</xdr:colOff>
      <xdr:row>17</xdr:row>
      <xdr:rowOff>33442</xdr:rowOff>
    </xdr:to>
    <xdr:grpSp>
      <xdr:nvGrpSpPr>
        <xdr:cNvPr id="235" name="Group 13">
          <a:extLst>
            <a:ext uri="{FF2B5EF4-FFF2-40B4-BE49-F238E27FC236}">
              <a16:creationId xmlns:a16="http://schemas.microsoft.com/office/drawing/2014/main" id="{77A53F9F-009E-4282-9E71-4DA63E720C3C}"/>
            </a:ext>
          </a:extLst>
        </xdr:cNvPr>
        <xdr:cNvGrpSpPr/>
      </xdr:nvGrpSpPr>
      <xdr:grpSpPr>
        <a:xfrm>
          <a:off x="1713514" y="2521168"/>
          <a:ext cx="147007" cy="131649"/>
          <a:chOff x="9937028" y="802652"/>
          <a:chExt cx="83991" cy="77961"/>
        </a:xfrm>
      </xdr:grpSpPr>
      <xdr:sp macro="" textlink="">
        <xdr:nvSpPr>
          <xdr:cNvPr id="236" name="Oval 1">
            <a:extLst>
              <a:ext uri="{FF2B5EF4-FFF2-40B4-BE49-F238E27FC236}">
                <a16:creationId xmlns:a16="http://schemas.microsoft.com/office/drawing/2014/main" id="{E5E32CEE-14E9-1590-A259-34CF9593441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7" name="Straight Connector 3">
            <a:extLst>
              <a:ext uri="{FF2B5EF4-FFF2-40B4-BE49-F238E27FC236}">
                <a16:creationId xmlns:a16="http://schemas.microsoft.com/office/drawing/2014/main" id="{5AFA20B8-5F96-70AD-1C43-BB3D9AF1CE2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7">
            <a:extLst>
              <a:ext uri="{FF2B5EF4-FFF2-40B4-BE49-F238E27FC236}">
                <a16:creationId xmlns:a16="http://schemas.microsoft.com/office/drawing/2014/main" id="{5CB5C342-D303-9B1F-C0C6-612A52D0CE3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257175</xdr:colOff>
      <xdr:row>16</xdr:row>
      <xdr:rowOff>38100</xdr:rowOff>
    </xdr:from>
    <xdr:to>
      <xdr:col>14</xdr:col>
      <xdr:colOff>23182</xdr:colOff>
      <xdr:row>17</xdr:row>
      <xdr:rowOff>17349</xdr:rowOff>
    </xdr:to>
    <xdr:grpSp>
      <xdr:nvGrpSpPr>
        <xdr:cNvPr id="239" name="Group 13">
          <a:extLst>
            <a:ext uri="{FF2B5EF4-FFF2-40B4-BE49-F238E27FC236}">
              <a16:creationId xmlns:a16="http://schemas.microsoft.com/office/drawing/2014/main" id="{5C822576-5A8A-47F4-9C9D-A28B94A12F2A}"/>
            </a:ext>
          </a:extLst>
        </xdr:cNvPr>
        <xdr:cNvGrpSpPr/>
      </xdr:nvGrpSpPr>
      <xdr:grpSpPr>
        <a:xfrm>
          <a:off x="4752975" y="2505075"/>
          <a:ext cx="147007" cy="131649"/>
          <a:chOff x="9937028" y="802652"/>
          <a:chExt cx="83991" cy="77961"/>
        </a:xfrm>
      </xdr:grpSpPr>
      <xdr:sp macro="" textlink="">
        <xdr:nvSpPr>
          <xdr:cNvPr id="240" name="Oval 1">
            <a:extLst>
              <a:ext uri="{FF2B5EF4-FFF2-40B4-BE49-F238E27FC236}">
                <a16:creationId xmlns:a16="http://schemas.microsoft.com/office/drawing/2014/main" id="{1C9F5DB6-A999-E08A-25DA-B709E209DA2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1" name="Straight Connector 3">
            <a:extLst>
              <a:ext uri="{FF2B5EF4-FFF2-40B4-BE49-F238E27FC236}">
                <a16:creationId xmlns:a16="http://schemas.microsoft.com/office/drawing/2014/main" id="{3A08BBB7-887F-A317-C2A7-38634358933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">
            <a:extLst>
              <a:ext uri="{FF2B5EF4-FFF2-40B4-BE49-F238E27FC236}">
                <a16:creationId xmlns:a16="http://schemas.microsoft.com/office/drawing/2014/main" id="{B819D870-BCCC-670E-A363-7000E1E24D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225317</xdr:colOff>
      <xdr:row>16</xdr:row>
      <xdr:rowOff>60762</xdr:rowOff>
    </xdr:from>
    <xdr:to>
      <xdr:col>8</xdr:col>
      <xdr:colOff>372324</xdr:colOff>
      <xdr:row>17</xdr:row>
      <xdr:rowOff>40011</xdr:rowOff>
    </xdr:to>
    <xdr:grpSp>
      <xdr:nvGrpSpPr>
        <xdr:cNvPr id="243" name="Group 13">
          <a:extLst>
            <a:ext uri="{FF2B5EF4-FFF2-40B4-BE49-F238E27FC236}">
              <a16:creationId xmlns:a16="http://schemas.microsoft.com/office/drawing/2014/main" id="{B2D25EE8-4732-4A01-971F-3552A9FB5707}"/>
            </a:ext>
          </a:extLst>
        </xdr:cNvPr>
        <xdr:cNvGrpSpPr/>
      </xdr:nvGrpSpPr>
      <xdr:grpSpPr>
        <a:xfrm>
          <a:off x="2816117" y="2527737"/>
          <a:ext cx="147007" cy="131649"/>
          <a:chOff x="9937028" y="802652"/>
          <a:chExt cx="83991" cy="77961"/>
        </a:xfrm>
      </xdr:grpSpPr>
      <xdr:sp macro="" textlink="">
        <xdr:nvSpPr>
          <xdr:cNvPr id="244" name="Oval 1">
            <a:extLst>
              <a:ext uri="{FF2B5EF4-FFF2-40B4-BE49-F238E27FC236}">
                <a16:creationId xmlns:a16="http://schemas.microsoft.com/office/drawing/2014/main" id="{64EDA346-2432-3A04-BA27-105D9FC3BF6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5" name="Straight Connector 3">
            <a:extLst>
              <a:ext uri="{FF2B5EF4-FFF2-40B4-BE49-F238E27FC236}">
                <a16:creationId xmlns:a16="http://schemas.microsoft.com/office/drawing/2014/main" id="{379FDCFD-81C5-4217-1443-44D95D9237B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7">
            <a:extLst>
              <a:ext uri="{FF2B5EF4-FFF2-40B4-BE49-F238E27FC236}">
                <a16:creationId xmlns:a16="http://schemas.microsoft.com/office/drawing/2014/main" id="{8014D33A-A890-EBE8-8BF7-95144B544E1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180975</xdr:colOff>
      <xdr:row>16</xdr:row>
      <xdr:rowOff>38100</xdr:rowOff>
    </xdr:from>
    <xdr:to>
      <xdr:col>4</xdr:col>
      <xdr:colOff>325527</xdr:colOff>
      <xdr:row>17</xdr:row>
      <xdr:rowOff>34533</xdr:rowOff>
    </xdr:to>
    <xdr:grpSp>
      <xdr:nvGrpSpPr>
        <xdr:cNvPr id="247" name="Group 13">
          <a:extLst>
            <a:ext uri="{FF2B5EF4-FFF2-40B4-BE49-F238E27FC236}">
              <a16:creationId xmlns:a16="http://schemas.microsoft.com/office/drawing/2014/main" id="{E78D84B3-885F-4846-BCAE-2435EF4D4038}"/>
            </a:ext>
          </a:extLst>
        </xdr:cNvPr>
        <xdr:cNvGrpSpPr/>
      </xdr:nvGrpSpPr>
      <xdr:grpSpPr>
        <a:xfrm>
          <a:off x="1247775" y="2505075"/>
          <a:ext cx="144552" cy="148833"/>
          <a:chOff x="9937028" y="802652"/>
          <a:chExt cx="83991" cy="77961"/>
        </a:xfrm>
      </xdr:grpSpPr>
      <xdr:sp macro="" textlink="">
        <xdr:nvSpPr>
          <xdr:cNvPr id="248" name="Oval 1">
            <a:extLst>
              <a:ext uri="{FF2B5EF4-FFF2-40B4-BE49-F238E27FC236}">
                <a16:creationId xmlns:a16="http://schemas.microsoft.com/office/drawing/2014/main" id="{8404466D-082A-A79D-5784-B2416D3E5C3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3">
            <a:extLst>
              <a:ext uri="{FF2B5EF4-FFF2-40B4-BE49-F238E27FC236}">
                <a16:creationId xmlns:a16="http://schemas.microsoft.com/office/drawing/2014/main" id="{1DC1AF75-D81F-5767-75A1-62E33860541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1C9CF199-2A58-8779-3BC3-D2C68DD87B7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180975</xdr:colOff>
      <xdr:row>18</xdr:row>
      <xdr:rowOff>47625</xdr:rowOff>
    </xdr:from>
    <xdr:to>
      <xdr:col>4</xdr:col>
      <xdr:colOff>325527</xdr:colOff>
      <xdr:row>19</xdr:row>
      <xdr:rowOff>44058</xdr:rowOff>
    </xdr:to>
    <xdr:grpSp>
      <xdr:nvGrpSpPr>
        <xdr:cNvPr id="251" name="Group 13">
          <a:extLst>
            <a:ext uri="{FF2B5EF4-FFF2-40B4-BE49-F238E27FC236}">
              <a16:creationId xmlns:a16="http://schemas.microsoft.com/office/drawing/2014/main" id="{A28D5DF4-9F71-45D1-844D-E306543F9DF0}"/>
            </a:ext>
          </a:extLst>
        </xdr:cNvPr>
        <xdr:cNvGrpSpPr/>
      </xdr:nvGrpSpPr>
      <xdr:grpSpPr>
        <a:xfrm>
          <a:off x="1247775" y="2819400"/>
          <a:ext cx="144552" cy="148833"/>
          <a:chOff x="9937028" y="802652"/>
          <a:chExt cx="83991" cy="77961"/>
        </a:xfrm>
      </xdr:grpSpPr>
      <xdr:sp macro="" textlink="">
        <xdr:nvSpPr>
          <xdr:cNvPr id="252" name="Oval 1">
            <a:extLst>
              <a:ext uri="{FF2B5EF4-FFF2-40B4-BE49-F238E27FC236}">
                <a16:creationId xmlns:a16="http://schemas.microsoft.com/office/drawing/2014/main" id="{7A6199A3-DE2C-D694-B949-F5C1DAC8C4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3" name="Straight Connector 3">
            <a:extLst>
              <a:ext uri="{FF2B5EF4-FFF2-40B4-BE49-F238E27FC236}">
                <a16:creationId xmlns:a16="http://schemas.microsoft.com/office/drawing/2014/main" id="{F5986EDB-1E33-0235-17EF-AE6B67F3824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7">
            <a:extLst>
              <a:ext uri="{FF2B5EF4-FFF2-40B4-BE49-F238E27FC236}">
                <a16:creationId xmlns:a16="http://schemas.microsoft.com/office/drawing/2014/main" id="{19B40EAF-0BAD-22E2-5961-67DB7A54C46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219075</xdr:colOff>
      <xdr:row>21</xdr:row>
      <xdr:rowOff>76200</xdr:rowOff>
    </xdr:from>
    <xdr:to>
      <xdr:col>4</xdr:col>
      <xdr:colOff>363627</xdr:colOff>
      <xdr:row>22</xdr:row>
      <xdr:rowOff>72633</xdr:rowOff>
    </xdr:to>
    <xdr:grpSp>
      <xdr:nvGrpSpPr>
        <xdr:cNvPr id="255" name="Group 13">
          <a:extLst>
            <a:ext uri="{FF2B5EF4-FFF2-40B4-BE49-F238E27FC236}">
              <a16:creationId xmlns:a16="http://schemas.microsoft.com/office/drawing/2014/main" id="{3C148E8E-EE26-4C83-A280-66D203975B4A}"/>
            </a:ext>
          </a:extLst>
        </xdr:cNvPr>
        <xdr:cNvGrpSpPr/>
      </xdr:nvGrpSpPr>
      <xdr:grpSpPr>
        <a:xfrm>
          <a:off x="1285875" y="3305175"/>
          <a:ext cx="144552" cy="148833"/>
          <a:chOff x="9937028" y="802652"/>
          <a:chExt cx="83991" cy="77961"/>
        </a:xfrm>
      </xdr:grpSpPr>
      <xdr:sp macro="" textlink="">
        <xdr:nvSpPr>
          <xdr:cNvPr id="256" name="Oval 1">
            <a:extLst>
              <a:ext uri="{FF2B5EF4-FFF2-40B4-BE49-F238E27FC236}">
                <a16:creationId xmlns:a16="http://schemas.microsoft.com/office/drawing/2014/main" id="{B060F926-632E-9357-50F9-122666189EF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7" name="Straight Connector 3">
            <a:extLst>
              <a:ext uri="{FF2B5EF4-FFF2-40B4-BE49-F238E27FC236}">
                <a16:creationId xmlns:a16="http://schemas.microsoft.com/office/drawing/2014/main" id="{92ED1773-0537-7B76-B710-ADF555403DB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7">
            <a:extLst>
              <a:ext uri="{FF2B5EF4-FFF2-40B4-BE49-F238E27FC236}">
                <a16:creationId xmlns:a16="http://schemas.microsoft.com/office/drawing/2014/main" id="{160C4CEA-CFBF-0B05-3D25-54402C14339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25</xdr:row>
      <xdr:rowOff>19050</xdr:rowOff>
    </xdr:from>
    <xdr:to>
      <xdr:col>5</xdr:col>
      <xdr:colOff>30252</xdr:colOff>
      <xdr:row>26</xdr:row>
      <xdr:rowOff>15483</xdr:rowOff>
    </xdr:to>
    <xdr:grpSp>
      <xdr:nvGrpSpPr>
        <xdr:cNvPr id="259" name="Group 13">
          <a:extLst>
            <a:ext uri="{FF2B5EF4-FFF2-40B4-BE49-F238E27FC236}">
              <a16:creationId xmlns:a16="http://schemas.microsoft.com/office/drawing/2014/main" id="{013A9E4A-B66B-4BD0-98C3-C5F9A24A4C53}"/>
            </a:ext>
          </a:extLst>
        </xdr:cNvPr>
        <xdr:cNvGrpSpPr/>
      </xdr:nvGrpSpPr>
      <xdr:grpSpPr>
        <a:xfrm>
          <a:off x="1333500" y="3857625"/>
          <a:ext cx="144552" cy="148833"/>
          <a:chOff x="9937028" y="802652"/>
          <a:chExt cx="83991" cy="77961"/>
        </a:xfrm>
      </xdr:grpSpPr>
      <xdr:sp macro="" textlink="">
        <xdr:nvSpPr>
          <xdr:cNvPr id="260" name="Oval 1">
            <a:extLst>
              <a:ext uri="{FF2B5EF4-FFF2-40B4-BE49-F238E27FC236}">
                <a16:creationId xmlns:a16="http://schemas.microsoft.com/office/drawing/2014/main" id="{C971B7CE-5511-7938-8E73-BFE6DA706CE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1" name="Straight Connector 3">
            <a:extLst>
              <a:ext uri="{FF2B5EF4-FFF2-40B4-BE49-F238E27FC236}">
                <a16:creationId xmlns:a16="http://schemas.microsoft.com/office/drawing/2014/main" id="{319F1340-ECFF-6CE3-3C74-643AAAFDF12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7">
            <a:extLst>
              <a:ext uri="{FF2B5EF4-FFF2-40B4-BE49-F238E27FC236}">
                <a16:creationId xmlns:a16="http://schemas.microsoft.com/office/drawing/2014/main" id="{2E458784-6FB6-F53D-D7B0-5F68C7EBFF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29</xdr:row>
      <xdr:rowOff>85725</xdr:rowOff>
    </xdr:from>
    <xdr:to>
      <xdr:col>5</xdr:col>
      <xdr:colOff>58827</xdr:colOff>
      <xdr:row>30</xdr:row>
      <xdr:rowOff>91683</xdr:rowOff>
    </xdr:to>
    <xdr:grpSp>
      <xdr:nvGrpSpPr>
        <xdr:cNvPr id="263" name="Group 13">
          <a:extLst>
            <a:ext uri="{FF2B5EF4-FFF2-40B4-BE49-F238E27FC236}">
              <a16:creationId xmlns:a16="http://schemas.microsoft.com/office/drawing/2014/main" id="{379A50B0-1390-4275-B022-4A5995D03C9F}"/>
            </a:ext>
          </a:extLst>
        </xdr:cNvPr>
        <xdr:cNvGrpSpPr/>
      </xdr:nvGrpSpPr>
      <xdr:grpSpPr>
        <a:xfrm>
          <a:off x="1362075" y="4533900"/>
          <a:ext cx="144552" cy="148833"/>
          <a:chOff x="9937028" y="802652"/>
          <a:chExt cx="83991" cy="77961"/>
        </a:xfrm>
      </xdr:grpSpPr>
      <xdr:sp macro="" textlink="">
        <xdr:nvSpPr>
          <xdr:cNvPr id="264" name="Oval 1">
            <a:extLst>
              <a:ext uri="{FF2B5EF4-FFF2-40B4-BE49-F238E27FC236}">
                <a16:creationId xmlns:a16="http://schemas.microsoft.com/office/drawing/2014/main" id="{D16F5555-7882-DB37-1623-EEE5CACCA8A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3">
            <a:extLst>
              <a:ext uri="{FF2B5EF4-FFF2-40B4-BE49-F238E27FC236}">
                <a16:creationId xmlns:a16="http://schemas.microsoft.com/office/drawing/2014/main" id="{279C8F11-C7EA-ACF2-5703-BD11E13E97F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7">
            <a:extLst>
              <a:ext uri="{FF2B5EF4-FFF2-40B4-BE49-F238E27FC236}">
                <a16:creationId xmlns:a16="http://schemas.microsoft.com/office/drawing/2014/main" id="{E2BDB9B5-C97E-CAC6-69E1-0B5054C0D94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34</xdr:row>
      <xdr:rowOff>28575</xdr:rowOff>
    </xdr:from>
    <xdr:to>
      <xdr:col>5</xdr:col>
      <xdr:colOff>106452</xdr:colOff>
      <xdr:row>35</xdr:row>
      <xdr:rowOff>25008</xdr:rowOff>
    </xdr:to>
    <xdr:grpSp>
      <xdr:nvGrpSpPr>
        <xdr:cNvPr id="267" name="Group 13">
          <a:extLst>
            <a:ext uri="{FF2B5EF4-FFF2-40B4-BE49-F238E27FC236}">
              <a16:creationId xmlns:a16="http://schemas.microsoft.com/office/drawing/2014/main" id="{23CA855A-73E6-4FAE-AD82-AC3FE754989C}"/>
            </a:ext>
          </a:extLst>
        </xdr:cNvPr>
        <xdr:cNvGrpSpPr/>
      </xdr:nvGrpSpPr>
      <xdr:grpSpPr>
        <a:xfrm>
          <a:off x="1409700" y="5229225"/>
          <a:ext cx="144552" cy="148833"/>
          <a:chOff x="9937028" y="802652"/>
          <a:chExt cx="83991" cy="77961"/>
        </a:xfrm>
      </xdr:grpSpPr>
      <xdr:sp macro="" textlink="">
        <xdr:nvSpPr>
          <xdr:cNvPr id="268" name="Oval 1">
            <a:extLst>
              <a:ext uri="{FF2B5EF4-FFF2-40B4-BE49-F238E27FC236}">
                <a16:creationId xmlns:a16="http://schemas.microsoft.com/office/drawing/2014/main" id="{AE782AE5-BEC0-DA98-92BA-632ED74A223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9" name="Straight Connector 3">
            <a:extLst>
              <a:ext uri="{FF2B5EF4-FFF2-40B4-BE49-F238E27FC236}">
                <a16:creationId xmlns:a16="http://schemas.microsoft.com/office/drawing/2014/main" id="{5FA0B5FD-C75B-C28F-005C-DFF0E86C7E5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7">
            <a:extLst>
              <a:ext uri="{FF2B5EF4-FFF2-40B4-BE49-F238E27FC236}">
                <a16:creationId xmlns:a16="http://schemas.microsoft.com/office/drawing/2014/main" id="{F041BD26-DC69-7125-949C-C1B4DF1BF06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161925</xdr:colOff>
      <xdr:row>13</xdr:row>
      <xdr:rowOff>9525</xdr:rowOff>
    </xdr:from>
    <xdr:to>
      <xdr:col>4</xdr:col>
      <xdr:colOff>306477</xdr:colOff>
      <xdr:row>14</xdr:row>
      <xdr:rowOff>5958</xdr:rowOff>
    </xdr:to>
    <xdr:grpSp>
      <xdr:nvGrpSpPr>
        <xdr:cNvPr id="271" name="Group 13">
          <a:extLst>
            <a:ext uri="{FF2B5EF4-FFF2-40B4-BE49-F238E27FC236}">
              <a16:creationId xmlns:a16="http://schemas.microsoft.com/office/drawing/2014/main" id="{9453F47A-FC5D-4E95-8A3F-F00A8B52DC9B}"/>
            </a:ext>
          </a:extLst>
        </xdr:cNvPr>
        <xdr:cNvGrpSpPr/>
      </xdr:nvGrpSpPr>
      <xdr:grpSpPr>
        <a:xfrm>
          <a:off x="1228725" y="2019300"/>
          <a:ext cx="144552" cy="148833"/>
          <a:chOff x="9937028" y="802652"/>
          <a:chExt cx="83991" cy="77961"/>
        </a:xfrm>
      </xdr:grpSpPr>
      <xdr:sp macro="" textlink="">
        <xdr:nvSpPr>
          <xdr:cNvPr id="272" name="Oval 1">
            <a:extLst>
              <a:ext uri="{FF2B5EF4-FFF2-40B4-BE49-F238E27FC236}">
                <a16:creationId xmlns:a16="http://schemas.microsoft.com/office/drawing/2014/main" id="{614EAED7-04AF-C05C-883E-C632DD0D9DB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3" name="Straight Connector 3">
            <a:extLst>
              <a:ext uri="{FF2B5EF4-FFF2-40B4-BE49-F238E27FC236}">
                <a16:creationId xmlns:a16="http://schemas.microsoft.com/office/drawing/2014/main" id="{7F2B88C3-21FF-452C-9D7E-98D522DFD33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7">
            <a:extLst>
              <a:ext uri="{FF2B5EF4-FFF2-40B4-BE49-F238E27FC236}">
                <a16:creationId xmlns:a16="http://schemas.microsoft.com/office/drawing/2014/main" id="{8442EC16-E56B-76F2-A30F-B8AF1DE619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304358</xdr:colOff>
      <xdr:row>16</xdr:row>
      <xdr:rowOff>38330</xdr:rowOff>
    </xdr:from>
    <xdr:to>
      <xdr:col>18</xdr:col>
      <xdr:colOff>231079</xdr:colOff>
      <xdr:row>16</xdr:row>
      <xdr:rowOff>59704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6C823964-6E98-4A8E-AB23-1498EE7075EA}"/>
            </a:ext>
          </a:extLst>
        </xdr:cNvPr>
        <xdr:cNvCxnSpPr>
          <a:cxnSpLocks/>
          <a:stCxn id="216" idx="1"/>
          <a:endCxn id="248" idx="7"/>
        </xdr:cNvCxnSpPr>
      </xdr:nvCxnSpPr>
      <xdr:spPr bwMode="auto">
        <a:xfrm flipH="1">
          <a:off x="1371158" y="2505305"/>
          <a:ext cx="5260721" cy="213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9</xdr:row>
      <xdr:rowOff>66675</xdr:rowOff>
    </xdr:from>
    <xdr:to>
      <xdr:col>4</xdr:col>
      <xdr:colOff>325527</xdr:colOff>
      <xdr:row>16</xdr:row>
      <xdr:rowOff>112517</xdr:rowOff>
    </xdr:to>
    <xdr:cxnSp macro="">
      <xdr:nvCxnSpPr>
        <xdr:cNvPr id="276" name="Straight Connector 140">
          <a:extLst>
            <a:ext uri="{FF2B5EF4-FFF2-40B4-BE49-F238E27FC236}">
              <a16:creationId xmlns:a16="http://schemas.microsoft.com/office/drawing/2014/main" id="{AB2E13F1-9B1D-49BB-A3B6-15E6D8BB3D7B}"/>
            </a:ext>
          </a:extLst>
        </xdr:cNvPr>
        <xdr:cNvCxnSpPr>
          <a:cxnSpLocks/>
          <a:stCxn id="248" idx="6"/>
        </xdr:cNvCxnSpPr>
      </xdr:nvCxnSpPr>
      <xdr:spPr bwMode="auto">
        <a:xfrm flipH="1" flipV="1">
          <a:off x="1333500" y="1457325"/>
          <a:ext cx="58827" cy="1122167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251651</xdr:colOff>
      <xdr:row>32</xdr:row>
      <xdr:rowOff>96878</xdr:rowOff>
    </xdr:from>
    <xdr:to>
      <xdr:col>4</xdr:col>
      <xdr:colOff>101654</xdr:colOff>
      <xdr:row>33</xdr:row>
      <xdr:rowOff>46988</xdr:rowOff>
    </xdr:to>
    <xdr:grpSp>
      <xdr:nvGrpSpPr>
        <xdr:cNvPr id="277" name="Group 134">
          <a:extLst>
            <a:ext uri="{FF2B5EF4-FFF2-40B4-BE49-F238E27FC236}">
              <a16:creationId xmlns:a16="http://schemas.microsoft.com/office/drawing/2014/main" id="{7ECF248E-E973-4FFD-A5A8-B33F2C7BD05E}"/>
            </a:ext>
          </a:extLst>
        </xdr:cNvPr>
        <xdr:cNvGrpSpPr/>
      </xdr:nvGrpSpPr>
      <xdr:grpSpPr>
        <a:xfrm>
          <a:off x="937451" y="4992728"/>
          <a:ext cx="231003" cy="102510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78" name="Isosceles Triangle 118">
            <a:extLst>
              <a:ext uri="{FF2B5EF4-FFF2-40B4-BE49-F238E27FC236}">
                <a16:creationId xmlns:a16="http://schemas.microsoft.com/office/drawing/2014/main" id="{2EDF390A-70B2-F160-EC5D-CE1559CB11E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9" name="Isosceles Triangle 119">
            <a:extLst>
              <a:ext uri="{FF2B5EF4-FFF2-40B4-BE49-F238E27FC236}">
                <a16:creationId xmlns:a16="http://schemas.microsoft.com/office/drawing/2014/main" id="{F1FF2FC0-F4CC-5989-4CD5-29C3EF3EBE9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0" name="Isosceles Triangle 120">
            <a:extLst>
              <a:ext uri="{FF2B5EF4-FFF2-40B4-BE49-F238E27FC236}">
                <a16:creationId xmlns:a16="http://schemas.microsoft.com/office/drawing/2014/main" id="{0235B14B-227E-B265-49E0-BF207C42934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85725</xdr:colOff>
      <xdr:row>8</xdr:row>
      <xdr:rowOff>57150</xdr:rowOff>
    </xdr:from>
    <xdr:to>
      <xdr:col>5</xdr:col>
      <xdr:colOff>161925</xdr:colOff>
      <xdr:row>52</xdr:row>
      <xdr:rowOff>19050</xdr:rowOff>
    </xdr:to>
    <xdr:cxnSp macro="">
      <xdr:nvCxnSpPr>
        <xdr:cNvPr id="281" name="Straight Connector 140">
          <a:extLst>
            <a:ext uri="{FF2B5EF4-FFF2-40B4-BE49-F238E27FC236}">
              <a16:creationId xmlns:a16="http://schemas.microsoft.com/office/drawing/2014/main" id="{37B01761-05B0-4FE0-B892-8BDBA54BB423}"/>
            </a:ext>
          </a:extLst>
        </xdr:cNvPr>
        <xdr:cNvCxnSpPr>
          <a:cxnSpLocks/>
        </xdr:cNvCxnSpPr>
      </xdr:nvCxnSpPr>
      <xdr:spPr bwMode="auto">
        <a:xfrm>
          <a:off x="1152525" y="1295400"/>
          <a:ext cx="457200" cy="668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162402</xdr:colOff>
      <xdr:row>17</xdr:row>
      <xdr:rowOff>94775</xdr:rowOff>
    </xdr:from>
    <xdr:to>
      <xdr:col>4</xdr:col>
      <xdr:colOff>245273</xdr:colOff>
      <xdr:row>18</xdr:row>
      <xdr:rowOff>26197</xdr:rowOff>
    </xdr:to>
    <xdr:grpSp>
      <xdr:nvGrpSpPr>
        <xdr:cNvPr id="282" name="Group 73">
          <a:extLst>
            <a:ext uri="{FF2B5EF4-FFF2-40B4-BE49-F238E27FC236}">
              <a16:creationId xmlns:a16="http://schemas.microsoft.com/office/drawing/2014/main" id="{CF8E834C-0B5E-4F26-8763-DCC752042F2F}"/>
            </a:ext>
          </a:extLst>
        </xdr:cNvPr>
        <xdr:cNvGrpSpPr/>
      </xdr:nvGrpSpPr>
      <xdr:grpSpPr>
        <a:xfrm rot="3960287">
          <a:off x="1228727" y="2714625"/>
          <a:ext cx="83822" cy="82871"/>
          <a:chOff x="12175074" y="2285812"/>
          <a:chExt cx="107252" cy="65186"/>
        </a:xfrm>
      </xdr:grpSpPr>
      <xdr:cxnSp macro="">
        <xdr:nvCxnSpPr>
          <xdr:cNvPr id="283" name="Straight Connector 74">
            <a:extLst>
              <a:ext uri="{FF2B5EF4-FFF2-40B4-BE49-F238E27FC236}">
                <a16:creationId xmlns:a16="http://schemas.microsoft.com/office/drawing/2014/main" id="{B633AD55-2090-69D5-EAD0-DD1A4C1AC4F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75">
            <a:extLst>
              <a:ext uri="{FF2B5EF4-FFF2-40B4-BE49-F238E27FC236}">
                <a16:creationId xmlns:a16="http://schemas.microsoft.com/office/drawing/2014/main" id="{7CF90E95-33E8-6A61-2595-CC4E3D94F36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76">
            <a:extLst>
              <a:ext uri="{FF2B5EF4-FFF2-40B4-BE49-F238E27FC236}">
                <a16:creationId xmlns:a16="http://schemas.microsoft.com/office/drawing/2014/main" id="{F34A9508-E4D7-3527-D0B3-5F5F9785700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238125</xdr:colOff>
      <xdr:row>27</xdr:row>
      <xdr:rowOff>142876</xdr:rowOff>
    </xdr:from>
    <xdr:to>
      <xdr:col>4</xdr:col>
      <xdr:colOff>320996</xdr:colOff>
      <xdr:row>28</xdr:row>
      <xdr:rowOff>74298</xdr:rowOff>
    </xdr:to>
    <xdr:grpSp>
      <xdr:nvGrpSpPr>
        <xdr:cNvPr id="286" name="Group 73">
          <a:extLst>
            <a:ext uri="{FF2B5EF4-FFF2-40B4-BE49-F238E27FC236}">
              <a16:creationId xmlns:a16="http://schemas.microsoft.com/office/drawing/2014/main" id="{8A9530B9-DE95-4CB0-A89E-58DFBEC2F13D}"/>
            </a:ext>
          </a:extLst>
        </xdr:cNvPr>
        <xdr:cNvGrpSpPr/>
      </xdr:nvGrpSpPr>
      <xdr:grpSpPr>
        <a:xfrm rot="3960287">
          <a:off x="1304450" y="4286726"/>
          <a:ext cx="83822" cy="82871"/>
          <a:chOff x="12175074" y="2285812"/>
          <a:chExt cx="107252" cy="65186"/>
        </a:xfrm>
      </xdr:grpSpPr>
      <xdr:cxnSp macro="">
        <xdr:nvCxnSpPr>
          <xdr:cNvPr id="287" name="Straight Connector 74">
            <a:extLst>
              <a:ext uri="{FF2B5EF4-FFF2-40B4-BE49-F238E27FC236}">
                <a16:creationId xmlns:a16="http://schemas.microsoft.com/office/drawing/2014/main" id="{15D4917B-F06B-038B-45BF-709BE211918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75">
            <a:extLst>
              <a:ext uri="{FF2B5EF4-FFF2-40B4-BE49-F238E27FC236}">
                <a16:creationId xmlns:a16="http://schemas.microsoft.com/office/drawing/2014/main" id="{DDB89C51-7DB7-39F4-32E5-88F641E761E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76">
            <a:extLst>
              <a:ext uri="{FF2B5EF4-FFF2-40B4-BE49-F238E27FC236}">
                <a16:creationId xmlns:a16="http://schemas.microsoft.com/office/drawing/2014/main" id="{3BAC6C2C-4FE2-E679-AB0C-E7E9245871F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319926</xdr:colOff>
      <xdr:row>16</xdr:row>
      <xdr:rowOff>53583</xdr:rowOff>
    </xdr:from>
    <xdr:to>
      <xdr:col>5</xdr:col>
      <xdr:colOff>85283</xdr:colOff>
      <xdr:row>34</xdr:row>
      <xdr:rowOff>50371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58A1B06B-7F0B-41E8-B561-700E27164F47}"/>
            </a:ext>
          </a:extLst>
        </xdr:cNvPr>
        <xdr:cNvCxnSpPr>
          <a:cxnSpLocks/>
          <a:endCxn id="268" idx="7"/>
        </xdr:cNvCxnSpPr>
      </xdr:nvCxnSpPr>
      <xdr:spPr bwMode="auto">
        <a:xfrm>
          <a:off x="1386726" y="2520558"/>
          <a:ext cx="146357" cy="273046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156210</xdr:colOff>
      <xdr:row>63</xdr:row>
      <xdr:rowOff>119062</xdr:rowOff>
    </xdr:from>
    <xdr:to>
      <xdr:col>22</xdr:col>
      <xdr:colOff>295345</xdr:colOff>
      <xdr:row>64</xdr:row>
      <xdr:rowOff>33420</xdr:rowOff>
    </xdr:to>
    <xdr:grpSp>
      <xdr:nvGrpSpPr>
        <xdr:cNvPr id="295" name="Grup 244">
          <a:extLst>
            <a:ext uri="{FF2B5EF4-FFF2-40B4-BE49-F238E27FC236}">
              <a16:creationId xmlns:a16="http://schemas.microsoft.com/office/drawing/2014/main" id="{2798FA34-A04D-421A-9E40-E0443C8BE9A3}"/>
            </a:ext>
          </a:extLst>
        </xdr:cNvPr>
        <xdr:cNvGrpSpPr/>
      </xdr:nvGrpSpPr>
      <xdr:grpSpPr>
        <a:xfrm>
          <a:off x="8081010" y="9872662"/>
          <a:ext cx="139135" cy="66758"/>
          <a:chOff x="13302191" y="2320613"/>
          <a:chExt cx="139135" cy="57233"/>
        </a:xfrm>
      </xdr:grpSpPr>
      <xdr:cxnSp macro="">
        <xdr:nvCxnSpPr>
          <xdr:cNvPr id="296" name="Straight Connector 81">
            <a:extLst>
              <a:ext uri="{FF2B5EF4-FFF2-40B4-BE49-F238E27FC236}">
                <a16:creationId xmlns:a16="http://schemas.microsoft.com/office/drawing/2014/main" id="{D38274C0-FB33-F318-4E50-1E03CC22BA5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82">
            <a:extLst>
              <a:ext uri="{FF2B5EF4-FFF2-40B4-BE49-F238E27FC236}">
                <a16:creationId xmlns:a16="http://schemas.microsoft.com/office/drawing/2014/main" id="{2DAA8A00-2B9C-A294-974E-DACFB8C7996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83">
            <a:extLst>
              <a:ext uri="{FF2B5EF4-FFF2-40B4-BE49-F238E27FC236}">
                <a16:creationId xmlns:a16="http://schemas.microsoft.com/office/drawing/2014/main" id="{CC48C54A-7A26-1FC9-D552-6BF8E90224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84">
            <a:extLst>
              <a:ext uri="{FF2B5EF4-FFF2-40B4-BE49-F238E27FC236}">
                <a16:creationId xmlns:a16="http://schemas.microsoft.com/office/drawing/2014/main" id="{662A63E0-5147-97E6-75B8-5CF44B001AB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7620</xdr:colOff>
      <xdr:row>33</xdr:row>
      <xdr:rowOff>106680</xdr:rowOff>
    </xdr:from>
    <xdr:to>
      <xdr:col>3</xdr:col>
      <xdr:colOff>259080</xdr:colOff>
      <xdr:row>36</xdr:row>
      <xdr:rowOff>3810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0532F1CA-FCB9-4A04-A099-E0138E1FBEC7}"/>
            </a:ext>
          </a:extLst>
        </xdr:cNvPr>
        <xdr:cNvSpPr/>
      </xdr:nvSpPr>
      <xdr:spPr>
        <a:xfrm>
          <a:off x="693420" y="5154930"/>
          <a:ext cx="251460" cy="35433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91440</xdr:colOff>
      <xdr:row>33</xdr:row>
      <xdr:rowOff>105156</xdr:rowOff>
    </xdr:from>
    <xdr:to>
      <xdr:col>3</xdr:col>
      <xdr:colOff>21336</xdr:colOff>
      <xdr:row>38</xdr:row>
      <xdr:rowOff>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8D2B6B87-734E-4F56-9AEA-37356CE8B83B}"/>
            </a:ext>
          </a:extLst>
        </xdr:cNvPr>
        <xdr:cNvSpPr/>
      </xdr:nvSpPr>
      <xdr:spPr>
        <a:xfrm rot="5400000">
          <a:off x="156591" y="5278755"/>
          <a:ext cx="675894" cy="425196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11430</xdr:colOff>
      <xdr:row>33</xdr:row>
      <xdr:rowOff>91440</xdr:rowOff>
    </xdr:from>
    <xdr:to>
      <xdr:col>4</xdr:col>
      <xdr:colOff>158437</xdr:colOff>
      <xdr:row>34</xdr:row>
      <xdr:rowOff>70689</xdr:rowOff>
    </xdr:to>
    <xdr:grpSp>
      <xdr:nvGrpSpPr>
        <xdr:cNvPr id="302" name="Group 13">
          <a:extLst>
            <a:ext uri="{FF2B5EF4-FFF2-40B4-BE49-F238E27FC236}">
              <a16:creationId xmlns:a16="http://schemas.microsoft.com/office/drawing/2014/main" id="{A0CDA38F-BAA1-442F-8BC2-65246A24CC1C}"/>
            </a:ext>
          </a:extLst>
        </xdr:cNvPr>
        <xdr:cNvGrpSpPr/>
      </xdr:nvGrpSpPr>
      <xdr:grpSpPr>
        <a:xfrm>
          <a:off x="1078230" y="5139690"/>
          <a:ext cx="147007" cy="131649"/>
          <a:chOff x="9937028" y="802652"/>
          <a:chExt cx="83991" cy="77961"/>
        </a:xfrm>
      </xdr:grpSpPr>
      <xdr:sp macro="" textlink="">
        <xdr:nvSpPr>
          <xdr:cNvPr id="303" name="Oval 1">
            <a:extLst>
              <a:ext uri="{FF2B5EF4-FFF2-40B4-BE49-F238E27FC236}">
                <a16:creationId xmlns:a16="http://schemas.microsoft.com/office/drawing/2014/main" id="{B2A4F6A2-3BC3-829A-63D5-5705AE5178C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4" name="Straight Connector 3">
            <a:extLst>
              <a:ext uri="{FF2B5EF4-FFF2-40B4-BE49-F238E27FC236}">
                <a16:creationId xmlns:a16="http://schemas.microsoft.com/office/drawing/2014/main" id="{669CDF16-0A0E-4A0E-ED42-D657D5B3DD5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7">
            <a:extLst>
              <a:ext uri="{FF2B5EF4-FFF2-40B4-BE49-F238E27FC236}">
                <a16:creationId xmlns:a16="http://schemas.microsoft.com/office/drawing/2014/main" id="{2BB8F8DE-277E-A1D1-0BB2-06D04B28A06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323865</xdr:colOff>
      <xdr:row>34</xdr:row>
      <xdr:rowOff>1123</xdr:rowOff>
    </xdr:from>
    <xdr:to>
      <xdr:col>4</xdr:col>
      <xdr:colOff>364069</xdr:colOff>
      <xdr:row>34</xdr:row>
      <xdr:rowOff>50371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510F0D86-1AFD-405F-9349-FB506D5B55A4}"/>
            </a:ext>
          </a:extLst>
        </xdr:cNvPr>
        <xdr:cNvCxnSpPr>
          <a:cxnSpLocks/>
          <a:stCxn id="268" idx="1"/>
          <a:endCxn id="359" idx="6"/>
        </xdr:cNvCxnSpPr>
      </xdr:nvCxnSpPr>
      <xdr:spPr bwMode="auto">
        <a:xfrm flipH="1" flipV="1">
          <a:off x="1009665" y="5201773"/>
          <a:ext cx="421204" cy="4924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109331</xdr:colOff>
      <xdr:row>35</xdr:row>
      <xdr:rowOff>6709</xdr:rowOff>
    </xdr:from>
    <xdr:to>
      <xdr:col>3</xdr:col>
      <xdr:colOff>212201</xdr:colOff>
      <xdr:row>35</xdr:row>
      <xdr:rowOff>131559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064BC702-58B1-44AE-A68C-97EDF88C5A5A}"/>
            </a:ext>
          </a:extLst>
        </xdr:cNvPr>
        <xdr:cNvSpPr/>
      </xdr:nvSpPr>
      <xdr:spPr>
        <a:xfrm>
          <a:off x="795131" y="5359759"/>
          <a:ext cx="102870" cy="12485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3</xdr:col>
      <xdr:colOff>160766</xdr:colOff>
      <xdr:row>34</xdr:row>
      <xdr:rowOff>51409</xdr:rowOff>
    </xdr:from>
    <xdr:to>
      <xdr:col>4</xdr:col>
      <xdr:colOff>32959</xdr:colOff>
      <xdr:row>35</xdr:row>
      <xdr:rowOff>6709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2E9E34F6-DCE3-4F8B-B9FE-5445EC10AA60}"/>
            </a:ext>
          </a:extLst>
        </xdr:cNvPr>
        <xdr:cNvCxnSpPr>
          <a:cxnSpLocks/>
          <a:stCxn id="303" idx="3"/>
          <a:endCxn id="307" idx="0"/>
        </xdr:cNvCxnSpPr>
      </xdr:nvCxnSpPr>
      <xdr:spPr bwMode="auto">
        <a:xfrm flipH="1">
          <a:off x="846566" y="5252059"/>
          <a:ext cx="253193" cy="1077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180975</xdr:colOff>
      <xdr:row>5</xdr:row>
      <xdr:rowOff>142875</xdr:rowOff>
    </xdr:from>
    <xdr:to>
      <xdr:col>19</xdr:col>
      <xdr:colOff>259803</xdr:colOff>
      <xdr:row>22</xdr:row>
      <xdr:rowOff>69303</xdr:rowOff>
    </xdr:to>
    <xdr:cxnSp macro="">
      <xdr:nvCxnSpPr>
        <xdr:cNvPr id="309" name="Straight Connector 139">
          <a:extLst>
            <a:ext uri="{FF2B5EF4-FFF2-40B4-BE49-F238E27FC236}">
              <a16:creationId xmlns:a16="http://schemas.microsoft.com/office/drawing/2014/main" id="{97D7DEC5-B8A3-41ED-AC0C-BD0B15C9619A}"/>
            </a:ext>
          </a:extLst>
        </xdr:cNvPr>
        <xdr:cNvCxnSpPr>
          <a:cxnSpLocks/>
        </xdr:cNvCxnSpPr>
      </xdr:nvCxnSpPr>
      <xdr:spPr bwMode="auto">
        <a:xfrm flipH="1">
          <a:off x="6581775" y="923925"/>
          <a:ext cx="459828" cy="25267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321879</xdr:colOff>
      <xdr:row>19</xdr:row>
      <xdr:rowOff>26275</xdr:rowOff>
    </xdr:from>
    <xdr:to>
      <xdr:col>18</xdr:col>
      <xdr:colOff>101998</xdr:colOff>
      <xdr:row>19</xdr:row>
      <xdr:rowOff>111466</xdr:rowOff>
    </xdr:to>
    <xdr:sp macro="" textlink="">
      <xdr:nvSpPr>
        <xdr:cNvPr id="310" name="Isosceles Triangle 120">
          <a:extLst>
            <a:ext uri="{FF2B5EF4-FFF2-40B4-BE49-F238E27FC236}">
              <a16:creationId xmlns:a16="http://schemas.microsoft.com/office/drawing/2014/main" id="{B6A35E2D-EBB0-4B4D-BAE3-21424341F38A}"/>
            </a:ext>
          </a:extLst>
        </xdr:cNvPr>
        <xdr:cNvSpPr/>
      </xdr:nvSpPr>
      <xdr:spPr>
        <a:xfrm>
          <a:off x="6341679" y="295045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39414</xdr:colOff>
      <xdr:row>5</xdr:row>
      <xdr:rowOff>78828</xdr:rowOff>
    </xdr:from>
    <xdr:to>
      <xdr:col>19</xdr:col>
      <xdr:colOff>137948</xdr:colOff>
      <xdr:row>22</xdr:row>
      <xdr:rowOff>39414</xdr:rowOff>
    </xdr:to>
    <xdr:cxnSp macro="">
      <xdr:nvCxnSpPr>
        <xdr:cNvPr id="311" name="Straight Connector 139">
          <a:extLst>
            <a:ext uri="{FF2B5EF4-FFF2-40B4-BE49-F238E27FC236}">
              <a16:creationId xmlns:a16="http://schemas.microsoft.com/office/drawing/2014/main" id="{5FA0C02C-A22A-4718-8712-A394A3E3DDEC}"/>
            </a:ext>
          </a:extLst>
        </xdr:cNvPr>
        <xdr:cNvCxnSpPr>
          <a:cxnSpLocks/>
        </xdr:cNvCxnSpPr>
      </xdr:nvCxnSpPr>
      <xdr:spPr bwMode="auto">
        <a:xfrm flipH="1">
          <a:off x="6440214" y="859878"/>
          <a:ext cx="479534" cy="256091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275896</xdr:colOff>
      <xdr:row>12</xdr:row>
      <xdr:rowOff>19707</xdr:rowOff>
    </xdr:from>
    <xdr:to>
      <xdr:col>18</xdr:col>
      <xdr:colOff>358767</xdr:colOff>
      <xdr:row>12</xdr:row>
      <xdr:rowOff>103529</xdr:rowOff>
    </xdr:to>
    <xdr:grpSp>
      <xdr:nvGrpSpPr>
        <xdr:cNvPr id="312" name="Group 73">
          <a:extLst>
            <a:ext uri="{FF2B5EF4-FFF2-40B4-BE49-F238E27FC236}">
              <a16:creationId xmlns:a16="http://schemas.microsoft.com/office/drawing/2014/main" id="{95B617A3-10E8-4550-A308-265A211BD6E2}"/>
            </a:ext>
          </a:extLst>
        </xdr:cNvPr>
        <xdr:cNvGrpSpPr/>
      </xdr:nvGrpSpPr>
      <xdr:grpSpPr>
        <a:xfrm rot="3960287">
          <a:off x="6676221" y="1868032"/>
          <a:ext cx="83822" cy="82871"/>
          <a:chOff x="12175074" y="2285812"/>
          <a:chExt cx="107252" cy="65186"/>
        </a:xfrm>
      </xdr:grpSpPr>
      <xdr:cxnSp macro="">
        <xdr:nvCxnSpPr>
          <xdr:cNvPr id="313" name="Straight Connector 74">
            <a:extLst>
              <a:ext uri="{FF2B5EF4-FFF2-40B4-BE49-F238E27FC236}">
                <a16:creationId xmlns:a16="http://schemas.microsoft.com/office/drawing/2014/main" id="{0D013EB5-D5CD-6093-8021-A747625BF1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75">
            <a:extLst>
              <a:ext uri="{FF2B5EF4-FFF2-40B4-BE49-F238E27FC236}">
                <a16:creationId xmlns:a16="http://schemas.microsoft.com/office/drawing/2014/main" id="{9903C171-8105-802F-5074-220E7FDC966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76">
            <a:extLst>
              <a:ext uri="{FF2B5EF4-FFF2-40B4-BE49-F238E27FC236}">
                <a16:creationId xmlns:a16="http://schemas.microsoft.com/office/drawing/2014/main" id="{2ED72C51-A4C5-D217-4E40-6FFAE86B6B6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105103</xdr:colOff>
      <xdr:row>17</xdr:row>
      <xdr:rowOff>111673</xdr:rowOff>
    </xdr:from>
    <xdr:to>
      <xdr:col>18</xdr:col>
      <xdr:colOff>187974</xdr:colOff>
      <xdr:row>18</xdr:row>
      <xdr:rowOff>44408</xdr:rowOff>
    </xdr:to>
    <xdr:grpSp>
      <xdr:nvGrpSpPr>
        <xdr:cNvPr id="316" name="Group 73">
          <a:extLst>
            <a:ext uri="{FF2B5EF4-FFF2-40B4-BE49-F238E27FC236}">
              <a16:creationId xmlns:a16="http://schemas.microsoft.com/office/drawing/2014/main" id="{CA2CF16F-6C85-475F-9F20-8040ED798138}"/>
            </a:ext>
          </a:extLst>
        </xdr:cNvPr>
        <xdr:cNvGrpSpPr/>
      </xdr:nvGrpSpPr>
      <xdr:grpSpPr>
        <a:xfrm rot="3960287">
          <a:off x="6504771" y="2732180"/>
          <a:ext cx="85135" cy="82871"/>
          <a:chOff x="12175074" y="2285812"/>
          <a:chExt cx="107252" cy="65186"/>
        </a:xfrm>
      </xdr:grpSpPr>
      <xdr:cxnSp macro="">
        <xdr:nvCxnSpPr>
          <xdr:cNvPr id="317" name="Straight Connector 74">
            <a:extLst>
              <a:ext uri="{FF2B5EF4-FFF2-40B4-BE49-F238E27FC236}">
                <a16:creationId xmlns:a16="http://schemas.microsoft.com/office/drawing/2014/main" id="{7FAB90FD-6FB7-68DD-5FB9-394AF28C0FC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75">
            <a:extLst>
              <a:ext uri="{FF2B5EF4-FFF2-40B4-BE49-F238E27FC236}">
                <a16:creationId xmlns:a16="http://schemas.microsoft.com/office/drawing/2014/main" id="{C58C6FC9-8507-832D-6F5C-E5C066F3DB2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76">
            <a:extLst>
              <a:ext uri="{FF2B5EF4-FFF2-40B4-BE49-F238E27FC236}">
                <a16:creationId xmlns:a16="http://schemas.microsoft.com/office/drawing/2014/main" id="{F9EC1945-B343-83AA-7824-1E2F7E17540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269328</xdr:colOff>
      <xdr:row>15</xdr:row>
      <xdr:rowOff>52552</xdr:rowOff>
    </xdr:from>
    <xdr:to>
      <xdr:col>5</xdr:col>
      <xdr:colOff>49447</xdr:colOff>
      <xdr:row>15</xdr:row>
      <xdr:rowOff>137743</xdr:rowOff>
    </xdr:to>
    <xdr:sp macro="" textlink="">
      <xdr:nvSpPr>
        <xdr:cNvPr id="330" name="Isosceles Triangle 120">
          <a:extLst>
            <a:ext uri="{FF2B5EF4-FFF2-40B4-BE49-F238E27FC236}">
              <a16:creationId xmlns:a16="http://schemas.microsoft.com/office/drawing/2014/main" id="{59FDEAED-09A5-4C24-9690-2BF5A5BB40DC}"/>
            </a:ext>
          </a:extLst>
        </xdr:cNvPr>
        <xdr:cNvSpPr/>
      </xdr:nvSpPr>
      <xdr:spPr>
        <a:xfrm>
          <a:off x="1336128" y="236712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137948</xdr:colOff>
      <xdr:row>15</xdr:row>
      <xdr:rowOff>52552</xdr:rowOff>
    </xdr:from>
    <xdr:to>
      <xdr:col>4</xdr:col>
      <xdr:colOff>299067</xdr:colOff>
      <xdr:row>15</xdr:row>
      <xdr:rowOff>137743</xdr:rowOff>
    </xdr:to>
    <xdr:sp macro="" textlink="">
      <xdr:nvSpPr>
        <xdr:cNvPr id="331" name="Isosceles Triangle 120">
          <a:extLst>
            <a:ext uri="{FF2B5EF4-FFF2-40B4-BE49-F238E27FC236}">
              <a16:creationId xmlns:a16="http://schemas.microsoft.com/office/drawing/2014/main" id="{0659A994-4B8B-4794-A511-9F26CC7258B4}"/>
            </a:ext>
          </a:extLst>
        </xdr:cNvPr>
        <xdr:cNvSpPr/>
      </xdr:nvSpPr>
      <xdr:spPr>
        <a:xfrm>
          <a:off x="1204748" y="236712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318453</xdr:colOff>
      <xdr:row>17</xdr:row>
      <xdr:rowOff>1</xdr:rowOff>
    </xdr:from>
    <xdr:to>
      <xdr:col>4</xdr:col>
      <xdr:colOff>68833</xdr:colOff>
      <xdr:row>21</xdr:row>
      <xdr:rowOff>38101</xdr:rowOff>
    </xdr:to>
    <xdr:sp macro="" textlink="">
      <xdr:nvSpPr>
        <xdr:cNvPr id="333" name="TextBox 157">
          <a:extLst>
            <a:ext uri="{FF2B5EF4-FFF2-40B4-BE49-F238E27FC236}">
              <a16:creationId xmlns:a16="http://schemas.microsoft.com/office/drawing/2014/main" id="{8EE79AAE-CF2D-45AB-9695-851FA063D49D}"/>
            </a:ext>
          </a:extLst>
        </xdr:cNvPr>
        <xdr:cNvSpPr txBox="1"/>
      </xdr:nvSpPr>
      <xdr:spPr>
        <a:xfrm>
          <a:off x="508953" y="2619376"/>
          <a:ext cx="626680" cy="6477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K2-573/25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283054</xdr:colOff>
      <xdr:row>16</xdr:row>
      <xdr:rowOff>19050</xdr:rowOff>
    </xdr:from>
    <xdr:to>
      <xdr:col>19</xdr:col>
      <xdr:colOff>137949</xdr:colOff>
      <xdr:row>16</xdr:row>
      <xdr:rowOff>19707</xdr:rowOff>
    </xdr:to>
    <xdr:cxnSp macro="">
      <xdr:nvCxnSpPr>
        <xdr:cNvPr id="334" name="Straight Arrow Connector 166">
          <a:extLst>
            <a:ext uri="{FF2B5EF4-FFF2-40B4-BE49-F238E27FC236}">
              <a16:creationId xmlns:a16="http://schemas.microsoft.com/office/drawing/2014/main" id="{50A53F01-C9D1-4D89-8421-C6868E921294}"/>
            </a:ext>
          </a:extLst>
        </xdr:cNvPr>
        <xdr:cNvCxnSpPr>
          <a:cxnSpLocks/>
          <a:stCxn id="216" idx="0"/>
        </xdr:cNvCxnSpPr>
      </xdr:nvCxnSpPr>
      <xdr:spPr>
        <a:xfrm>
          <a:off x="6683854" y="2486025"/>
          <a:ext cx="235895" cy="65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32845</xdr:colOff>
      <xdr:row>16</xdr:row>
      <xdr:rowOff>38100</xdr:rowOff>
    </xdr:from>
    <xdr:to>
      <xdr:col>4</xdr:col>
      <xdr:colOff>253251</xdr:colOff>
      <xdr:row>16</xdr:row>
      <xdr:rowOff>52552</xdr:rowOff>
    </xdr:to>
    <xdr:cxnSp macro="">
      <xdr:nvCxnSpPr>
        <xdr:cNvPr id="336" name="Straight Arrow Connector 166">
          <a:extLst>
            <a:ext uri="{FF2B5EF4-FFF2-40B4-BE49-F238E27FC236}">
              <a16:creationId xmlns:a16="http://schemas.microsoft.com/office/drawing/2014/main" id="{69F0760F-08CA-4BF3-A576-D7C5CB1C93AC}"/>
            </a:ext>
          </a:extLst>
        </xdr:cNvPr>
        <xdr:cNvCxnSpPr>
          <a:cxnSpLocks/>
          <a:stCxn id="248" idx="0"/>
        </xdr:cNvCxnSpPr>
      </xdr:nvCxnSpPr>
      <xdr:spPr>
        <a:xfrm flipH="1">
          <a:off x="1099645" y="2505075"/>
          <a:ext cx="220406" cy="144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80090</xdr:colOff>
      <xdr:row>32</xdr:row>
      <xdr:rowOff>69556</xdr:rowOff>
    </xdr:from>
    <xdr:to>
      <xdr:col>4</xdr:col>
      <xdr:colOff>17394</xdr:colOff>
      <xdr:row>33</xdr:row>
      <xdr:rowOff>141632</xdr:rowOff>
    </xdr:to>
    <xdr:sp macro="" textlink="">
      <xdr:nvSpPr>
        <xdr:cNvPr id="338" name="TextBox 160">
          <a:extLst>
            <a:ext uri="{FF2B5EF4-FFF2-40B4-BE49-F238E27FC236}">
              <a16:creationId xmlns:a16="http://schemas.microsoft.com/office/drawing/2014/main" id="{DEB56551-FFDF-4E02-8543-93A8BF244721}"/>
            </a:ext>
          </a:extLst>
        </xdr:cNvPr>
        <xdr:cNvSpPr txBox="1"/>
      </xdr:nvSpPr>
      <xdr:spPr>
        <a:xfrm>
          <a:off x="270590" y="4965406"/>
          <a:ext cx="813604" cy="224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100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9</xdr:col>
      <xdr:colOff>341586</xdr:colOff>
      <xdr:row>16</xdr:row>
      <xdr:rowOff>65690</xdr:rowOff>
    </xdr:from>
    <xdr:to>
      <xdr:col>10</xdr:col>
      <xdr:colOff>107593</xdr:colOff>
      <xdr:row>17</xdr:row>
      <xdr:rowOff>44939</xdr:rowOff>
    </xdr:to>
    <xdr:grpSp>
      <xdr:nvGrpSpPr>
        <xdr:cNvPr id="347" name="Group 13">
          <a:extLst>
            <a:ext uri="{FF2B5EF4-FFF2-40B4-BE49-F238E27FC236}">
              <a16:creationId xmlns:a16="http://schemas.microsoft.com/office/drawing/2014/main" id="{838D6638-20B3-4826-91CA-01AEE4C76C9C}"/>
            </a:ext>
          </a:extLst>
        </xdr:cNvPr>
        <xdr:cNvGrpSpPr/>
      </xdr:nvGrpSpPr>
      <xdr:grpSpPr>
        <a:xfrm>
          <a:off x="3313386" y="2532665"/>
          <a:ext cx="147007" cy="131649"/>
          <a:chOff x="9937028" y="802652"/>
          <a:chExt cx="83991" cy="77961"/>
        </a:xfrm>
      </xdr:grpSpPr>
      <xdr:sp macro="" textlink="">
        <xdr:nvSpPr>
          <xdr:cNvPr id="348" name="Oval 1">
            <a:extLst>
              <a:ext uri="{FF2B5EF4-FFF2-40B4-BE49-F238E27FC236}">
                <a16:creationId xmlns:a16="http://schemas.microsoft.com/office/drawing/2014/main" id="{589EF377-5101-6CBC-2582-0A5EDAD654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">
            <a:extLst>
              <a:ext uri="{FF2B5EF4-FFF2-40B4-BE49-F238E27FC236}">
                <a16:creationId xmlns:a16="http://schemas.microsoft.com/office/drawing/2014/main" id="{EB380988-4756-14E1-8DF2-AAAAE13909E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7">
            <a:extLst>
              <a:ext uri="{FF2B5EF4-FFF2-40B4-BE49-F238E27FC236}">
                <a16:creationId xmlns:a16="http://schemas.microsoft.com/office/drawing/2014/main" id="{B10CCB79-E07B-F8A0-183B-FEB618EA3B5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176858</xdr:colOff>
      <xdr:row>33</xdr:row>
      <xdr:rowOff>87698</xdr:rowOff>
    </xdr:from>
    <xdr:to>
      <xdr:col>3</xdr:col>
      <xdr:colOff>323865</xdr:colOff>
      <xdr:row>34</xdr:row>
      <xdr:rowOff>66947</xdr:rowOff>
    </xdr:to>
    <xdr:grpSp>
      <xdr:nvGrpSpPr>
        <xdr:cNvPr id="358" name="Group 13">
          <a:extLst>
            <a:ext uri="{FF2B5EF4-FFF2-40B4-BE49-F238E27FC236}">
              <a16:creationId xmlns:a16="http://schemas.microsoft.com/office/drawing/2014/main" id="{81F75B20-8A63-4F1D-B1D8-EEA2D8848ED9}"/>
            </a:ext>
          </a:extLst>
        </xdr:cNvPr>
        <xdr:cNvGrpSpPr/>
      </xdr:nvGrpSpPr>
      <xdr:grpSpPr>
        <a:xfrm>
          <a:off x="862658" y="5135948"/>
          <a:ext cx="147007" cy="131649"/>
          <a:chOff x="9937028" y="802652"/>
          <a:chExt cx="83991" cy="77961"/>
        </a:xfrm>
      </xdr:grpSpPr>
      <xdr:sp macro="" textlink="">
        <xdr:nvSpPr>
          <xdr:cNvPr id="359" name="Oval 1">
            <a:extLst>
              <a:ext uri="{FF2B5EF4-FFF2-40B4-BE49-F238E27FC236}">
                <a16:creationId xmlns:a16="http://schemas.microsoft.com/office/drawing/2014/main" id="{C9186448-AD2B-0C74-2961-A422E498176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0" name="Straight Connector 3">
            <a:extLst>
              <a:ext uri="{FF2B5EF4-FFF2-40B4-BE49-F238E27FC236}">
                <a16:creationId xmlns:a16="http://schemas.microsoft.com/office/drawing/2014/main" id="{28804090-23F8-1737-3789-5E7484D2AF6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7">
            <a:extLst>
              <a:ext uri="{FF2B5EF4-FFF2-40B4-BE49-F238E27FC236}">
                <a16:creationId xmlns:a16="http://schemas.microsoft.com/office/drawing/2014/main" id="{A324963E-1964-26F2-8C20-421ED532929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142047</xdr:colOff>
      <xdr:row>25</xdr:row>
      <xdr:rowOff>142875</xdr:rowOff>
    </xdr:from>
    <xdr:to>
      <xdr:col>7</xdr:col>
      <xdr:colOff>8383</xdr:colOff>
      <xdr:row>30</xdr:row>
      <xdr:rowOff>38101</xdr:rowOff>
    </xdr:to>
    <xdr:sp macro="" textlink="">
      <xdr:nvSpPr>
        <xdr:cNvPr id="362" name="TextBox 157">
          <a:extLst>
            <a:ext uri="{FF2B5EF4-FFF2-40B4-BE49-F238E27FC236}">
              <a16:creationId xmlns:a16="http://schemas.microsoft.com/office/drawing/2014/main" id="{14D08A12-03FC-4851-964D-F302963AEE2D}"/>
            </a:ext>
          </a:extLst>
        </xdr:cNvPr>
        <xdr:cNvSpPr txBox="1"/>
      </xdr:nvSpPr>
      <xdr:spPr>
        <a:xfrm>
          <a:off x="1589847" y="3981450"/>
          <a:ext cx="628336" cy="64770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328820</xdr:colOff>
      <xdr:row>21</xdr:row>
      <xdr:rowOff>76200</xdr:rowOff>
    </xdr:from>
    <xdr:to>
      <xdr:col>4</xdr:col>
      <xdr:colOff>79200</xdr:colOff>
      <xdr:row>26</xdr:row>
      <xdr:rowOff>114300</xdr:rowOff>
    </xdr:to>
    <xdr:sp macro="" textlink="">
      <xdr:nvSpPr>
        <xdr:cNvPr id="363" name="TextBox 157">
          <a:extLst>
            <a:ext uri="{FF2B5EF4-FFF2-40B4-BE49-F238E27FC236}">
              <a16:creationId xmlns:a16="http://schemas.microsoft.com/office/drawing/2014/main" id="{1BFEE765-FA68-439C-B6C9-9E19734B6E6E}"/>
            </a:ext>
          </a:extLst>
        </xdr:cNvPr>
        <xdr:cNvSpPr txBox="1"/>
      </xdr:nvSpPr>
      <xdr:spPr>
        <a:xfrm>
          <a:off x="519320" y="3305175"/>
          <a:ext cx="626680" cy="8001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K2-573/27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474179</xdr:colOff>
      <xdr:row>28</xdr:row>
      <xdr:rowOff>19050</xdr:rowOff>
    </xdr:from>
    <xdr:to>
      <xdr:col>4</xdr:col>
      <xdr:colOff>226215</xdr:colOff>
      <xdr:row>32</xdr:row>
      <xdr:rowOff>76200</xdr:rowOff>
    </xdr:to>
    <xdr:sp macro="" textlink="">
      <xdr:nvSpPr>
        <xdr:cNvPr id="364" name="TextBox 157">
          <a:extLst>
            <a:ext uri="{FF2B5EF4-FFF2-40B4-BE49-F238E27FC236}">
              <a16:creationId xmlns:a16="http://schemas.microsoft.com/office/drawing/2014/main" id="{8A70463C-3CE7-4110-BBD0-2A32DACB2D23}"/>
            </a:ext>
          </a:extLst>
        </xdr:cNvPr>
        <xdr:cNvSpPr txBox="1"/>
      </xdr:nvSpPr>
      <xdr:spPr>
        <a:xfrm>
          <a:off x="664679" y="4314825"/>
          <a:ext cx="628336" cy="6572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362363</xdr:colOff>
      <xdr:row>32</xdr:row>
      <xdr:rowOff>6627</xdr:rowOff>
    </xdr:from>
    <xdr:to>
      <xdr:col>7</xdr:col>
      <xdr:colOff>296102</xdr:colOff>
      <xdr:row>40</xdr:row>
      <xdr:rowOff>47625</xdr:rowOff>
    </xdr:to>
    <xdr:sp macro="" textlink="">
      <xdr:nvSpPr>
        <xdr:cNvPr id="365" name="TextBox 157">
          <a:extLst>
            <a:ext uri="{FF2B5EF4-FFF2-40B4-BE49-F238E27FC236}">
              <a16:creationId xmlns:a16="http://schemas.microsoft.com/office/drawing/2014/main" id="{D9A77126-3FA2-45FC-9AC9-CE3EB2D05257}"/>
            </a:ext>
          </a:extLst>
        </xdr:cNvPr>
        <xdr:cNvSpPr txBox="1"/>
      </xdr:nvSpPr>
      <xdr:spPr>
        <a:xfrm>
          <a:off x="1810163" y="4902477"/>
          <a:ext cx="695739" cy="127924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K2-573/29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34176</xdr:colOff>
      <xdr:row>34</xdr:row>
      <xdr:rowOff>28575</xdr:rowOff>
    </xdr:from>
    <xdr:to>
      <xdr:col>5</xdr:col>
      <xdr:colOff>240196</xdr:colOff>
      <xdr:row>34</xdr:row>
      <xdr:rowOff>57978</xdr:rowOff>
    </xdr:to>
    <xdr:cxnSp macro="">
      <xdr:nvCxnSpPr>
        <xdr:cNvPr id="366" name="Straight Arrow Connector 166">
          <a:extLst>
            <a:ext uri="{FF2B5EF4-FFF2-40B4-BE49-F238E27FC236}">
              <a16:creationId xmlns:a16="http://schemas.microsoft.com/office/drawing/2014/main" id="{0F78E75F-E4B0-4E0F-8F62-CFF91C8E66D0}"/>
            </a:ext>
          </a:extLst>
        </xdr:cNvPr>
        <xdr:cNvCxnSpPr>
          <a:cxnSpLocks/>
          <a:stCxn id="268" idx="0"/>
        </xdr:cNvCxnSpPr>
      </xdr:nvCxnSpPr>
      <xdr:spPr>
        <a:xfrm>
          <a:off x="1481976" y="5229225"/>
          <a:ext cx="206020" cy="294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85283</xdr:colOff>
      <xdr:row>35</xdr:row>
      <xdr:rowOff>3212</xdr:rowOff>
    </xdr:from>
    <xdr:to>
      <xdr:col>5</xdr:col>
      <xdr:colOff>238125</xdr:colOff>
      <xdr:row>36</xdr:row>
      <xdr:rowOff>9525</xdr:rowOff>
    </xdr:to>
    <xdr:cxnSp macro="">
      <xdr:nvCxnSpPr>
        <xdr:cNvPr id="367" name="Straight Arrow Connector 166">
          <a:extLst>
            <a:ext uri="{FF2B5EF4-FFF2-40B4-BE49-F238E27FC236}">
              <a16:creationId xmlns:a16="http://schemas.microsoft.com/office/drawing/2014/main" id="{A2B07C7C-414A-465C-BC16-8FE3FC441964}"/>
            </a:ext>
          </a:extLst>
        </xdr:cNvPr>
        <xdr:cNvCxnSpPr>
          <a:cxnSpLocks/>
          <a:stCxn id="268" idx="5"/>
        </xdr:cNvCxnSpPr>
      </xdr:nvCxnSpPr>
      <xdr:spPr>
        <a:xfrm>
          <a:off x="1533083" y="5356262"/>
          <a:ext cx="152842" cy="15871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16566</xdr:colOff>
      <xdr:row>39</xdr:row>
      <xdr:rowOff>17394</xdr:rowOff>
    </xdr:from>
    <xdr:to>
      <xdr:col>5</xdr:col>
      <xdr:colOff>161118</xdr:colOff>
      <xdr:row>40</xdr:row>
      <xdr:rowOff>13827</xdr:rowOff>
    </xdr:to>
    <xdr:grpSp>
      <xdr:nvGrpSpPr>
        <xdr:cNvPr id="368" name="Group 13">
          <a:extLst>
            <a:ext uri="{FF2B5EF4-FFF2-40B4-BE49-F238E27FC236}">
              <a16:creationId xmlns:a16="http://schemas.microsoft.com/office/drawing/2014/main" id="{CAC9DBF1-EA3A-4850-8111-0AF5049B8464}"/>
            </a:ext>
          </a:extLst>
        </xdr:cNvPr>
        <xdr:cNvGrpSpPr/>
      </xdr:nvGrpSpPr>
      <xdr:grpSpPr>
        <a:xfrm>
          <a:off x="1464366" y="5999094"/>
          <a:ext cx="144552" cy="148833"/>
          <a:chOff x="9937028" y="802652"/>
          <a:chExt cx="83991" cy="77961"/>
        </a:xfrm>
      </xdr:grpSpPr>
      <xdr:sp macro="" textlink="">
        <xdr:nvSpPr>
          <xdr:cNvPr id="369" name="Oval 1">
            <a:extLst>
              <a:ext uri="{FF2B5EF4-FFF2-40B4-BE49-F238E27FC236}">
                <a16:creationId xmlns:a16="http://schemas.microsoft.com/office/drawing/2014/main" id="{058D48E2-2D6C-DB6B-B510-DC5ACBBC6F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0" name="Straight Connector 3">
            <a:extLst>
              <a:ext uri="{FF2B5EF4-FFF2-40B4-BE49-F238E27FC236}">
                <a16:creationId xmlns:a16="http://schemas.microsoft.com/office/drawing/2014/main" id="{B346AEB3-EF85-08BC-9634-21D72A19D59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Connector 7">
            <a:extLst>
              <a:ext uri="{FF2B5EF4-FFF2-40B4-BE49-F238E27FC236}">
                <a16:creationId xmlns:a16="http://schemas.microsoft.com/office/drawing/2014/main" id="{59726EEA-A857-64B2-A19A-4E33727CFC5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44</xdr:row>
      <xdr:rowOff>57150</xdr:rowOff>
    </xdr:from>
    <xdr:to>
      <xdr:col>5</xdr:col>
      <xdr:colOff>220752</xdr:colOff>
      <xdr:row>45</xdr:row>
      <xdr:rowOff>53583</xdr:rowOff>
    </xdr:to>
    <xdr:grpSp>
      <xdr:nvGrpSpPr>
        <xdr:cNvPr id="378" name="Group 13">
          <a:extLst>
            <a:ext uri="{FF2B5EF4-FFF2-40B4-BE49-F238E27FC236}">
              <a16:creationId xmlns:a16="http://schemas.microsoft.com/office/drawing/2014/main" id="{6FE86DCF-3B0B-435F-AF8E-8397D76078AF}"/>
            </a:ext>
          </a:extLst>
        </xdr:cNvPr>
        <xdr:cNvGrpSpPr/>
      </xdr:nvGrpSpPr>
      <xdr:grpSpPr>
        <a:xfrm>
          <a:off x="1524000" y="6800850"/>
          <a:ext cx="144552" cy="148833"/>
          <a:chOff x="9937028" y="802652"/>
          <a:chExt cx="83991" cy="77961"/>
        </a:xfrm>
      </xdr:grpSpPr>
      <xdr:sp macro="" textlink="">
        <xdr:nvSpPr>
          <xdr:cNvPr id="379" name="Oval 1">
            <a:extLst>
              <a:ext uri="{FF2B5EF4-FFF2-40B4-BE49-F238E27FC236}">
                <a16:creationId xmlns:a16="http://schemas.microsoft.com/office/drawing/2014/main" id="{622415CD-23D4-F501-1590-073C1BB56F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0" name="Straight Connector 3">
            <a:extLst>
              <a:ext uri="{FF2B5EF4-FFF2-40B4-BE49-F238E27FC236}">
                <a16:creationId xmlns:a16="http://schemas.microsoft.com/office/drawing/2014/main" id="{49AE9EEE-5610-91F7-9ECF-250522F0553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7">
            <a:extLst>
              <a:ext uri="{FF2B5EF4-FFF2-40B4-BE49-F238E27FC236}">
                <a16:creationId xmlns:a16="http://schemas.microsoft.com/office/drawing/2014/main" id="{D565D8A9-A0EE-61EC-E14C-1FCB2DEFDA4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142875</xdr:colOff>
      <xdr:row>50</xdr:row>
      <xdr:rowOff>9525</xdr:rowOff>
    </xdr:from>
    <xdr:to>
      <xdr:col>5</xdr:col>
      <xdr:colOff>287427</xdr:colOff>
      <xdr:row>51</xdr:row>
      <xdr:rowOff>5958</xdr:rowOff>
    </xdr:to>
    <xdr:grpSp>
      <xdr:nvGrpSpPr>
        <xdr:cNvPr id="382" name="Group 13">
          <a:extLst>
            <a:ext uri="{FF2B5EF4-FFF2-40B4-BE49-F238E27FC236}">
              <a16:creationId xmlns:a16="http://schemas.microsoft.com/office/drawing/2014/main" id="{7F03D919-8338-4B75-A88A-C95F13BC144A}"/>
            </a:ext>
          </a:extLst>
        </xdr:cNvPr>
        <xdr:cNvGrpSpPr/>
      </xdr:nvGrpSpPr>
      <xdr:grpSpPr>
        <a:xfrm>
          <a:off x="1590675" y="7667625"/>
          <a:ext cx="144552" cy="148833"/>
          <a:chOff x="9937028" y="802652"/>
          <a:chExt cx="83991" cy="77961"/>
        </a:xfrm>
      </xdr:grpSpPr>
      <xdr:sp macro="" textlink="">
        <xdr:nvSpPr>
          <xdr:cNvPr id="383" name="Oval 1">
            <a:extLst>
              <a:ext uri="{FF2B5EF4-FFF2-40B4-BE49-F238E27FC236}">
                <a16:creationId xmlns:a16="http://schemas.microsoft.com/office/drawing/2014/main" id="{F1CFB44B-BF20-3254-4045-0D2FA70E8F3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4" name="Straight Connector 3">
            <a:extLst>
              <a:ext uri="{FF2B5EF4-FFF2-40B4-BE49-F238E27FC236}">
                <a16:creationId xmlns:a16="http://schemas.microsoft.com/office/drawing/2014/main" id="{983A9BC7-14F5-70B0-9586-12A41E4AA2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7">
            <a:extLst>
              <a:ext uri="{FF2B5EF4-FFF2-40B4-BE49-F238E27FC236}">
                <a16:creationId xmlns:a16="http://schemas.microsoft.com/office/drawing/2014/main" id="{435EAE91-0B9E-C120-5D97-6E14EF26BF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95250</xdr:colOff>
      <xdr:row>35</xdr:row>
      <xdr:rowOff>28575</xdr:rowOff>
    </xdr:from>
    <xdr:to>
      <xdr:col>5</xdr:col>
      <xdr:colOff>314325</xdr:colOff>
      <xdr:row>52</xdr:row>
      <xdr:rowOff>133350</xdr:rowOff>
    </xdr:to>
    <xdr:cxnSp macro="">
      <xdr:nvCxnSpPr>
        <xdr:cNvPr id="387" name="Straight Connector 140">
          <a:extLst>
            <a:ext uri="{FF2B5EF4-FFF2-40B4-BE49-F238E27FC236}">
              <a16:creationId xmlns:a16="http://schemas.microsoft.com/office/drawing/2014/main" id="{13ACE403-E575-4CD4-A9E4-2DFC4A5CB5AD}"/>
            </a:ext>
          </a:extLst>
        </xdr:cNvPr>
        <xdr:cNvCxnSpPr>
          <a:cxnSpLocks/>
        </xdr:cNvCxnSpPr>
      </xdr:nvCxnSpPr>
      <xdr:spPr bwMode="auto">
        <a:xfrm flipH="1" flipV="1">
          <a:off x="1543050" y="5381625"/>
          <a:ext cx="219075" cy="2714625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295750</xdr:colOff>
      <xdr:row>32</xdr:row>
      <xdr:rowOff>85250</xdr:rowOff>
    </xdr:from>
    <xdr:to>
      <xdr:col>4</xdr:col>
      <xdr:colOff>378621</xdr:colOff>
      <xdr:row>33</xdr:row>
      <xdr:rowOff>16672</xdr:rowOff>
    </xdr:to>
    <xdr:grpSp>
      <xdr:nvGrpSpPr>
        <xdr:cNvPr id="389" name="Group 73">
          <a:extLst>
            <a:ext uri="{FF2B5EF4-FFF2-40B4-BE49-F238E27FC236}">
              <a16:creationId xmlns:a16="http://schemas.microsoft.com/office/drawing/2014/main" id="{0879B283-6CC0-4F1D-9B8B-8C2E2F57BAED}"/>
            </a:ext>
          </a:extLst>
        </xdr:cNvPr>
        <xdr:cNvGrpSpPr/>
      </xdr:nvGrpSpPr>
      <xdr:grpSpPr>
        <a:xfrm rot="4850850">
          <a:off x="1362075" y="4981575"/>
          <a:ext cx="83822" cy="82871"/>
          <a:chOff x="12175074" y="2285812"/>
          <a:chExt cx="107252" cy="65186"/>
        </a:xfrm>
      </xdr:grpSpPr>
      <xdr:cxnSp macro="">
        <xdr:nvCxnSpPr>
          <xdr:cNvPr id="390" name="Straight Connector 74">
            <a:extLst>
              <a:ext uri="{FF2B5EF4-FFF2-40B4-BE49-F238E27FC236}">
                <a16:creationId xmlns:a16="http://schemas.microsoft.com/office/drawing/2014/main" id="{53DD28AC-A5E4-F76F-B922-3E409A4CA1B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75">
            <a:extLst>
              <a:ext uri="{FF2B5EF4-FFF2-40B4-BE49-F238E27FC236}">
                <a16:creationId xmlns:a16="http://schemas.microsoft.com/office/drawing/2014/main" id="{A3E94615-F397-BFDA-BCE2-7E382919E74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76">
            <a:extLst>
              <a:ext uri="{FF2B5EF4-FFF2-40B4-BE49-F238E27FC236}">
                <a16:creationId xmlns:a16="http://schemas.microsoft.com/office/drawing/2014/main" id="{DB4D702D-1845-33A2-7CAE-6D7886002FC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362425</xdr:colOff>
      <xdr:row>37</xdr:row>
      <xdr:rowOff>28100</xdr:rowOff>
    </xdr:from>
    <xdr:to>
      <xdr:col>5</xdr:col>
      <xdr:colOff>64296</xdr:colOff>
      <xdr:row>37</xdr:row>
      <xdr:rowOff>111922</xdr:rowOff>
    </xdr:to>
    <xdr:grpSp>
      <xdr:nvGrpSpPr>
        <xdr:cNvPr id="393" name="Group 73">
          <a:extLst>
            <a:ext uri="{FF2B5EF4-FFF2-40B4-BE49-F238E27FC236}">
              <a16:creationId xmlns:a16="http://schemas.microsoft.com/office/drawing/2014/main" id="{0A7FF149-FDED-4C61-9612-9905B98FA3F3}"/>
            </a:ext>
          </a:extLst>
        </xdr:cNvPr>
        <xdr:cNvGrpSpPr/>
      </xdr:nvGrpSpPr>
      <xdr:grpSpPr>
        <a:xfrm rot="4453068">
          <a:off x="1428750" y="5695950"/>
          <a:ext cx="83822" cy="82871"/>
          <a:chOff x="12175074" y="2285812"/>
          <a:chExt cx="107252" cy="65186"/>
        </a:xfrm>
      </xdr:grpSpPr>
      <xdr:cxnSp macro="">
        <xdr:nvCxnSpPr>
          <xdr:cNvPr id="394" name="Straight Connector 74">
            <a:extLst>
              <a:ext uri="{FF2B5EF4-FFF2-40B4-BE49-F238E27FC236}">
                <a16:creationId xmlns:a16="http://schemas.microsoft.com/office/drawing/2014/main" id="{B886EE32-CA2A-E25A-E09A-C705C571291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Connector 75">
            <a:extLst>
              <a:ext uri="{FF2B5EF4-FFF2-40B4-BE49-F238E27FC236}">
                <a16:creationId xmlns:a16="http://schemas.microsoft.com/office/drawing/2014/main" id="{845BBAE3-A47E-1F64-6349-2EAFCDC727F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Connector 76">
            <a:extLst>
              <a:ext uri="{FF2B5EF4-FFF2-40B4-BE49-F238E27FC236}">
                <a16:creationId xmlns:a16="http://schemas.microsoft.com/office/drawing/2014/main" id="{0E368DA6-ECCD-18A5-33CD-4E1B6DC08D4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19526</xdr:colOff>
      <xdr:row>42</xdr:row>
      <xdr:rowOff>37625</xdr:rowOff>
    </xdr:from>
    <xdr:to>
      <xdr:col>5</xdr:col>
      <xdr:colOff>102397</xdr:colOff>
      <xdr:row>42</xdr:row>
      <xdr:rowOff>121447</xdr:rowOff>
    </xdr:to>
    <xdr:grpSp>
      <xdr:nvGrpSpPr>
        <xdr:cNvPr id="397" name="Group 73">
          <a:extLst>
            <a:ext uri="{FF2B5EF4-FFF2-40B4-BE49-F238E27FC236}">
              <a16:creationId xmlns:a16="http://schemas.microsoft.com/office/drawing/2014/main" id="{AD96E230-9849-4829-9EAC-695AB3737A70}"/>
            </a:ext>
          </a:extLst>
        </xdr:cNvPr>
        <xdr:cNvGrpSpPr/>
      </xdr:nvGrpSpPr>
      <xdr:grpSpPr>
        <a:xfrm rot="4884336">
          <a:off x="1466851" y="6477000"/>
          <a:ext cx="83822" cy="82871"/>
          <a:chOff x="12175074" y="2285812"/>
          <a:chExt cx="107252" cy="65186"/>
        </a:xfrm>
      </xdr:grpSpPr>
      <xdr:cxnSp macro="">
        <xdr:nvCxnSpPr>
          <xdr:cNvPr id="398" name="Straight Connector 74">
            <a:extLst>
              <a:ext uri="{FF2B5EF4-FFF2-40B4-BE49-F238E27FC236}">
                <a16:creationId xmlns:a16="http://schemas.microsoft.com/office/drawing/2014/main" id="{D91C82B1-99D0-7266-2768-800CB10CAF5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75">
            <a:extLst>
              <a:ext uri="{FF2B5EF4-FFF2-40B4-BE49-F238E27FC236}">
                <a16:creationId xmlns:a16="http://schemas.microsoft.com/office/drawing/2014/main" id="{1A1BBAAF-3E71-CCBC-3BEB-DCA7298B528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76">
            <a:extLst>
              <a:ext uri="{FF2B5EF4-FFF2-40B4-BE49-F238E27FC236}">
                <a16:creationId xmlns:a16="http://schemas.microsoft.com/office/drawing/2014/main" id="{1A9908F6-6AEC-FE1A-224A-02B704706E7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67150</xdr:colOff>
      <xdr:row>47</xdr:row>
      <xdr:rowOff>75724</xdr:rowOff>
    </xdr:from>
    <xdr:to>
      <xdr:col>5</xdr:col>
      <xdr:colOff>150021</xdr:colOff>
      <xdr:row>48</xdr:row>
      <xdr:rowOff>7146</xdr:rowOff>
    </xdr:to>
    <xdr:grpSp>
      <xdr:nvGrpSpPr>
        <xdr:cNvPr id="401" name="Group 73">
          <a:extLst>
            <a:ext uri="{FF2B5EF4-FFF2-40B4-BE49-F238E27FC236}">
              <a16:creationId xmlns:a16="http://schemas.microsoft.com/office/drawing/2014/main" id="{37EE34CB-FE85-440C-83B8-B619D8D1B739}"/>
            </a:ext>
          </a:extLst>
        </xdr:cNvPr>
        <xdr:cNvGrpSpPr/>
      </xdr:nvGrpSpPr>
      <xdr:grpSpPr>
        <a:xfrm rot="4458924">
          <a:off x="1514475" y="7277099"/>
          <a:ext cx="83822" cy="82871"/>
          <a:chOff x="12175074" y="2285812"/>
          <a:chExt cx="107252" cy="65186"/>
        </a:xfrm>
      </xdr:grpSpPr>
      <xdr:cxnSp macro="">
        <xdr:nvCxnSpPr>
          <xdr:cNvPr id="402" name="Straight Connector 74">
            <a:extLst>
              <a:ext uri="{FF2B5EF4-FFF2-40B4-BE49-F238E27FC236}">
                <a16:creationId xmlns:a16="http://schemas.microsoft.com/office/drawing/2014/main" id="{783F57F5-D5D1-800B-4A29-D5F62CF1EAA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75">
            <a:extLst>
              <a:ext uri="{FF2B5EF4-FFF2-40B4-BE49-F238E27FC236}">
                <a16:creationId xmlns:a16="http://schemas.microsoft.com/office/drawing/2014/main" id="{63DF796E-6591-00DC-BD7E-F02DB8CEEF7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Straight Connector 76">
            <a:extLst>
              <a:ext uri="{FF2B5EF4-FFF2-40B4-BE49-F238E27FC236}">
                <a16:creationId xmlns:a16="http://schemas.microsoft.com/office/drawing/2014/main" id="{BD40BBA9-BD39-382F-8E80-847D41AA8B0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23</xdr:row>
      <xdr:rowOff>114300</xdr:rowOff>
    </xdr:from>
    <xdr:to>
      <xdr:col>4</xdr:col>
      <xdr:colOff>292421</xdr:colOff>
      <xdr:row>24</xdr:row>
      <xdr:rowOff>45722</xdr:rowOff>
    </xdr:to>
    <xdr:grpSp>
      <xdr:nvGrpSpPr>
        <xdr:cNvPr id="405" name="Group 73">
          <a:extLst>
            <a:ext uri="{FF2B5EF4-FFF2-40B4-BE49-F238E27FC236}">
              <a16:creationId xmlns:a16="http://schemas.microsoft.com/office/drawing/2014/main" id="{7E9D0B55-3458-4732-BDB2-E1DC86D6284C}"/>
            </a:ext>
          </a:extLst>
        </xdr:cNvPr>
        <xdr:cNvGrpSpPr/>
      </xdr:nvGrpSpPr>
      <xdr:grpSpPr>
        <a:xfrm rot="3960287">
          <a:off x="1275875" y="3648550"/>
          <a:ext cx="83822" cy="82871"/>
          <a:chOff x="12175074" y="2285812"/>
          <a:chExt cx="107252" cy="65186"/>
        </a:xfrm>
      </xdr:grpSpPr>
      <xdr:cxnSp macro="">
        <xdr:nvCxnSpPr>
          <xdr:cNvPr id="406" name="Straight Connector 74">
            <a:extLst>
              <a:ext uri="{FF2B5EF4-FFF2-40B4-BE49-F238E27FC236}">
                <a16:creationId xmlns:a16="http://schemas.microsoft.com/office/drawing/2014/main" id="{62D1417E-1C56-3DBD-06F7-1E7B3501D33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75">
            <a:extLst>
              <a:ext uri="{FF2B5EF4-FFF2-40B4-BE49-F238E27FC236}">
                <a16:creationId xmlns:a16="http://schemas.microsoft.com/office/drawing/2014/main" id="{58C062C3-3BFD-9D6B-48C5-956BFAD6F2E9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8" name="Straight Connector 76">
            <a:extLst>
              <a:ext uri="{FF2B5EF4-FFF2-40B4-BE49-F238E27FC236}">
                <a16:creationId xmlns:a16="http://schemas.microsoft.com/office/drawing/2014/main" id="{1F2F42E9-D0D6-217B-73ED-6461BA8CA1A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180973</xdr:colOff>
      <xdr:row>20</xdr:row>
      <xdr:rowOff>114301</xdr:rowOff>
    </xdr:from>
    <xdr:to>
      <xdr:col>4</xdr:col>
      <xdr:colOff>263844</xdr:colOff>
      <xdr:row>21</xdr:row>
      <xdr:rowOff>45723</xdr:rowOff>
    </xdr:to>
    <xdr:grpSp>
      <xdr:nvGrpSpPr>
        <xdr:cNvPr id="409" name="Group 73">
          <a:extLst>
            <a:ext uri="{FF2B5EF4-FFF2-40B4-BE49-F238E27FC236}">
              <a16:creationId xmlns:a16="http://schemas.microsoft.com/office/drawing/2014/main" id="{F00A8084-4EAC-4EAC-9938-59E31A71C2D2}"/>
            </a:ext>
          </a:extLst>
        </xdr:cNvPr>
        <xdr:cNvGrpSpPr/>
      </xdr:nvGrpSpPr>
      <xdr:grpSpPr>
        <a:xfrm rot="3960287">
          <a:off x="1247298" y="3191351"/>
          <a:ext cx="83822" cy="82871"/>
          <a:chOff x="12175074" y="2285812"/>
          <a:chExt cx="107252" cy="65186"/>
        </a:xfrm>
      </xdr:grpSpPr>
      <xdr:cxnSp macro="">
        <xdr:nvCxnSpPr>
          <xdr:cNvPr id="410" name="Straight Connector 74">
            <a:extLst>
              <a:ext uri="{FF2B5EF4-FFF2-40B4-BE49-F238E27FC236}">
                <a16:creationId xmlns:a16="http://schemas.microsoft.com/office/drawing/2014/main" id="{61CFE511-22DF-A975-AAE1-2DC3E804457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Connector 75">
            <a:extLst>
              <a:ext uri="{FF2B5EF4-FFF2-40B4-BE49-F238E27FC236}">
                <a16:creationId xmlns:a16="http://schemas.microsoft.com/office/drawing/2014/main" id="{237A1313-D6FE-4A4F-C6C7-0C386F49ABA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Straight Connector 76">
            <a:extLst>
              <a:ext uri="{FF2B5EF4-FFF2-40B4-BE49-F238E27FC236}">
                <a16:creationId xmlns:a16="http://schemas.microsoft.com/office/drawing/2014/main" id="{73CC8D72-BC87-2B7D-9D00-EEC2938466D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33</xdr:row>
      <xdr:rowOff>19050</xdr:rowOff>
    </xdr:from>
    <xdr:to>
      <xdr:col>5</xdr:col>
      <xdr:colOff>108907</xdr:colOff>
      <xdr:row>33</xdr:row>
      <xdr:rowOff>150699</xdr:rowOff>
    </xdr:to>
    <xdr:grpSp>
      <xdr:nvGrpSpPr>
        <xdr:cNvPr id="413" name="Group 13">
          <a:extLst>
            <a:ext uri="{FF2B5EF4-FFF2-40B4-BE49-F238E27FC236}">
              <a16:creationId xmlns:a16="http://schemas.microsoft.com/office/drawing/2014/main" id="{BF9CA011-5156-490E-B311-55BD2CAD4D88}"/>
            </a:ext>
          </a:extLst>
        </xdr:cNvPr>
        <xdr:cNvGrpSpPr/>
      </xdr:nvGrpSpPr>
      <xdr:grpSpPr>
        <a:xfrm>
          <a:off x="1409700" y="5067300"/>
          <a:ext cx="147007" cy="131649"/>
          <a:chOff x="9937028" y="802652"/>
          <a:chExt cx="83991" cy="77961"/>
        </a:xfrm>
      </xdr:grpSpPr>
      <xdr:sp macro="" textlink="">
        <xdr:nvSpPr>
          <xdr:cNvPr id="414" name="Oval 1">
            <a:extLst>
              <a:ext uri="{FF2B5EF4-FFF2-40B4-BE49-F238E27FC236}">
                <a16:creationId xmlns:a16="http://schemas.microsoft.com/office/drawing/2014/main" id="{360C1EEE-FDCD-F7DB-C8A3-3B03B31945D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5" name="Straight Connector 3">
            <a:extLst>
              <a:ext uri="{FF2B5EF4-FFF2-40B4-BE49-F238E27FC236}">
                <a16:creationId xmlns:a16="http://schemas.microsoft.com/office/drawing/2014/main" id="{D9375C84-2B82-F7D2-D242-3916566FA5D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6" name="Straight Connector 7">
            <a:extLst>
              <a:ext uri="{FF2B5EF4-FFF2-40B4-BE49-F238E27FC236}">
                <a16:creationId xmlns:a16="http://schemas.microsoft.com/office/drawing/2014/main" id="{731D7033-15F3-EAF0-64BD-F024D177B3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28575</xdr:colOff>
      <xdr:row>31</xdr:row>
      <xdr:rowOff>133349</xdr:rowOff>
    </xdr:from>
    <xdr:to>
      <xdr:col>10</xdr:col>
      <xdr:colOff>209550</xdr:colOff>
      <xdr:row>41</xdr:row>
      <xdr:rowOff>0</xdr:rowOff>
    </xdr:to>
    <xdr:sp macro="" textlink="">
      <xdr:nvSpPr>
        <xdr:cNvPr id="417" name="TextBox 157">
          <a:extLst>
            <a:ext uri="{FF2B5EF4-FFF2-40B4-BE49-F238E27FC236}">
              <a16:creationId xmlns:a16="http://schemas.microsoft.com/office/drawing/2014/main" id="{64933897-D8AF-423A-A390-10FFB8C2D0AD}"/>
            </a:ext>
          </a:extLst>
        </xdr:cNvPr>
        <xdr:cNvSpPr txBox="1"/>
      </xdr:nvSpPr>
      <xdr:spPr>
        <a:xfrm>
          <a:off x="2619375" y="4876799"/>
          <a:ext cx="942975" cy="140970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K2-573/29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276225</xdr:colOff>
      <xdr:row>26</xdr:row>
      <xdr:rowOff>57150</xdr:rowOff>
    </xdr:from>
    <xdr:to>
      <xdr:col>5</xdr:col>
      <xdr:colOff>42232</xdr:colOff>
      <xdr:row>27</xdr:row>
      <xdr:rowOff>36399</xdr:rowOff>
    </xdr:to>
    <xdr:grpSp>
      <xdr:nvGrpSpPr>
        <xdr:cNvPr id="418" name="Group 13">
          <a:extLst>
            <a:ext uri="{FF2B5EF4-FFF2-40B4-BE49-F238E27FC236}">
              <a16:creationId xmlns:a16="http://schemas.microsoft.com/office/drawing/2014/main" id="{C5DEBC02-C52D-49A1-AB47-3BFA962B1784}"/>
            </a:ext>
          </a:extLst>
        </xdr:cNvPr>
        <xdr:cNvGrpSpPr/>
      </xdr:nvGrpSpPr>
      <xdr:grpSpPr>
        <a:xfrm>
          <a:off x="1343025" y="4048125"/>
          <a:ext cx="147007" cy="131649"/>
          <a:chOff x="9937028" y="802652"/>
          <a:chExt cx="83991" cy="77961"/>
        </a:xfrm>
      </xdr:grpSpPr>
      <xdr:sp macro="" textlink="">
        <xdr:nvSpPr>
          <xdr:cNvPr id="419" name="Oval 1">
            <a:extLst>
              <a:ext uri="{FF2B5EF4-FFF2-40B4-BE49-F238E27FC236}">
                <a16:creationId xmlns:a16="http://schemas.microsoft.com/office/drawing/2014/main" id="{8CCA5235-8D71-519A-1B17-B8198BAF04A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0" name="Straight Connector 3">
            <a:extLst>
              <a:ext uri="{FF2B5EF4-FFF2-40B4-BE49-F238E27FC236}">
                <a16:creationId xmlns:a16="http://schemas.microsoft.com/office/drawing/2014/main" id="{3DDFEBEE-7850-C391-4BDA-BFF354610DD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1" name="Straight Connector 7">
            <a:extLst>
              <a:ext uri="{FF2B5EF4-FFF2-40B4-BE49-F238E27FC236}">
                <a16:creationId xmlns:a16="http://schemas.microsoft.com/office/drawing/2014/main" id="{6B2DE789-590D-64B0-A66B-AC573BC6ABB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21</xdr:row>
      <xdr:rowOff>9525</xdr:rowOff>
    </xdr:from>
    <xdr:to>
      <xdr:col>6</xdr:col>
      <xdr:colOff>321880</xdr:colOff>
      <xdr:row>26</xdr:row>
      <xdr:rowOff>28575</xdr:rowOff>
    </xdr:to>
    <xdr:sp macro="" textlink="">
      <xdr:nvSpPr>
        <xdr:cNvPr id="422" name="TextBox 157">
          <a:extLst>
            <a:ext uri="{FF2B5EF4-FFF2-40B4-BE49-F238E27FC236}">
              <a16:creationId xmlns:a16="http://schemas.microsoft.com/office/drawing/2014/main" id="{E5F4ACE0-1BF4-48D0-A92B-9C2D1FEE3E5E}"/>
            </a:ext>
          </a:extLst>
        </xdr:cNvPr>
        <xdr:cNvSpPr txBox="1"/>
      </xdr:nvSpPr>
      <xdr:spPr>
        <a:xfrm>
          <a:off x="1524000" y="3238500"/>
          <a:ext cx="626680" cy="7810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K2-573/27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238125</xdr:colOff>
      <xdr:row>22</xdr:row>
      <xdr:rowOff>85725</xdr:rowOff>
    </xdr:from>
    <xdr:to>
      <xdr:col>5</xdr:col>
      <xdr:colOff>4132</xdr:colOff>
      <xdr:row>23</xdr:row>
      <xdr:rowOff>64974</xdr:rowOff>
    </xdr:to>
    <xdr:grpSp>
      <xdr:nvGrpSpPr>
        <xdr:cNvPr id="423" name="Group 13">
          <a:extLst>
            <a:ext uri="{FF2B5EF4-FFF2-40B4-BE49-F238E27FC236}">
              <a16:creationId xmlns:a16="http://schemas.microsoft.com/office/drawing/2014/main" id="{246E6277-0ADA-4A16-AB21-944E50A88402}"/>
            </a:ext>
          </a:extLst>
        </xdr:cNvPr>
        <xdr:cNvGrpSpPr/>
      </xdr:nvGrpSpPr>
      <xdr:grpSpPr>
        <a:xfrm>
          <a:off x="1304925" y="3467100"/>
          <a:ext cx="147007" cy="131649"/>
          <a:chOff x="9937028" y="802652"/>
          <a:chExt cx="83991" cy="77961"/>
        </a:xfrm>
      </xdr:grpSpPr>
      <xdr:sp macro="" textlink="">
        <xdr:nvSpPr>
          <xdr:cNvPr id="424" name="Oval 1">
            <a:extLst>
              <a:ext uri="{FF2B5EF4-FFF2-40B4-BE49-F238E27FC236}">
                <a16:creationId xmlns:a16="http://schemas.microsoft.com/office/drawing/2014/main" id="{713E00F9-1A01-4EE2-A3DC-D49FF538E58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5" name="Straight Connector 3">
            <a:extLst>
              <a:ext uri="{FF2B5EF4-FFF2-40B4-BE49-F238E27FC236}">
                <a16:creationId xmlns:a16="http://schemas.microsoft.com/office/drawing/2014/main" id="{27D9AC76-8F11-9DB1-1E67-2C3FF880D6B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6" name="Straight Connector 7">
            <a:extLst>
              <a:ext uri="{FF2B5EF4-FFF2-40B4-BE49-F238E27FC236}">
                <a16:creationId xmlns:a16="http://schemas.microsoft.com/office/drawing/2014/main" id="{5251B08F-2418-C686-DDF0-3F3C6AB832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352425</xdr:colOff>
      <xdr:row>26</xdr:row>
      <xdr:rowOff>0</xdr:rowOff>
    </xdr:from>
    <xdr:to>
      <xdr:col>8</xdr:col>
      <xdr:colOff>218761</xdr:colOff>
      <xdr:row>30</xdr:row>
      <xdr:rowOff>65018</xdr:rowOff>
    </xdr:to>
    <xdr:sp macro="" textlink="">
      <xdr:nvSpPr>
        <xdr:cNvPr id="427" name="TextBox 157">
          <a:extLst>
            <a:ext uri="{FF2B5EF4-FFF2-40B4-BE49-F238E27FC236}">
              <a16:creationId xmlns:a16="http://schemas.microsoft.com/office/drawing/2014/main" id="{9ECE6030-39E3-460A-B429-CF8BF1F46847}"/>
            </a:ext>
          </a:extLst>
        </xdr:cNvPr>
        <xdr:cNvSpPr txBox="1"/>
      </xdr:nvSpPr>
      <xdr:spPr>
        <a:xfrm>
          <a:off x="2181225" y="3990975"/>
          <a:ext cx="628336" cy="66509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K2-573/26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19050</xdr:colOff>
      <xdr:row>16</xdr:row>
      <xdr:rowOff>95250</xdr:rowOff>
    </xdr:from>
    <xdr:to>
      <xdr:col>6</xdr:col>
      <xdr:colOff>264730</xdr:colOff>
      <xdr:row>20</xdr:row>
      <xdr:rowOff>133350</xdr:rowOff>
    </xdr:to>
    <xdr:sp macro="" textlink="">
      <xdr:nvSpPr>
        <xdr:cNvPr id="428" name="TextBox 157">
          <a:extLst>
            <a:ext uri="{FF2B5EF4-FFF2-40B4-BE49-F238E27FC236}">
              <a16:creationId xmlns:a16="http://schemas.microsoft.com/office/drawing/2014/main" id="{5015BBD5-3834-4AE9-9FA2-799590BE00D6}"/>
            </a:ext>
          </a:extLst>
        </xdr:cNvPr>
        <xdr:cNvSpPr txBox="1"/>
      </xdr:nvSpPr>
      <xdr:spPr>
        <a:xfrm>
          <a:off x="1466850" y="2562225"/>
          <a:ext cx="626680" cy="6477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K2-573/25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209550</xdr:colOff>
      <xdr:row>19</xdr:row>
      <xdr:rowOff>76200</xdr:rowOff>
    </xdr:from>
    <xdr:to>
      <xdr:col>4</xdr:col>
      <xdr:colOff>356557</xdr:colOff>
      <xdr:row>20</xdr:row>
      <xdr:rowOff>55449</xdr:rowOff>
    </xdr:to>
    <xdr:grpSp>
      <xdr:nvGrpSpPr>
        <xdr:cNvPr id="430" name="Group 13">
          <a:extLst>
            <a:ext uri="{FF2B5EF4-FFF2-40B4-BE49-F238E27FC236}">
              <a16:creationId xmlns:a16="http://schemas.microsoft.com/office/drawing/2014/main" id="{B9538B66-030D-450C-8FA8-983D8AE69B53}"/>
            </a:ext>
          </a:extLst>
        </xdr:cNvPr>
        <xdr:cNvGrpSpPr/>
      </xdr:nvGrpSpPr>
      <xdr:grpSpPr>
        <a:xfrm>
          <a:off x="1276350" y="3000375"/>
          <a:ext cx="147007" cy="131649"/>
          <a:chOff x="9937028" y="802652"/>
          <a:chExt cx="83991" cy="77961"/>
        </a:xfrm>
      </xdr:grpSpPr>
      <xdr:sp macro="" textlink="">
        <xdr:nvSpPr>
          <xdr:cNvPr id="431" name="Oval 1">
            <a:extLst>
              <a:ext uri="{FF2B5EF4-FFF2-40B4-BE49-F238E27FC236}">
                <a16:creationId xmlns:a16="http://schemas.microsoft.com/office/drawing/2014/main" id="{45BC644C-3594-D8DB-F410-B1D1CFC5BE8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32" name="Straight Connector 3">
            <a:extLst>
              <a:ext uri="{FF2B5EF4-FFF2-40B4-BE49-F238E27FC236}">
                <a16:creationId xmlns:a16="http://schemas.microsoft.com/office/drawing/2014/main" id="{AE7063EB-45C5-0DCE-CE91-8A617F1E6BA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3" name="Straight Connector 7">
            <a:extLst>
              <a:ext uri="{FF2B5EF4-FFF2-40B4-BE49-F238E27FC236}">
                <a16:creationId xmlns:a16="http://schemas.microsoft.com/office/drawing/2014/main" id="{7F01BF63-B0D6-BBD1-263C-0D6890A84DF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</xdr:colOff>
      <xdr:row>32</xdr:row>
      <xdr:rowOff>28575</xdr:rowOff>
    </xdr:from>
    <xdr:to>
      <xdr:col>5</xdr:col>
      <xdr:colOff>297678</xdr:colOff>
      <xdr:row>32</xdr:row>
      <xdr:rowOff>131085</xdr:rowOff>
    </xdr:to>
    <xdr:grpSp>
      <xdr:nvGrpSpPr>
        <xdr:cNvPr id="434" name="Group 134">
          <a:extLst>
            <a:ext uri="{FF2B5EF4-FFF2-40B4-BE49-F238E27FC236}">
              <a16:creationId xmlns:a16="http://schemas.microsoft.com/office/drawing/2014/main" id="{6290BED1-5E6D-4D4D-BDEF-82B107042E0F}"/>
            </a:ext>
          </a:extLst>
        </xdr:cNvPr>
        <xdr:cNvGrpSpPr/>
      </xdr:nvGrpSpPr>
      <xdr:grpSpPr>
        <a:xfrm>
          <a:off x="1514475" y="4924425"/>
          <a:ext cx="231003" cy="102510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435" name="Isosceles Triangle 118">
            <a:extLst>
              <a:ext uri="{FF2B5EF4-FFF2-40B4-BE49-F238E27FC236}">
                <a16:creationId xmlns:a16="http://schemas.microsoft.com/office/drawing/2014/main" id="{4F51B878-74B9-2BD6-C969-9FED4162EB9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36" name="Isosceles Triangle 119">
            <a:extLst>
              <a:ext uri="{FF2B5EF4-FFF2-40B4-BE49-F238E27FC236}">
                <a16:creationId xmlns:a16="http://schemas.microsoft.com/office/drawing/2014/main" id="{87AB57E6-0B21-6A81-21F7-0369E9A962DB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37" name="Isosceles Triangle 120">
            <a:extLst>
              <a:ext uri="{FF2B5EF4-FFF2-40B4-BE49-F238E27FC236}">
                <a16:creationId xmlns:a16="http://schemas.microsoft.com/office/drawing/2014/main" id="{E757C06C-CD69-E9D1-1832-1124104BE41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371475</xdr:colOff>
      <xdr:row>31</xdr:row>
      <xdr:rowOff>0</xdr:rowOff>
    </xdr:from>
    <xdr:to>
      <xdr:col>6</xdr:col>
      <xdr:colOff>76200</xdr:colOff>
      <xdr:row>32</xdr:row>
      <xdr:rowOff>19050</xdr:rowOff>
    </xdr:to>
    <xdr:sp macro="" textlink="">
      <xdr:nvSpPr>
        <xdr:cNvPr id="438" name="TextBox 160">
          <a:extLst>
            <a:ext uri="{FF2B5EF4-FFF2-40B4-BE49-F238E27FC236}">
              <a16:creationId xmlns:a16="http://schemas.microsoft.com/office/drawing/2014/main" id="{E858B94A-D766-4140-8C9F-E3D84D5CA818}"/>
            </a:ext>
          </a:extLst>
        </xdr:cNvPr>
        <xdr:cNvSpPr txBox="1"/>
      </xdr:nvSpPr>
      <xdr:spPr>
        <a:xfrm>
          <a:off x="1438275" y="4743450"/>
          <a:ext cx="466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114300</xdr:colOff>
      <xdr:row>48</xdr:row>
      <xdr:rowOff>9525</xdr:rowOff>
    </xdr:from>
    <xdr:to>
      <xdr:col>8</xdr:col>
      <xdr:colOff>158496</xdr:colOff>
      <xdr:row>52</xdr:row>
      <xdr:rowOff>75819</xdr:rowOff>
    </xdr:to>
    <xdr:sp macro="" textlink="">
      <xdr:nvSpPr>
        <xdr:cNvPr id="439" name="Rectangle 438">
          <a:extLst>
            <a:ext uri="{FF2B5EF4-FFF2-40B4-BE49-F238E27FC236}">
              <a16:creationId xmlns:a16="http://schemas.microsoft.com/office/drawing/2014/main" id="{4D89576A-667A-40C1-9124-6BDE5185C5C9}"/>
            </a:ext>
          </a:extLst>
        </xdr:cNvPr>
        <xdr:cNvSpPr/>
      </xdr:nvSpPr>
      <xdr:spPr>
        <a:xfrm rot="5400000">
          <a:off x="2198751" y="7488174"/>
          <a:ext cx="675894" cy="425196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47625</xdr:colOff>
      <xdr:row>35</xdr:row>
      <xdr:rowOff>28575</xdr:rowOff>
    </xdr:from>
    <xdr:to>
      <xdr:col>5</xdr:col>
      <xdr:colOff>215151</xdr:colOff>
      <xdr:row>50</xdr:row>
      <xdr:rowOff>9525</xdr:rowOff>
    </xdr:to>
    <xdr:cxnSp macro="">
      <xdr:nvCxnSpPr>
        <xdr:cNvPr id="440" name="Straight Connector 439">
          <a:extLst>
            <a:ext uri="{FF2B5EF4-FFF2-40B4-BE49-F238E27FC236}">
              <a16:creationId xmlns:a16="http://schemas.microsoft.com/office/drawing/2014/main" id="{0A75C1FA-CCAE-4A38-85DB-FD0AC3BCD4C6}"/>
            </a:ext>
          </a:extLst>
        </xdr:cNvPr>
        <xdr:cNvCxnSpPr>
          <a:cxnSpLocks/>
          <a:endCxn id="383" idx="0"/>
        </xdr:cNvCxnSpPr>
      </xdr:nvCxnSpPr>
      <xdr:spPr bwMode="auto">
        <a:xfrm>
          <a:off x="1495425" y="5381625"/>
          <a:ext cx="167526" cy="22860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37</xdr:row>
      <xdr:rowOff>123825</xdr:rowOff>
    </xdr:from>
    <xdr:to>
      <xdr:col>5</xdr:col>
      <xdr:colOff>148660</xdr:colOff>
      <xdr:row>38</xdr:row>
      <xdr:rowOff>28658</xdr:rowOff>
    </xdr:to>
    <xdr:grpSp>
      <xdr:nvGrpSpPr>
        <xdr:cNvPr id="442" name="Grup 244">
          <a:extLst>
            <a:ext uri="{FF2B5EF4-FFF2-40B4-BE49-F238E27FC236}">
              <a16:creationId xmlns:a16="http://schemas.microsoft.com/office/drawing/2014/main" id="{833149BA-58DE-4B18-A6CD-1DA9195D12D4}"/>
            </a:ext>
          </a:extLst>
        </xdr:cNvPr>
        <xdr:cNvGrpSpPr/>
      </xdr:nvGrpSpPr>
      <xdr:grpSpPr>
        <a:xfrm>
          <a:off x="1457325" y="5791200"/>
          <a:ext cx="139135" cy="66758"/>
          <a:chOff x="13302191" y="2320613"/>
          <a:chExt cx="139135" cy="57233"/>
        </a:xfrm>
      </xdr:grpSpPr>
      <xdr:cxnSp macro="">
        <xdr:nvCxnSpPr>
          <xdr:cNvPr id="443" name="Straight Connector 81">
            <a:extLst>
              <a:ext uri="{FF2B5EF4-FFF2-40B4-BE49-F238E27FC236}">
                <a16:creationId xmlns:a16="http://schemas.microsoft.com/office/drawing/2014/main" id="{A9FEFED6-CBEE-B7FD-A8EE-A4249BF3074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82">
            <a:extLst>
              <a:ext uri="{FF2B5EF4-FFF2-40B4-BE49-F238E27FC236}">
                <a16:creationId xmlns:a16="http://schemas.microsoft.com/office/drawing/2014/main" id="{19B45EF6-AACA-CFDF-5356-70C8DF7DC93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83">
            <a:extLst>
              <a:ext uri="{FF2B5EF4-FFF2-40B4-BE49-F238E27FC236}">
                <a16:creationId xmlns:a16="http://schemas.microsoft.com/office/drawing/2014/main" id="{D8B9FDA1-2F48-65DF-6CB4-323AA72F6E4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84">
            <a:extLst>
              <a:ext uri="{FF2B5EF4-FFF2-40B4-BE49-F238E27FC236}">
                <a16:creationId xmlns:a16="http://schemas.microsoft.com/office/drawing/2014/main" id="{4F020C72-A475-1BD0-83F8-77B77F766E2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57150</xdr:colOff>
      <xdr:row>41</xdr:row>
      <xdr:rowOff>76200</xdr:rowOff>
    </xdr:from>
    <xdr:to>
      <xdr:col>5</xdr:col>
      <xdr:colOff>196285</xdr:colOff>
      <xdr:row>41</xdr:row>
      <xdr:rowOff>142958</xdr:rowOff>
    </xdr:to>
    <xdr:grpSp>
      <xdr:nvGrpSpPr>
        <xdr:cNvPr id="447" name="Grup 244">
          <a:extLst>
            <a:ext uri="{FF2B5EF4-FFF2-40B4-BE49-F238E27FC236}">
              <a16:creationId xmlns:a16="http://schemas.microsoft.com/office/drawing/2014/main" id="{C7E8824F-21D2-4F2A-9CE3-820BBED9768B}"/>
            </a:ext>
          </a:extLst>
        </xdr:cNvPr>
        <xdr:cNvGrpSpPr/>
      </xdr:nvGrpSpPr>
      <xdr:grpSpPr>
        <a:xfrm>
          <a:off x="1504950" y="6362700"/>
          <a:ext cx="139135" cy="66758"/>
          <a:chOff x="13302191" y="2320613"/>
          <a:chExt cx="139135" cy="57233"/>
        </a:xfrm>
      </xdr:grpSpPr>
      <xdr:cxnSp macro="">
        <xdr:nvCxnSpPr>
          <xdr:cNvPr id="448" name="Straight Connector 81">
            <a:extLst>
              <a:ext uri="{FF2B5EF4-FFF2-40B4-BE49-F238E27FC236}">
                <a16:creationId xmlns:a16="http://schemas.microsoft.com/office/drawing/2014/main" id="{C3A2AFE6-65C0-2AFF-8EAD-9484567727E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82">
            <a:extLst>
              <a:ext uri="{FF2B5EF4-FFF2-40B4-BE49-F238E27FC236}">
                <a16:creationId xmlns:a16="http://schemas.microsoft.com/office/drawing/2014/main" id="{A8566FF9-860A-D44A-0056-955294F8B23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83">
            <a:extLst>
              <a:ext uri="{FF2B5EF4-FFF2-40B4-BE49-F238E27FC236}">
                <a16:creationId xmlns:a16="http://schemas.microsoft.com/office/drawing/2014/main" id="{5420F6A5-1BFF-9D73-0976-549285E158E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84">
            <a:extLst>
              <a:ext uri="{FF2B5EF4-FFF2-40B4-BE49-F238E27FC236}">
                <a16:creationId xmlns:a16="http://schemas.microsoft.com/office/drawing/2014/main" id="{323E6572-14C5-0438-4ECB-7EE19CABA83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123825</xdr:colOff>
      <xdr:row>46</xdr:row>
      <xdr:rowOff>142875</xdr:rowOff>
    </xdr:from>
    <xdr:to>
      <xdr:col>5</xdr:col>
      <xdr:colOff>262960</xdr:colOff>
      <xdr:row>47</xdr:row>
      <xdr:rowOff>57233</xdr:rowOff>
    </xdr:to>
    <xdr:grpSp>
      <xdr:nvGrpSpPr>
        <xdr:cNvPr id="452" name="Grup 244">
          <a:extLst>
            <a:ext uri="{FF2B5EF4-FFF2-40B4-BE49-F238E27FC236}">
              <a16:creationId xmlns:a16="http://schemas.microsoft.com/office/drawing/2014/main" id="{5A7461AE-9DD7-4648-AE4E-66D5D4B1637C}"/>
            </a:ext>
          </a:extLst>
        </xdr:cNvPr>
        <xdr:cNvGrpSpPr/>
      </xdr:nvGrpSpPr>
      <xdr:grpSpPr>
        <a:xfrm>
          <a:off x="1571625" y="7191375"/>
          <a:ext cx="139135" cy="66758"/>
          <a:chOff x="13302191" y="2320613"/>
          <a:chExt cx="139135" cy="57233"/>
        </a:xfrm>
      </xdr:grpSpPr>
      <xdr:cxnSp macro="">
        <xdr:nvCxnSpPr>
          <xdr:cNvPr id="453" name="Straight Connector 81">
            <a:extLst>
              <a:ext uri="{FF2B5EF4-FFF2-40B4-BE49-F238E27FC236}">
                <a16:creationId xmlns:a16="http://schemas.microsoft.com/office/drawing/2014/main" id="{DBEAC46E-F8B3-54A3-538B-FB78939DC92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82">
            <a:extLst>
              <a:ext uri="{FF2B5EF4-FFF2-40B4-BE49-F238E27FC236}">
                <a16:creationId xmlns:a16="http://schemas.microsoft.com/office/drawing/2014/main" id="{9ECAD817-94B6-D3AA-CDCB-253C145E3C2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83">
            <a:extLst>
              <a:ext uri="{FF2B5EF4-FFF2-40B4-BE49-F238E27FC236}">
                <a16:creationId xmlns:a16="http://schemas.microsoft.com/office/drawing/2014/main" id="{EBA10478-F910-99AB-6D91-1F5E55F55FD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84">
            <a:extLst>
              <a:ext uri="{FF2B5EF4-FFF2-40B4-BE49-F238E27FC236}">
                <a16:creationId xmlns:a16="http://schemas.microsoft.com/office/drawing/2014/main" id="{869F83BA-18ED-C0C7-F647-F2F039EE2EA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276225</xdr:colOff>
      <xdr:row>50</xdr:row>
      <xdr:rowOff>47625</xdr:rowOff>
    </xdr:from>
    <xdr:to>
      <xdr:col>7</xdr:col>
      <xdr:colOff>219075</xdr:colOff>
      <xdr:row>50</xdr:row>
      <xdr:rowOff>85725</xdr:rowOff>
    </xdr:to>
    <xdr:cxnSp macro="">
      <xdr:nvCxnSpPr>
        <xdr:cNvPr id="457" name="Straight Connector 456">
          <a:extLst>
            <a:ext uri="{FF2B5EF4-FFF2-40B4-BE49-F238E27FC236}">
              <a16:creationId xmlns:a16="http://schemas.microsoft.com/office/drawing/2014/main" id="{00AF84B9-CCD0-459E-B408-63FAB0ED6914}"/>
            </a:ext>
          </a:extLst>
        </xdr:cNvPr>
        <xdr:cNvCxnSpPr>
          <a:cxnSpLocks/>
        </xdr:cNvCxnSpPr>
      </xdr:nvCxnSpPr>
      <xdr:spPr bwMode="auto">
        <a:xfrm>
          <a:off x="1724025" y="7705725"/>
          <a:ext cx="704850" cy="381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49</xdr:row>
      <xdr:rowOff>142876</xdr:rowOff>
    </xdr:from>
    <xdr:to>
      <xdr:col>7</xdr:col>
      <xdr:colOff>295275</xdr:colOff>
      <xdr:row>50</xdr:row>
      <xdr:rowOff>123826</xdr:rowOff>
    </xdr:to>
    <xdr:sp macro="" textlink="">
      <xdr:nvSpPr>
        <xdr:cNvPr id="459" name="Rectangle 458">
          <a:extLst>
            <a:ext uri="{FF2B5EF4-FFF2-40B4-BE49-F238E27FC236}">
              <a16:creationId xmlns:a16="http://schemas.microsoft.com/office/drawing/2014/main" id="{8173E56A-D8CF-4BE7-A1DE-6DF117D20559}"/>
            </a:ext>
          </a:extLst>
        </xdr:cNvPr>
        <xdr:cNvSpPr/>
      </xdr:nvSpPr>
      <xdr:spPr>
        <a:xfrm>
          <a:off x="2324100" y="7648576"/>
          <a:ext cx="180975" cy="13335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161925</xdr:colOff>
      <xdr:row>50</xdr:row>
      <xdr:rowOff>28575</xdr:rowOff>
    </xdr:from>
    <xdr:to>
      <xdr:col>6</xdr:col>
      <xdr:colOff>301060</xdr:colOff>
      <xdr:row>50</xdr:row>
      <xdr:rowOff>95333</xdr:rowOff>
    </xdr:to>
    <xdr:grpSp>
      <xdr:nvGrpSpPr>
        <xdr:cNvPr id="460" name="Grup 244">
          <a:extLst>
            <a:ext uri="{FF2B5EF4-FFF2-40B4-BE49-F238E27FC236}">
              <a16:creationId xmlns:a16="http://schemas.microsoft.com/office/drawing/2014/main" id="{7A640DCC-5E40-4B77-A365-45D2B4917C16}"/>
            </a:ext>
          </a:extLst>
        </xdr:cNvPr>
        <xdr:cNvGrpSpPr/>
      </xdr:nvGrpSpPr>
      <xdr:grpSpPr>
        <a:xfrm>
          <a:off x="1990725" y="7686675"/>
          <a:ext cx="139135" cy="66758"/>
          <a:chOff x="13302191" y="2320613"/>
          <a:chExt cx="139135" cy="57233"/>
        </a:xfrm>
      </xdr:grpSpPr>
      <xdr:cxnSp macro="">
        <xdr:nvCxnSpPr>
          <xdr:cNvPr id="461" name="Straight Connector 81">
            <a:extLst>
              <a:ext uri="{FF2B5EF4-FFF2-40B4-BE49-F238E27FC236}">
                <a16:creationId xmlns:a16="http://schemas.microsoft.com/office/drawing/2014/main" id="{F5B171FF-836A-7814-0DD7-75E90CEBA1A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82">
            <a:extLst>
              <a:ext uri="{FF2B5EF4-FFF2-40B4-BE49-F238E27FC236}">
                <a16:creationId xmlns:a16="http://schemas.microsoft.com/office/drawing/2014/main" id="{A817C063-1F0A-A7F0-6D89-7C211232479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83">
            <a:extLst>
              <a:ext uri="{FF2B5EF4-FFF2-40B4-BE49-F238E27FC236}">
                <a16:creationId xmlns:a16="http://schemas.microsoft.com/office/drawing/2014/main" id="{B68CC8B2-F224-FF54-A405-9748AAC9C3B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84">
            <a:extLst>
              <a:ext uri="{FF2B5EF4-FFF2-40B4-BE49-F238E27FC236}">
                <a16:creationId xmlns:a16="http://schemas.microsoft.com/office/drawing/2014/main" id="{88965EC3-50DA-E2EB-4C16-3C7E5A29377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304800</xdr:colOff>
      <xdr:row>51</xdr:row>
      <xdr:rowOff>19050</xdr:rowOff>
    </xdr:from>
    <xdr:to>
      <xdr:col>10</xdr:col>
      <xdr:colOff>76200</xdr:colOff>
      <xdr:row>53</xdr:row>
      <xdr:rowOff>110379</xdr:rowOff>
    </xdr:to>
    <xdr:sp macro="" textlink="">
      <xdr:nvSpPr>
        <xdr:cNvPr id="465" name="TextBox 145">
          <a:extLst>
            <a:ext uri="{FF2B5EF4-FFF2-40B4-BE49-F238E27FC236}">
              <a16:creationId xmlns:a16="http://schemas.microsoft.com/office/drawing/2014/main" id="{19BA85D1-7E8E-441C-9BB9-95F33FCC8F58}"/>
            </a:ext>
          </a:extLst>
        </xdr:cNvPr>
        <xdr:cNvSpPr txBox="1"/>
      </xdr:nvSpPr>
      <xdr:spPr>
        <a:xfrm>
          <a:off x="2133600" y="7829550"/>
          <a:ext cx="1295400" cy="40565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3P 41,5 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40MTR</a:t>
          </a:r>
        </a:p>
      </xdr:txBody>
    </xdr:sp>
    <xdr:clientData/>
  </xdr:twoCellAnchor>
  <xdr:twoCellAnchor>
    <xdr:from>
      <xdr:col>3</xdr:col>
      <xdr:colOff>95250</xdr:colOff>
      <xdr:row>37</xdr:row>
      <xdr:rowOff>104775</xdr:rowOff>
    </xdr:from>
    <xdr:to>
      <xdr:col>4</xdr:col>
      <xdr:colOff>340930</xdr:colOff>
      <xdr:row>42</xdr:row>
      <xdr:rowOff>114300</xdr:rowOff>
    </xdr:to>
    <xdr:sp macro="" textlink="">
      <xdr:nvSpPr>
        <xdr:cNvPr id="466" name="TextBox 157">
          <a:extLst>
            <a:ext uri="{FF2B5EF4-FFF2-40B4-BE49-F238E27FC236}">
              <a16:creationId xmlns:a16="http://schemas.microsoft.com/office/drawing/2014/main" id="{0B78C9D7-484E-46AD-B009-5F532747B380}"/>
            </a:ext>
          </a:extLst>
        </xdr:cNvPr>
        <xdr:cNvSpPr txBox="1"/>
      </xdr:nvSpPr>
      <xdr:spPr>
        <a:xfrm>
          <a:off x="781050" y="5772150"/>
          <a:ext cx="626680" cy="7810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K2-573/30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314325</xdr:colOff>
      <xdr:row>41</xdr:row>
      <xdr:rowOff>123825</xdr:rowOff>
    </xdr:from>
    <xdr:to>
      <xdr:col>7</xdr:col>
      <xdr:colOff>179005</xdr:colOff>
      <xdr:row>46</xdr:row>
      <xdr:rowOff>142875</xdr:rowOff>
    </xdr:to>
    <xdr:sp macro="" textlink="">
      <xdr:nvSpPr>
        <xdr:cNvPr id="467" name="TextBox 157">
          <a:extLst>
            <a:ext uri="{FF2B5EF4-FFF2-40B4-BE49-F238E27FC236}">
              <a16:creationId xmlns:a16="http://schemas.microsoft.com/office/drawing/2014/main" id="{FE08407E-4121-44F8-8D8A-DAA14AA7A914}"/>
            </a:ext>
          </a:extLst>
        </xdr:cNvPr>
        <xdr:cNvSpPr txBox="1"/>
      </xdr:nvSpPr>
      <xdr:spPr>
        <a:xfrm>
          <a:off x="1762125" y="6410325"/>
          <a:ext cx="626680" cy="7810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K2-573/31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200025</xdr:colOff>
      <xdr:row>48</xdr:row>
      <xdr:rowOff>95250</xdr:rowOff>
    </xdr:from>
    <xdr:to>
      <xdr:col>5</xdr:col>
      <xdr:colOff>64705</xdr:colOff>
      <xdr:row>53</xdr:row>
      <xdr:rowOff>104775</xdr:rowOff>
    </xdr:to>
    <xdr:sp macro="" textlink="">
      <xdr:nvSpPr>
        <xdr:cNvPr id="468" name="TextBox 157">
          <a:extLst>
            <a:ext uri="{FF2B5EF4-FFF2-40B4-BE49-F238E27FC236}">
              <a16:creationId xmlns:a16="http://schemas.microsoft.com/office/drawing/2014/main" id="{90C62792-3293-4B7B-A92B-5924883DA05A}"/>
            </a:ext>
          </a:extLst>
        </xdr:cNvPr>
        <xdr:cNvSpPr txBox="1"/>
      </xdr:nvSpPr>
      <xdr:spPr>
        <a:xfrm>
          <a:off x="885825" y="7448550"/>
          <a:ext cx="626680" cy="7810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K2-573/32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138113</xdr:colOff>
      <xdr:row>35</xdr:row>
      <xdr:rowOff>147638</xdr:rowOff>
    </xdr:from>
    <xdr:to>
      <xdr:col>5</xdr:col>
      <xdr:colOff>309563</xdr:colOff>
      <xdr:row>38</xdr:row>
      <xdr:rowOff>138113</xdr:rowOff>
    </xdr:to>
    <xdr:sp macro="" textlink="">
      <xdr:nvSpPr>
        <xdr:cNvPr id="469" name="TextBox 160">
          <a:extLst>
            <a:ext uri="{FF2B5EF4-FFF2-40B4-BE49-F238E27FC236}">
              <a16:creationId xmlns:a16="http://schemas.microsoft.com/office/drawing/2014/main" id="{9A17787E-193E-41D6-9ED5-CD9B9E80574C}"/>
            </a:ext>
          </a:extLst>
        </xdr:cNvPr>
        <xdr:cNvSpPr txBox="1"/>
      </xdr:nvSpPr>
      <xdr:spPr>
        <a:xfrm rot="5400000">
          <a:off x="1438275" y="5648326"/>
          <a:ext cx="466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209550</xdr:colOff>
      <xdr:row>40</xdr:row>
      <xdr:rowOff>9526</xdr:rowOff>
    </xdr:from>
    <xdr:to>
      <xdr:col>6</xdr:col>
      <xdr:colOff>0</xdr:colOff>
      <xdr:row>43</xdr:row>
      <xdr:rowOff>19051</xdr:rowOff>
    </xdr:to>
    <xdr:sp macro="" textlink="">
      <xdr:nvSpPr>
        <xdr:cNvPr id="470" name="TextBox 160">
          <a:extLst>
            <a:ext uri="{FF2B5EF4-FFF2-40B4-BE49-F238E27FC236}">
              <a16:creationId xmlns:a16="http://schemas.microsoft.com/office/drawing/2014/main" id="{7FACAB4C-A481-477A-ADC0-4F577095D8DE}"/>
            </a:ext>
          </a:extLst>
        </xdr:cNvPr>
        <xdr:cNvSpPr txBox="1"/>
      </xdr:nvSpPr>
      <xdr:spPr>
        <a:xfrm rot="5400000">
          <a:off x="1509712" y="6291264"/>
          <a:ext cx="466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257175</xdr:colOff>
      <xdr:row>46</xdr:row>
      <xdr:rowOff>133351</xdr:rowOff>
    </xdr:from>
    <xdr:to>
      <xdr:col>6</xdr:col>
      <xdr:colOff>47625</xdr:colOff>
      <xdr:row>49</xdr:row>
      <xdr:rowOff>142876</xdr:rowOff>
    </xdr:to>
    <xdr:sp macro="" textlink="">
      <xdr:nvSpPr>
        <xdr:cNvPr id="471" name="TextBox 160">
          <a:extLst>
            <a:ext uri="{FF2B5EF4-FFF2-40B4-BE49-F238E27FC236}">
              <a16:creationId xmlns:a16="http://schemas.microsoft.com/office/drawing/2014/main" id="{A668627D-5BC7-45E5-A08C-D94C1B965986}"/>
            </a:ext>
          </a:extLst>
        </xdr:cNvPr>
        <xdr:cNvSpPr txBox="1"/>
      </xdr:nvSpPr>
      <xdr:spPr>
        <a:xfrm rot="5400000">
          <a:off x="1557337" y="7329489"/>
          <a:ext cx="466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361950</xdr:colOff>
      <xdr:row>16</xdr:row>
      <xdr:rowOff>142875</xdr:rowOff>
    </xdr:from>
    <xdr:to>
      <xdr:col>3</xdr:col>
      <xdr:colOff>304800</xdr:colOff>
      <xdr:row>21</xdr:row>
      <xdr:rowOff>57150</xdr:rowOff>
    </xdr:to>
    <xdr:cxnSp macro="">
      <xdr:nvCxnSpPr>
        <xdr:cNvPr id="472" name="Straight Connector 471">
          <a:extLst>
            <a:ext uri="{FF2B5EF4-FFF2-40B4-BE49-F238E27FC236}">
              <a16:creationId xmlns:a16="http://schemas.microsoft.com/office/drawing/2014/main" id="{74C175D8-89E4-4630-824E-0D8A48DE62E4}"/>
            </a:ext>
          </a:extLst>
        </xdr:cNvPr>
        <xdr:cNvCxnSpPr/>
      </xdr:nvCxnSpPr>
      <xdr:spPr>
        <a:xfrm flipV="1">
          <a:off x="552450" y="2609850"/>
          <a:ext cx="438150" cy="6762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17</xdr:row>
      <xdr:rowOff>95250</xdr:rowOff>
    </xdr:from>
    <xdr:to>
      <xdr:col>3</xdr:col>
      <xdr:colOff>333375</xdr:colOff>
      <xdr:row>21</xdr:row>
      <xdr:rowOff>38100</xdr:rowOff>
    </xdr:to>
    <xdr:cxnSp macro="">
      <xdr:nvCxnSpPr>
        <xdr:cNvPr id="473" name="Straight Connector 472">
          <a:extLst>
            <a:ext uri="{FF2B5EF4-FFF2-40B4-BE49-F238E27FC236}">
              <a16:creationId xmlns:a16="http://schemas.microsoft.com/office/drawing/2014/main" id="{B8E1C599-5E64-435B-8E8D-31DD7DC17D11}"/>
            </a:ext>
          </a:extLst>
        </xdr:cNvPr>
        <xdr:cNvCxnSpPr/>
      </xdr:nvCxnSpPr>
      <xdr:spPr>
        <a:xfrm>
          <a:off x="600075" y="2714625"/>
          <a:ext cx="419100" cy="5524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22</xdr:row>
      <xdr:rowOff>28575</xdr:rowOff>
    </xdr:from>
    <xdr:to>
      <xdr:col>3</xdr:col>
      <xdr:colOff>333375</xdr:colOff>
      <xdr:row>26</xdr:row>
      <xdr:rowOff>9525</xdr:rowOff>
    </xdr:to>
    <xdr:cxnSp macro="">
      <xdr:nvCxnSpPr>
        <xdr:cNvPr id="474" name="Straight Connector 473">
          <a:extLst>
            <a:ext uri="{FF2B5EF4-FFF2-40B4-BE49-F238E27FC236}">
              <a16:creationId xmlns:a16="http://schemas.microsoft.com/office/drawing/2014/main" id="{BEC1322C-1134-4669-9928-B8C0E56DF314}"/>
            </a:ext>
          </a:extLst>
        </xdr:cNvPr>
        <xdr:cNvCxnSpPr/>
      </xdr:nvCxnSpPr>
      <xdr:spPr>
        <a:xfrm flipV="1">
          <a:off x="561975" y="3409950"/>
          <a:ext cx="457200" cy="590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22</xdr:row>
      <xdr:rowOff>9525</xdr:rowOff>
    </xdr:from>
    <xdr:to>
      <xdr:col>3</xdr:col>
      <xdr:colOff>314325</xdr:colOff>
      <xdr:row>26</xdr:row>
      <xdr:rowOff>38100</xdr:rowOff>
    </xdr:to>
    <xdr:cxnSp macro="">
      <xdr:nvCxnSpPr>
        <xdr:cNvPr id="475" name="Straight Connector 474">
          <a:extLst>
            <a:ext uri="{FF2B5EF4-FFF2-40B4-BE49-F238E27FC236}">
              <a16:creationId xmlns:a16="http://schemas.microsoft.com/office/drawing/2014/main" id="{3FBD2251-EC7B-4DCA-854B-DC4B27660D1F}"/>
            </a:ext>
          </a:extLst>
        </xdr:cNvPr>
        <xdr:cNvCxnSpPr/>
      </xdr:nvCxnSpPr>
      <xdr:spPr>
        <a:xfrm>
          <a:off x="609600" y="3390900"/>
          <a:ext cx="390525" cy="6381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26</xdr:row>
      <xdr:rowOff>57150</xdr:rowOff>
    </xdr:from>
    <xdr:to>
      <xdr:col>6</xdr:col>
      <xdr:colOff>266700</xdr:colOff>
      <xdr:row>30</xdr:row>
      <xdr:rowOff>76200</xdr:rowOff>
    </xdr:to>
    <xdr:cxnSp macro="">
      <xdr:nvCxnSpPr>
        <xdr:cNvPr id="476" name="Straight Connector 475">
          <a:extLst>
            <a:ext uri="{FF2B5EF4-FFF2-40B4-BE49-F238E27FC236}">
              <a16:creationId xmlns:a16="http://schemas.microsoft.com/office/drawing/2014/main" id="{D9C433DE-C9E9-4298-97B8-702820DA3AA6}"/>
            </a:ext>
          </a:extLst>
        </xdr:cNvPr>
        <xdr:cNvCxnSpPr/>
      </xdr:nvCxnSpPr>
      <xdr:spPr>
        <a:xfrm flipV="1">
          <a:off x="1657350" y="4048125"/>
          <a:ext cx="438150" cy="6191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26</xdr:row>
      <xdr:rowOff>123825</xdr:rowOff>
    </xdr:from>
    <xdr:to>
      <xdr:col>6</xdr:col>
      <xdr:colOff>228600</xdr:colOff>
      <xdr:row>31</xdr:row>
      <xdr:rowOff>19050</xdr:rowOff>
    </xdr:to>
    <xdr:cxnSp macro="">
      <xdr:nvCxnSpPr>
        <xdr:cNvPr id="477" name="Straight Connector 476">
          <a:extLst>
            <a:ext uri="{FF2B5EF4-FFF2-40B4-BE49-F238E27FC236}">
              <a16:creationId xmlns:a16="http://schemas.microsoft.com/office/drawing/2014/main" id="{7E4ED937-BE59-4661-84A3-5AADEE37E422}"/>
            </a:ext>
          </a:extLst>
        </xdr:cNvPr>
        <xdr:cNvCxnSpPr/>
      </xdr:nvCxnSpPr>
      <xdr:spPr>
        <a:xfrm>
          <a:off x="1743075" y="4114800"/>
          <a:ext cx="314325" cy="6477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33</xdr:row>
      <xdr:rowOff>19050</xdr:rowOff>
    </xdr:from>
    <xdr:to>
      <xdr:col>7</xdr:col>
      <xdr:colOff>123825</xdr:colOff>
      <xdr:row>39</xdr:row>
      <xdr:rowOff>38100</xdr:rowOff>
    </xdr:to>
    <xdr:cxnSp macro="">
      <xdr:nvCxnSpPr>
        <xdr:cNvPr id="484" name="Straight Connector 483">
          <a:extLst>
            <a:ext uri="{FF2B5EF4-FFF2-40B4-BE49-F238E27FC236}">
              <a16:creationId xmlns:a16="http://schemas.microsoft.com/office/drawing/2014/main" id="{644C87F3-F14D-4736-84A1-A2C472E9717D}"/>
            </a:ext>
          </a:extLst>
        </xdr:cNvPr>
        <xdr:cNvCxnSpPr/>
      </xdr:nvCxnSpPr>
      <xdr:spPr>
        <a:xfrm flipV="1">
          <a:off x="1866900" y="5067300"/>
          <a:ext cx="466725" cy="952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32</xdr:row>
      <xdr:rowOff>123825</xdr:rowOff>
    </xdr:from>
    <xdr:to>
      <xdr:col>7</xdr:col>
      <xdr:colOff>161925</xdr:colOff>
      <xdr:row>40</xdr:row>
      <xdr:rowOff>0</xdr:rowOff>
    </xdr:to>
    <xdr:cxnSp macro="">
      <xdr:nvCxnSpPr>
        <xdr:cNvPr id="485" name="Straight Connector 484">
          <a:extLst>
            <a:ext uri="{FF2B5EF4-FFF2-40B4-BE49-F238E27FC236}">
              <a16:creationId xmlns:a16="http://schemas.microsoft.com/office/drawing/2014/main" id="{74EC2201-3DBF-4AB1-935D-CF14FFD79320}"/>
            </a:ext>
          </a:extLst>
        </xdr:cNvPr>
        <xdr:cNvCxnSpPr/>
      </xdr:nvCxnSpPr>
      <xdr:spPr>
        <a:xfrm>
          <a:off x="1876425" y="5019675"/>
          <a:ext cx="495300" cy="11144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0</xdr:colOff>
      <xdr:row>52</xdr:row>
      <xdr:rowOff>20266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477EF-274C-9DD9-5542-79C30E6F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125372" cy="74781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25</xdr:col>
      <xdr:colOff>398721</xdr:colOff>
      <xdr:row>66</xdr:row>
      <xdr:rowOff>46587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05C107-9657-4933-B371-3C196A8E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4"/>
          <a:ext cx="13534360" cy="903995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Music\KKO%20KKF%20PB%20SITI%20KRISNAWATI%2082,5KVA.xlsx" TargetMode="External"/><Relationship Id="rId1" Type="http://schemas.openxmlformats.org/officeDocument/2006/relationships/externalLinkPath" Target="KKO%20KKF%20PB%20SITI%20KRISNAWATI%2082,5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84" t="s">
        <v>1133</v>
      </c>
      <c r="C4" s="484"/>
      <c r="D4" s="484"/>
      <c r="E4" s="484"/>
      <c r="F4" s="484"/>
      <c r="G4" s="484"/>
      <c r="H4" s="48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85" t="s">
        <v>0</v>
      </c>
      <c r="C7" s="485" t="s">
        <v>1</v>
      </c>
      <c r="D7" s="486" t="s">
        <v>42</v>
      </c>
      <c r="E7" s="486" t="s">
        <v>43</v>
      </c>
      <c r="F7" s="486" t="s">
        <v>1134</v>
      </c>
      <c r="G7" s="487" t="s">
        <v>41</v>
      </c>
      <c r="H7" s="483" t="s">
        <v>1042</v>
      </c>
      <c r="I7" s="483" t="s">
        <v>1136</v>
      </c>
      <c r="J7" s="483" t="s">
        <v>1026</v>
      </c>
      <c r="K7" s="477" t="s">
        <v>1024</v>
      </c>
      <c r="L7" s="478"/>
    </row>
    <row r="8" spans="1:12" ht="15" customHeight="1">
      <c r="B8" s="485"/>
      <c r="C8" s="485"/>
      <c r="D8" s="486"/>
      <c r="E8" s="486"/>
      <c r="F8" s="486"/>
      <c r="G8" s="487"/>
      <c r="H8" s="483"/>
      <c r="I8" s="483"/>
      <c r="J8" s="483"/>
      <c r="K8" s="479"/>
      <c r="L8" s="480"/>
    </row>
    <row r="9" spans="1:12" ht="15" customHeight="1">
      <c r="B9" s="485"/>
      <c r="C9" s="485"/>
      <c r="D9" s="486"/>
      <c r="E9" s="486"/>
      <c r="F9" s="486"/>
      <c r="G9" s="487"/>
      <c r="H9" s="483"/>
      <c r="I9" s="483"/>
      <c r="J9" s="483"/>
      <c r="K9" s="481"/>
      <c r="L9" s="48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40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180</v>
      </c>
      <c r="G19" s="41">
        <f ca="1">IF(ISERROR(OFFSET('HARGA SATUAN'!$I$6,MATCH(C19,'HARGA SATUAN'!$C$7:$C$1495,0),0)),"",OFFSET('HARGA SATUAN'!$I$6,MATCH(C19,'HARGA SATUAN'!$C$7:$C$1495,0),0))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SUMIFS(RAB!$F$14:$F$197,RAB!$C$14:$C$197,C714)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SUMIFS(RAB!$F$14:$F$197,RAB!$C$14:$C$197,C715)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SUMIFS(RAB!$F$14:$F$197,RAB!$C$14:$C$197,C716)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SUMIFS(RAB!$F$14:$F$197,RAB!$C$14:$C$197,C717)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SUMIFS(RAB!$F$14:$F$197,RAB!$C$14:$C$197,C718)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SUMIFS(RAB!$F$14:$F$197,RAB!$C$14:$C$197,C719)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SUMIFS(RAB!$F$14:$F$197,RAB!$C$14:$C$197,C720)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SUMIFS(RAB!$F$14:$F$197,RAB!$C$14:$C$197,C721)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SUMIFS(RAB!$F$14:$F$197,RAB!$C$14:$C$197,C722)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SUMIFS(RAB!$F$14:$F$197,RAB!$C$14:$C$197,C723)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SUMIFS(RAB!$F$14:$F$197,RAB!$C$14:$C$197,C724)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SUMIFS(RAB!$F$14:$F$197,RAB!$C$14:$C$197,C725)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SUMIFS(RAB!$F$14:$F$197,RAB!$C$14:$C$197,C726)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SUMIFS(RAB!$F$14:$F$197,RAB!$C$14:$C$197,C727)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SUMIFS(RAB!$F$14:$F$197,RAB!$C$14:$C$197,C728)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SUMIFS(RAB!$F$14:$F$197,RAB!$C$14:$C$197,C729)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SUMIFS(RAB!$F$14:$F$197,RAB!$C$14:$C$197,C730)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SUMIFS(RAB!$F$14:$F$197,RAB!$C$14:$C$197,C731)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SUMIFS(RAB!$F$14:$F$197,RAB!$C$14:$C$197,C732)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SUMIFS(RAB!$F$14:$F$197,RAB!$C$14:$C$197,C733)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SUMIFS(RAB!$F$14:$F$197,RAB!$C$14:$C$197,C734)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SUMIFS(RAB!$F$14:$F$197,RAB!$C$14:$C$197,C735)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SUMIFS(RAB!$F$14:$F$197,RAB!$C$14:$C$197,C736)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SUMIFS(RAB!$F$14:$F$197,RAB!$C$14:$C$197,C737)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SUMIFS(RAB!$F$14:$F$197,RAB!$C$14:$C$197,C738)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SUMIFS(RAB!$F$14:$F$197,RAB!$C$14:$C$197,C739)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SUMIFS(RAB!$F$14:$F$197,RAB!$C$14:$C$197,C740)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SUMIFS(RAB!$F$14:$F$197,RAB!$C$14:$C$197,C741)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SUMIFS(RAB!$F$14:$F$197,RAB!$C$14:$C$197,C742)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SUMIFS(RAB!$F$14:$F$197,RAB!$C$14:$C$197,C743)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SUMIFS(RAB!$F$14:$F$197,RAB!$C$14:$C$197,C744)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SUMIFS(RAB!$F$14:$F$197,RAB!$C$14:$C$197,C745)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SUMIFS(RAB!$F$14:$F$197,RAB!$C$14:$C$197,C746)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SUMIFS(RAB!$F$14:$F$197,RAB!$C$14:$C$197,C747)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SUMIFS(RAB!$F$14:$F$197,RAB!$C$14:$C$197,C748)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SUMIFS(RAB!$F$14:$F$197,RAB!$C$14:$C$197,C749)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SUMIFS(RAB!$F$14:$F$197,RAB!$C$14:$C$197,C750)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SUMIFS(RAB!$F$14:$F$197,RAB!$C$14:$C$197,C751)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SUMIFS(RAB!$F$14:$F$197,RAB!$C$14:$C$197,C752)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SUMIFS(RAB!$F$14:$F$197,RAB!$C$14:$C$197,C753)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SUMIFS(RAB!$F$14:$F$197,RAB!$C$14:$C$197,C754)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SUMIFS(RAB!$F$14:$F$197,RAB!$C$14:$C$197,C755)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SUMIFS(RAB!$F$14:$F$197,RAB!$C$14:$C$197,C756)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SUMIFS(RAB!$F$14:$F$197,RAB!$C$14:$C$197,C757)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SUMIFS(RAB!$F$14:$F$197,RAB!$C$14:$C$197,C758)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SUMIFS(RAB!$F$14:$F$197,RAB!$C$14:$C$197,C759)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SUMIFS(RAB!$F$14:$F$197,RAB!$C$14:$C$197,C760)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SUMIFS(RAB!$F$14:$F$197,RAB!$C$14:$C$197,C761)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SUMIFS(RAB!$F$14:$F$197,RAB!$C$14:$C$197,C762)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SUMIFS(RAB!$F$14:$F$197,RAB!$C$14:$C$197,C763)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SUMIFS(RAB!$F$14:$F$197,RAB!$C$14:$C$197,C764)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SUMIFS(RAB!$F$14:$F$197,RAB!$C$14:$C$197,C765)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SUMIFS(RAB!$F$14:$F$197,RAB!$C$14:$C$197,C766)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SUMIFS(RAB!$F$14:$F$197,RAB!$C$14:$C$197,C767)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SUMIFS(RAB!$F$14:$F$197,RAB!$C$14:$C$197,C768)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SUMIFS(RAB!$F$14:$F$197,RAB!$C$14:$C$197,C769)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SUMIFS(RAB!$F$14:$F$197,RAB!$C$14:$C$197,C770)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SUMIFS(RAB!$F$14:$F$197,RAB!$C$14:$C$197,C771)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SUMIFS(RAB!$F$14:$F$197,RAB!$C$14:$C$197,C772)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SUMIFS(RAB!$F$14:$F$197,RAB!$C$14:$C$197,C773)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SUMIFS(RAB!$F$14:$F$197,RAB!$C$14:$C$197,C774)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SUMIFS(RAB!$F$14:$F$197,RAB!$C$14:$C$197,C775)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SUMIFS(RAB!$F$14:$F$197,RAB!$C$14:$C$197,C776)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SUMIFS(RAB!$F$14:$F$197,RAB!$C$14:$C$197,C777)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SUMIFS(RAB!$F$14:$F$197,RAB!$C$14:$C$197,C778)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SUMIFS(RAB!$F$14:$F$197,RAB!$C$14:$C$197,C779)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SUMIFS(RAB!$F$14:$F$197,RAB!$C$14:$C$197,C780)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SUMIFS(RAB!$F$14:$F$197,RAB!$C$14:$C$197,C781)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SUMIFS(RAB!$F$14:$F$197,RAB!$C$14:$C$197,C782)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SUMIFS(RAB!$F$14:$F$197,RAB!$C$14:$C$197,C783)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SUMIFS(RAB!$F$14:$F$197,RAB!$C$14:$C$197,C784)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SUMIFS(RAB!$F$14:$F$197,RAB!$C$14:$C$197,C785)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SUMIFS(RAB!$F$14:$F$197,RAB!$C$14:$C$197,C786)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SUMIFS(RAB!$F$14:$F$197,RAB!$C$14:$C$197,C787)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SUMIFS(RAB!$F$14:$F$197,RAB!$C$14:$C$197,C788)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SUMIFS(RAB!$F$14:$F$197,RAB!$C$14:$C$197,C789)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SUMIFS(RAB!$F$14:$F$197,RAB!$C$14:$C$197,C790)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SUMIFS(RAB!$F$14:$F$197,RAB!$C$14:$C$197,C791)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SUMIFS(RAB!$F$14:$F$197,RAB!$C$14:$C$197,C792)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SUMIFS(RAB!$F$14:$F$197,RAB!$C$14:$C$197,C793)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SUMIFS(RAB!$F$14:$F$197,RAB!$C$14:$C$197,C794)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SUMIFS(RAB!$F$14:$F$197,RAB!$C$14:$C$197,C795)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SUMIFS(RAB!$F$14:$F$197,RAB!$C$14:$C$197,C796)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SUMIFS(RAB!$F$14:$F$197,RAB!$C$14:$C$197,C797)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SUMIFS(RAB!$F$14:$F$197,RAB!$C$14:$C$197,C798)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SUMIFS(RAB!$F$14:$F$197,RAB!$C$14:$C$197,C799)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SUMIFS(RAB!$F$14:$F$197,RAB!$C$14:$C$197,C800)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SUMIFS(RAB!$F$14:$F$197,RAB!$C$14:$C$197,C801)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SUMIFS(RAB!$F$14:$F$197,RAB!$C$14:$C$197,C802)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SUMIFS(RAB!$F$14:$F$197,RAB!$C$14:$C$197,C803)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SUMIFS(RAB!$F$14:$F$197,RAB!$C$14:$C$197,C804)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SUMIFS(RAB!$F$14:$F$197,RAB!$C$14:$C$197,C805)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SUMIFS(RAB!$F$14:$F$197,RAB!$C$14:$C$197,C806)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SUMIFS(RAB!$F$14:$F$197,RAB!$C$14:$C$197,C807)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SUMIFS(RAB!$F$14:$F$197,RAB!$C$14:$C$197,C808)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SUMIFS(RAB!$F$14:$F$197,RAB!$C$14:$C$197,C809)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SUMIFS(RAB!$F$14:$F$197,RAB!$C$14:$C$197,C810)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SUMIFS(RAB!$F$14:$F$197,RAB!$C$14:$C$197,C811)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SUMIFS(RAB!$F$14:$F$197,RAB!$C$14:$C$197,C812)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SUMIFS(RAB!$F$14:$F$197,RAB!$C$14:$C$197,C813)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SUMIFS(RAB!$F$14:$F$197,RAB!$C$14:$C$197,C814)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SUMIFS(RAB!$F$14:$F$197,RAB!$C$14:$C$197,C815)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SUMIFS(RAB!$F$14:$F$197,RAB!$C$14:$C$197,C816)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SUMIFS(RAB!$F$14:$F$197,RAB!$C$14:$C$197,C817)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SUMIFS(RAB!$F$14:$F$197,RAB!$C$14:$C$197,C818)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SUMIFS(RAB!$F$14:$F$197,RAB!$C$14:$C$197,C819)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SUMIFS(RAB!$F$14:$F$197,RAB!$C$14:$C$197,C820)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SUMIFS(RAB!$F$14:$F$197,RAB!$C$14:$C$197,C821)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SUMIFS(RAB!$F$14:$F$197,RAB!$C$14:$C$197,C822)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SUMIFS(RAB!$F$14:$F$197,RAB!$C$14:$C$197,C823)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SUMIFS(RAB!$F$14:$F$197,RAB!$C$14:$C$197,C824)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SUMIFS(RAB!$F$14:$F$197,RAB!$C$14:$C$197,C825)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SUMIFS(RAB!$F$14:$F$197,RAB!$C$14:$C$197,C826)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SUMIFS(RAB!$F$14:$F$197,RAB!$C$14:$C$197,C827)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SUMIFS(RAB!$F$14:$F$197,RAB!$C$14:$C$197,C828)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SUMIFS(RAB!$F$14:$F$197,RAB!$C$14:$C$197,C829)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SUMIFS(RAB!$F$14:$F$197,RAB!$C$14:$C$197,C830)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SUMIFS(RAB!$F$14:$F$197,RAB!$C$14:$C$197,C831)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SUMIFS(RAB!$F$14:$F$197,RAB!$C$14:$C$197,C832)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SUMIFS(RAB!$F$14:$F$197,RAB!$C$14:$C$197,C833)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SUMIFS(RAB!$F$14:$F$197,RAB!$C$14:$C$197,C834)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SUMIFS(RAB!$F$14:$F$197,RAB!$C$14:$C$197,C835)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SUMIFS(RAB!$F$14:$F$197,RAB!$C$14:$C$197,C836)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SUMIFS(RAB!$F$14:$F$197,RAB!$C$14:$C$197,C837)</f>
        <v>40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SUMIFS(RAB!$F$14:$F$197,RAB!$C$14:$C$197,C838)</f>
        <v>180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SUMIFS(RAB!$F$14:$F$197,RAB!$C$14:$C$197,C839)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SUMIFS(RAB!$F$14:$F$197,RAB!$C$14:$C$197,C840)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SUMIFS(RAB!$F$14:$F$197,RAB!$C$14:$C$197,C841)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SUMIFS(RAB!$F$14:$F$197,RAB!$C$14:$C$197,C842)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SUMIFS(RAB!$F$14:$F$197,RAB!$C$14:$C$197,C843)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SUMIFS(RAB!$F$14:$F$197,RAB!$C$14:$C$197,C844)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SUMIFS(RAB!$F$14:$F$197,RAB!$C$14:$C$197,C845)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SUMIFS(RAB!$F$14:$F$197,RAB!$C$14:$C$197,C846)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SUMIFS(RAB!$F$14:$F$197,RAB!$C$14:$C$197,C847)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SUMIFS(RAB!$F$14:$F$197,RAB!$C$14:$C$197,C848)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SUMIFS(RAB!$F$14:$F$197,RAB!$C$14:$C$197,C849)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SUMIFS(RAB!$F$14:$F$197,RAB!$C$14:$C$197,C850)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SUMIFS(RAB!$F$14:$F$197,RAB!$C$14:$C$197,C851)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SUMIFS(RAB!$F$14:$F$197,RAB!$C$14:$C$197,C852)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SUMIFS(RAB!$F$14:$F$197,RAB!$C$14:$C$197,C853)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SUMIFS(RAB!$F$14:$F$197,RAB!$C$14:$C$197,C854)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SUMIFS(RAB!$F$14:$F$197,RAB!$C$14:$C$197,C855)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SUMIFS(RAB!$F$14:$F$197,RAB!$C$14:$C$197,C856)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SUMIFS(RAB!$F$14:$F$197,RAB!$C$14:$C$197,C857)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SUMIFS(RAB!$F$14:$F$197,RAB!$C$14:$C$197,C858)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SUMIFS(RAB!$F$14:$F$197,RAB!$C$14:$C$197,C859)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SUMIFS(RAB!$F$14:$F$197,RAB!$C$14:$C$197,C860)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SUMIFS(RAB!$F$14:$F$197,RAB!$C$14:$C$197,C861)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SUMIFS(RAB!$F$14:$F$197,RAB!$C$14:$C$197,C862)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SUMIFS(RAB!$F$14:$F$197,RAB!$C$14:$C$197,C863)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SUMIFS(RAB!$F$14:$F$197,RAB!$C$14:$C$197,C864)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SUMIFS(RAB!$F$14:$F$197,RAB!$C$14:$C$197,C865)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SUMIFS(RAB!$F$14:$F$197,RAB!$C$14:$C$197,C866)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SUMIFS(RAB!$F$14:$F$197,RAB!$C$14:$C$197,C867)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SUMIFS(RAB!$F$14:$F$197,RAB!$C$14:$C$197,C868)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SUMIFS(RAB!$F$14:$F$197,RAB!$C$14:$C$197,C869)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SUMIFS(RAB!$F$14:$F$197,RAB!$C$14:$C$197,C870)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SUMIFS(RAB!$F$14:$F$197,RAB!$C$14:$C$197,C871)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SUMIFS(RAB!$F$14:$F$197,RAB!$C$14:$C$197,C872)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SUMIFS(RAB!$F$14:$F$197,RAB!$C$14:$C$197,C873)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SUMIFS(RAB!$F$14:$F$197,RAB!$C$14:$C$197,C874)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SUMIFS(RAB!$F$14:$F$197,RAB!$C$14:$C$197,C875)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SUMIFS(RAB!$F$14:$F$197,RAB!$C$14:$C$197,C876)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SUMIFS(RAB!$F$14:$F$197,RAB!$C$14:$C$197,C877)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SUMIFS(RAB!$F$14:$F$197,RAB!$C$14:$C$197,C878)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SUMIFS(RAB!$F$14:$F$197,RAB!$C$14:$C$197,C879)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SUMIFS(RAB!$F$14:$F$197,RAB!$C$14:$C$197,C880)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SUMIFS(RAB!$F$14:$F$197,RAB!$C$14:$C$197,C881)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SUMIFS(RAB!$F$14:$F$197,RAB!$C$14:$C$197,C882)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SUMIFS(RAB!$F$14:$F$197,RAB!$C$14:$C$197,C883)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SUMIFS(RAB!$F$14:$F$197,RAB!$C$14:$C$197,C884)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SUMIFS(RAB!$F$14:$F$197,RAB!$C$14:$C$197,C885)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SUMIFS(RAB!$F$14:$F$197,RAB!$C$14:$C$197,C886)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SUMIFS(RAB!$F$14:$F$197,RAB!$C$14:$C$197,C887)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SUMIFS(RAB!$F$14:$F$197,RAB!$C$14:$C$197,C888)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SUMIFS(RAB!$F$14:$F$197,RAB!$C$14:$C$197,C889)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SUMIFS(RAB!$F$14:$F$197,RAB!$C$14:$C$197,C890)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SUMIFS(RAB!$F$14:$F$197,RAB!$C$14:$C$197,C891)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SUMIFS(RAB!$F$14:$F$197,RAB!$C$14:$C$197,C892)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SUMIFS(RAB!$F$14:$F$197,RAB!$C$14:$C$197,C893)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SUMIFS(RAB!$F$14:$F$197,RAB!$C$14:$C$197,C894)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SUMIFS(RAB!$F$14:$F$197,RAB!$C$14:$C$197,C895)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SUMIFS(RAB!$F$14:$F$197,RAB!$C$14:$C$197,C896)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SUMIFS(RAB!$F$14:$F$197,RAB!$C$14:$C$197,C897)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SUMIFS(RAB!$F$14:$F$197,RAB!$C$14:$C$197,C898)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SUMIFS(RAB!$F$14:$F$197,RAB!$C$14:$C$197,C899)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SUMIFS(RAB!$F$14:$F$197,RAB!$C$14:$C$197,C900)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SUMIFS(RAB!$F$14:$F$197,RAB!$C$14:$C$197,C901)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SUMIFS(RAB!$F$14:$F$197,RAB!$C$14:$C$197,C902)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SUMIFS(RAB!$F$14:$F$197,RAB!$C$14:$C$197,C903)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SUMIFS(RAB!$F$14:$F$197,RAB!$C$14:$C$197,C904)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SUMIFS(RAB!$F$14:$F$197,RAB!$C$14:$C$197,C905)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SUMIFS(RAB!$F$14:$F$197,RAB!$C$14:$C$197,C906)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SUMIFS(RAB!$F$14:$F$197,RAB!$C$14:$C$197,C907)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SUMIFS(RAB!$F$14:$F$197,RAB!$C$14:$C$197,C908)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SUMIFS(RAB!$F$14:$F$197,RAB!$C$14:$C$197,C909)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SUMIFS(RAB!$F$14:$F$197,RAB!$C$14:$C$197,C910)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SUMIFS(RAB!$F$14:$F$197,RAB!$C$14:$C$197,C911)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SUMIFS(RAB!$F$14:$F$197,RAB!$C$14:$C$197,C912)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SUMIFS(RAB!$F$14:$F$197,RAB!$C$14:$C$197,C913)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SUMIFS(RAB!$F$14:$F$197,RAB!$C$14:$C$197,C914)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SUMIFS(RAB!$F$14:$F$197,RAB!$C$14:$C$197,C915)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SUMIFS(RAB!$F$14:$F$197,RAB!$C$14:$C$197,C916)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SUMIFS(RAB!$F$14:$F$197,RAB!$C$14:$C$197,C917)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SUMIFS(RAB!$F$14:$F$197,RAB!$C$14:$C$197,C918)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SUMIFS(RAB!$F$14:$F$197,RAB!$C$14:$C$197,C919)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SUMIFS(RAB!$F$14:$F$197,RAB!$C$14:$C$197,C920)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SUMIFS(RAB!$F$14:$F$197,RAB!$C$14:$C$197,C921)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SUMIFS(RAB!$F$14:$F$197,RAB!$C$14:$C$197,C922)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SUMIFS(RAB!$F$14:$F$197,RAB!$C$14:$C$197,C923)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SUMIFS(RAB!$F$14:$F$197,RAB!$C$14:$C$197,C924)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SUMIFS(RAB!$F$14:$F$197,RAB!$C$14:$C$197,C925)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SUMIFS(RAB!$F$14:$F$197,RAB!$C$14:$C$197,C926)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SUMIFS(RAB!$F$14:$F$197,RAB!$C$14:$C$197,C927)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SUMIFS(RAB!$F$14:$F$197,RAB!$C$14:$C$197,C928)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SUMIFS(RAB!$F$14:$F$197,RAB!$C$14:$C$197,C929)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SUMIFS(RAB!$F$14:$F$197,RAB!$C$14:$C$197,C930)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SUMIFS(RAB!$F$14:$F$197,RAB!$C$14:$C$197,C931)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SUMIFS(RAB!$F$14:$F$197,RAB!$C$14:$C$197,C932)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SUMIFS(RAB!$F$14:$F$197,RAB!$C$14:$C$197,C933)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SUMIFS(RAB!$F$14:$F$197,RAB!$C$14:$C$197,C934)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SUMIFS(RAB!$F$14:$F$197,RAB!$C$14:$C$197,C935)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SUMIFS(RAB!$F$14:$F$197,RAB!$C$14:$C$197,C936)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SUMIFS(RAB!$F$14:$F$197,RAB!$C$14:$C$197,C937)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SUMIFS(RAB!$F$14:$F$197,RAB!$C$14:$C$197,C938)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SUMIFS(RAB!$F$14:$F$197,RAB!$C$14:$C$197,C939)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SUMIFS(RAB!$F$14:$F$197,RAB!$C$14:$C$197,C940)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SUMIFS(RAB!$F$14:$F$197,RAB!$C$14:$C$197,C941)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SUMIFS(RAB!$F$14:$F$197,RAB!$C$14:$C$197,C942)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SUMIFS(RAB!$F$14:$F$197,RAB!$C$14:$C$197,C943)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SUMIFS(RAB!$F$14:$F$197,RAB!$C$14:$C$197,C944)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SUMIFS(RAB!$F$14:$F$197,RAB!$C$14:$C$197,C945)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SUMIFS(RAB!$F$14:$F$197,RAB!$C$14:$C$197,C946)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SUMIFS(RAB!$F$14:$F$197,RAB!$C$14:$C$197,C947)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SUMIFS(RAB!$F$14:$F$197,RAB!$C$14:$C$197,C948)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SUMIFS(RAB!$F$14:$F$197,RAB!$C$14:$C$197,C949)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SUMIFS(RAB!$F$14:$F$197,RAB!$C$14:$C$197,C950)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SUMIFS(RAB!$F$14:$F$197,RAB!$C$14:$C$197,C951)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SUMIFS(RAB!$F$14:$F$197,RAB!$C$14:$C$197,C952)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SUMIFS(RAB!$F$14:$F$197,RAB!$C$14:$C$197,C953)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SUMIFS(RAB!$F$14:$F$197,RAB!$C$14:$C$197,C954)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SUMIFS(RAB!$F$14:$F$197,RAB!$C$14:$C$197,C955)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SUMIFS(RAB!$F$14:$F$197,RAB!$C$14:$C$197,C956)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SUMIFS(RAB!$F$14:$F$197,RAB!$C$14:$C$197,C957)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SUMIFS(RAB!$F$14:$F$197,RAB!$C$14:$C$197,C958)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SUMIFS(RAB!$F$14:$F$197,RAB!$C$14:$C$197,C959)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SUMIFS(RAB!$F$14:$F$197,RAB!$C$14:$C$197,C960)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SUMIFS(RAB!$F$14:$F$197,RAB!$C$14:$C$197,C961)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SUMIFS(RAB!$F$14:$F$197,RAB!$C$14:$C$197,C962)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SUMIFS(RAB!$F$14:$F$197,RAB!$C$14:$C$197,C963)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SUMIFS(RAB!$F$14:$F$197,RAB!$C$14:$C$197,C964)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SUMIFS(RAB!$F$14:$F$197,RAB!$C$14:$C$197,C965)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SUMIFS(RAB!$F$14:$F$197,RAB!$C$14:$C$197,C966)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SUMIFS(RAB!$F$14:$F$197,RAB!$C$14:$C$197,C967)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SUMIFS(RAB!$F$14:$F$197,RAB!$C$14:$C$197,C968)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SUMIFS(RAB!$F$14:$F$197,RAB!$C$14:$C$197,C969)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SUMIFS(RAB!$F$14:$F$197,RAB!$C$14:$C$197,C970)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SUMIFS(RAB!$F$14:$F$197,RAB!$C$14:$C$197,C971)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SUMIFS(RAB!$F$14:$F$197,RAB!$C$14:$C$197,C972)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SUMIFS(RAB!$F$14:$F$197,RAB!$C$14:$C$197,C973)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SUMIFS(RAB!$F$14:$F$197,RAB!$C$14:$C$197,C974)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SUMIFS(RAB!$F$14:$F$197,RAB!$C$14:$C$197,C975)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SUMIFS(RAB!$F$14:$F$197,RAB!$C$14:$C$197,C976)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SUMIFS(RAB!$F$14:$F$197,RAB!$C$14:$C$197,C977)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SUMIFS(RAB!$F$14:$F$197,RAB!$C$14:$C$197,C978)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SUMIFS(RAB!$F$14:$F$197,RAB!$C$14:$C$197,C979)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SUMIFS(RAB!$F$14:$F$197,RAB!$C$14:$C$197,C980)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SUMIFS(RAB!$F$14:$F$197,RAB!$C$14:$C$197,C981)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SUMIFS(RAB!$F$14:$F$197,RAB!$C$14:$C$197,C982)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SUMIFS(RAB!$F$14:$F$197,RAB!$C$14:$C$197,C983)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SUMIFS(RAB!$F$14:$F$197,RAB!$C$14:$C$197,C984)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SUMIFS(RAB!$F$14:$F$197,RAB!$C$14:$C$197,C985)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SUMIFS(RAB!$F$14:$F$197,RAB!$C$14:$C$197,C986)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SUMIFS(RAB!$F$14:$F$197,RAB!$C$14:$C$197,C987)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SUMIFS(RAB!$F$14:$F$197,RAB!$C$14:$C$197,C988)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SUMIFS(RAB!$F$14:$F$197,RAB!$C$14:$C$197,C989)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SUMIFS(RAB!$F$14:$F$197,RAB!$C$14:$C$197,C990)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SUMIFS(RAB!$F$14:$F$197,RAB!$C$14:$C$197,C991)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SUMIFS(RAB!$F$14:$F$197,RAB!$C$14:$C$197,C992)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SUMIFS(RAB!$F$14:$F$197,RAB!$C$14:$C$197,C993)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SUMIFS(RAB!$F$14:$F$197,RAB!$C$14:$C$197,C994)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SUMIFS(RAB!$F$14:$F$197,RAB!$C$14:$C$197,C995)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SUMIFS(RAB!$F$14:$F$197,RAB!$C$14:$C$197,C996)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SUMIFS(RAB!$F$14:$F$197,RAB!$C$14:$C$197,C997)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SUMIFS(RAB!$F$14:$F$197,RAB!$C$14:$C$197,C998)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SUMIFS(RAB!$F$14:$F$197,RAB!$C$14:$C$197,C999)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SUMIFS(RAB!$F$14:$F$197,RAB!$C$14:$C$197,C1000)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SUMIFS(RAB!$F$14:$F$197,RAB!$C$14:$C$197,C1001)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SUMIFS(RAB!$F$14:$F$197,RAB!$C$14:$C$197,C1002)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SUMIFS(RAB!$F$14:$F$197,RAB!$C$14:$C$197,C1003)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SUMIFS(RAB!$F$14:$F$197,RAB!$C$14:$C$197,C1004)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SUMIFS(RAB!$F$14:$F$197,RAB!$C$14:$C$197,C1005)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SUMIFS(RAB!$F$14:$F$197,RAB!$C$14:$C$197,C1006)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SUMIFS(RAB!$F$14:$F$197,RAB!$C$14:$C$197,C1007)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SUMIFS(RAB!$F$14:$F$197,RAB!$C$14:$C$197,C1008)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SUMIFS(RAB!$F$14:$F$197,RAB!$C$14:$C$197,C1009)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SUMIFS(RAB!$F$14:$F$197,RAB!$C$14:$C$197,C1010)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SUMIFS(RAB!$F$14:$F$197,RAB!$C$14:$C$197,C1011)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SUMIFS(RAB!$F$14:$F$197,RAB!$C$14:$C$197,C1012)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SUMIFS(RAB!$F$14:$F$197,RAB!$C$14:$C$197,C1013)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SUMIFS(RAB!$F$14:$F$197,RAB!$C$14:$C$197,C1014)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SUMIFS(RAB!$F$14:$F$197,RAB!$C$14:$C$197,C1015)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SUMIFS(RAB!$F$14:$F$197,RAB!$C$14:$C$197,C1016)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SUMIFS(RAB!$F$14:$F$197,RAB!$C$14:$C$197,C1017)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SUMIFS(RAB!$F$14:$F$197,RAB!$C$14:$C$197,C1018)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SUMIFS(RAB!$F$14:$F$197,RAB!$C$14:$C$197,C1019)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SUMIFS(RAB!$F$14:$F$197,RAB!$C$14:$C$197,C1020)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SUMIFS(RAB!$F$14:$F$197,RAB!$C$14:$C$197,C1021)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SUMIFS(RAB!$F$14:$F$197,RAB!$C$14:$C$197,C1022)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SUMIFS(RAB!$F$14:$F$197,RAB!$C$14:$C$197,C1023)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SUMIFS(RAB!$F$14:$F$197,RAB!$C$14:$C$197,C1024)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SUMIFS(RAB!$F$14:$F$197,RAB!$C$14:$C$197,C1025)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SUMIFS(RAB!$F$14:$F$197,RAB!$C$14:$C$197,C1026)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SUMIFS(RAB!$F$14:$F$197,RAB!$C$14:$C$197,C1027)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SUMIFS(RAB!$F$14:$F$197,RAB!$C$14:$C$197,C1028)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SUMIFS(RAB!$F$14:$F$197,RAB!$C$14:$C$197,C1029)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SUMIFS(RAB!$F$14:$F$197,RAB!$C$14:$C$197,C1030)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SUMIFS(RAB!$F$14:$F$197,RAB!$C$14:$C$197,C1031)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SUMIFS(RAB!$F$14:$F$197,RAB!$C$14:$C$197,C1032)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SUMIFS(RAB!$F$14:$F$197,RAB!$C$14:$C$197,C1033)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SUMIFS(RAB!$F$14:$F$197,RAB!$C$14:$C$197,C1034)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SUMIFS(RAB!$F$14:$F$197,RAB!$C$14:$C$197,C1035)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SUMIFS(RAB!$F$14:$F$197,RAB!$C$14:$C$197,C1036)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SUMIFS(RAB!$F$14:$F$197,RAB!$C$14:$C$197,C1037)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SUMIFS(RAB!$F$14:$F$197,RAB!$C$14:$C$197,C1038)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SUMIFS(RAB!$F$14:$F$197,RAB!$C$14:$C$197,C1039)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SUMIFS(RAB!$F$14:$F$197,RAB!$C$14:$C$197,C1040)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SUMIFS(RAB!$F$14:$F$197,RAB!$C$14:$C$197,C1041)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SUMIFS(RAB!$F$14:$F$197,RAB!$C$14:$C$197,C1042)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SUMIFS(RAB!$F$14:$F$197,RAB!$C$14:$C$197,C1043)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SUMIFS(RAB!$F$14:$F$197,RAB!$C$14:$C$197,C1044)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SUMIFS(RAB!$F$14:$F$197,RAB!$C$14:$C$197,C1045)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SUMIFS(RAB!$F$14:$F$197,RAB!$C$14:$C$197,C1046)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SUMIFS(RAB!$F$14:$F$197,RAB!$C$14:$C$197,C1047)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SUMIFS(RAB!$F$14:$F$197,RAB!$C$14:$C$197,C1048)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SUMIFS(RAB!$F$14:$F$197,RAB!$C$14:$C$197,C1049)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SUMIFS(RAB!$F$14:$F$197,RAB!$C$14:$C$197,C1050)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SUMIFS(RAB!$F$14:$F$197,RAB!$C$14:$C$197,C1051)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SUMIFS(RAB!$F$14:$F$197,RAB!$C$14:$C$197,C1052)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SUMIFS(RAB!$F$14:$F$197,RAB!$C$14:$C$197,C1053)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SUMIFS(RAB!$F$14:$F$197,RAB!$C$14:$C$197,C1054)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SUMIFS(RAB!$F$14:$F$197,RAB!$C$14:$C$197,C1055)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SUMIFS(RAB!$F$14:$F$197,RAB!$C$14:$C$197,C1056)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SUMIFS(RAB!$F$14:$F$197,RAB!$C$14:$C$197,C1057)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SUMIFS(RAB!$F$14:$F$197,RAB!$C$14:$C$197,C1058)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SUMIFS(RAB!$F$14:$F$197,RAB!$C$14:$C$197,C1059)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SUMIFS(RAB!$F$14:$F$197,RAB!$C$14:$C$197,C1060)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SUMIFS(RAB!$F$14:$F$197,RAB!$C$14:$C$197,C1061)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SUMIFS(RAB!$F$14:$F$197,RAB!$C$14:$C$197,C1062)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SUMIFS(RAB!$F$14:$F$197,RAB!$C$14:$C$197,C1063)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SUMIFS(RAB!$F$14:$F$197,RAB!$C$14:$C$197,C1064)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SUMIFS(RAB!$F$14:$F$197,RAB!$C$14:$C$197,C1065)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SUMIFS(RAB!$F$14:$F$197,RAB!$C$14:$C$197,C1066)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SUMIFS(RAB!$F$14:$F$197,RAB!$C$14:$C$197,C1067)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SUMIFS(RAB!$F$14:$F$197,RAB!$C$14:$C$197,C1068)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SUMIFS(RAB!$F$14:$F$197,RAB!$C$14:$C$197,C1069)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SUMIFS(RAB!$F$14:$F$197,RAB!$C$14:$C$197,C1070)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SUMIFS(RAB!$F$14:$F$197,RAB!$C$14:$C$197,C1071)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SUMIFS(RAB!$F$14:$F$197,RAB!$C$14:$C$197,C1072)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SUMIFS(RAB!$F$14:$F$197,RAB!$C$14:$C$197,C1073)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SUMIFS(RAB!$F$14:$F$197,RAB!$C$14:$C$197,C1074)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SUMIFS(RAB!$F$14:$F$197,RAB!$C$14:$C$197,C1075)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SUMIFS(RAB!$F$14:$F$197,RAB!$C$14:$C$197,C1076)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SUMIFS(RAB!$F$14:$F$197,RAB!$C$14:$C$197,C1077)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SUMIFS(RAB!$F$14:$F$197,RAB!$C$14:$C$197,C1078)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SUMIFS(RAB!$F$14:$F$197,RAB!$C$14:$C$197,C1079)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SUMIFS(RAB!$F$14:$F$197,RAB!$C$14:$C$197,C1080)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SUMIFS(RAB!$F$14:$F$197,RAB!$C$14:$C$197,C1081)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SUMIFS(RAB!$F$14:$F$197,RAB!$C$14:$C$197,C1082)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SUMIFS(RAB!$F$14:$F$197,RAB!$C$14:$C$197,C1083)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SUMIFS(RAB!$F$14:$F$197,RAB!$C$14:$C$197,C1084)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SUMIFS(RAB!$F$14:$F$197,RAB!$C$14:$C$197,C1085)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SUMIFS(RAB!$F$14:$F$197,RAB!$C$14:$C$197,C1086)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SUMIFS(RAB!$F$14:$F$197,RAB!$C$14:$C$197,C1087)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SUMIFS(RAB!$F$14:$F$197,RAB!$C$14:$C$197,C1088)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SUMIFS(RAB!$F$14:$F$197,RAB!$C$14:$C$197,C1089)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SUMIFS(RAB!$F$14:$F$197,RAB!$C$14:$C$197,C1090)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SUMIFS(RAB!$F$14:$F$197,RAB!$C$14:$C$197,C1091)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SUMIFS(RAB!$F$14:$F$197,RAB!$C$14:$C$197,C1092)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SUMIFS(RAB!$F$14:$F$197,RAB!$C$14:$C$197,C1093)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SUMIFS(RAB!$F$14:$F$197,RAB!$C$14:$C$197,C1094)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SUMIFS(RAB!$F$14:$F$197,RAB!$C$14:$C$197,C1095)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SUMIFS(RAB!$F$14:$F$197,RAB!$C$14:$C$197,C1096)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SUMIFS(RAB!$F$14:$F$197,RAB!$C$14:$C$197,C1097)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SUMIFS(RAB!$F$14:$F$197,RAB!$C$14:$C$197,C1098)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SUMIFS(RAB!$F$14:$F$197,RAB!$C$14:$C$197,C1099)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SUMIFS(RAB!$F$14:$F$197,RAB!$C$14:$C$197,C1100)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SUMIFS(RAB!$F$14:$F$197,RAB!$C$14:$C$197,C1101)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SUMIFS(RAB!$F$14:$F$197,RAB!$C$14:$C$197,C1102)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SUMIFS(RAB!$F$14:$F$197,RAB!$C$14:$C$197,C1103)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SUMIFS(RAB!$F$14:$F$197,RAB!$C$14:$C$197,C1104)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SUMIFS(RAB!$F$14:$F$197,RAB!$C$14:$C$197,C1105)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SUMIFS(RAB!$F$14:$F$197,RAB!$C$14:$C$197,C1106)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SUMIFS(RAB!$F$14:$F$197,RAB!$C$14:$C$197,C1107)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SUMIFS(RAB!$F$14:$F$197,RAB!$C$14:$C$197,C1108)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SUMIFS(RAB!$F$14:$F$197,RAB!$C$14:$C$197,C1109)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SUMIFS(RAB!$F$14:$F$197,RAB!$C$14:$C$197,C1110)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SUMIFS(RAB!$F$14:$F$197,RAB!$C$14:$C$197,C1111)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SUMIFS(RAB!$F$14:$F$197,RAB!$C$14:$C$197,C1112)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SUMIFS(RAB!$F$14:$F$197,RAB!$C$14:$C$197,C1113)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SUMIFS(RAB!$F$14:$F$197,RAB!$C$14:$C$197,C1114)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SUMIFS(RAB!$F$14:$F$197,RAB!$C$14:$C$197,C1115)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SUMIFS(RAB!$F$14:$F$197,RAB!$C$14:$C$197,C1116)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SUMIFS(RAB!$F$14:$F$197,RAB!$C$14:$C$197,C1117)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SUMIFS(RAB!$F$14:$F$197,RAB!$C$14:$C$197,C1118)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SUMIFS(RAB!$F$14:$F$197,RAB!$C$14:$C$197,C1119)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SUMIFS(RAB!$F$14:$F$197,RAB!$C$14:$C$197,C1120)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SUMIFS(RAB!$F$14:$F$197,RAB!$C$14:$C$197,C1121)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SUMIFS(RAB!$F$14:$F$197,RAB!$C$14:$C$197,C1122)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SUMIFS(RAB!$F$14:$F$197,RAB!$C$14:$C$197,C1123)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SUMIFS(RAB!$F$14:$F$197,RAB!$C$14:$C$197,C1124)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SUMIFS(RAB!$F$14:$F$197,RAB!$C$14:$C$197,C1125)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SUMIFS(RAB!$F$14:$F$197,RAB!$C$14:$C$197,C1126)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SUMIFS(RAB!$F$14:$F$197,RAB!$C$14:$C$197,C1127)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SUMIFS(RAB!$F$14:$F$197,RAB!$C$14:$C$197,C1128)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SUMIFS(RAB!$F$14:$F$197,RAB!$C$14:$C$197,C1129)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SUMIFS(RAB!$F$14:$F$197,RAB!$C$14:$C$197,C1130)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SUMIFS(RAB!$F$14:$F$197,RAB!$C$14:$C$197,C1131)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SUMIFS(RAB!$F$14:$F$197,RAB!$C$14:$C$197,C1132)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SUMIFS(RAB!$F$14:$F$197,RAB!$C$14:$C$197,C1133)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SUMIFS(RAB!$F$14:$F$197,RAB!$C$14:$C$197,C1134)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SUMIFS(RAB!$F$14:$F$197,RAB!$C$14:$C$197,C1135)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SUMIFS(RAB!$F$14:$F$197,RAB!$C$14:$C$197,C1136)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SUMIFS(RAB!$F$14:$F$197,RAB!$C$14:$C$197,C1137)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SUMIFS(RAB!$F$14:$F$197,RAB!$C$14:$C$197,C1138)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SUMIFS(RAB!$F$14:$F$197,RAB!$C$14:$C$197,C1139)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SUMIFS(RAB!$F$14:$F$197,RAB!$C$14:$C$197,C1140)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SUMIFS(RAB!$F$14:$F$197,RAB!$C$14:$C$197,C1141)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SUMIFS(RAB!$F$14:$F$197,RAB!$C$14:$C$197,C1142)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SUMIFS(RAB!$F$14:$F$197,RAB!$C$14:$C$197,C1143)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SUMIFS(RAB!$F$14:$F$197,RAB!$C$14:$C$197,C1144)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SUMIFS(RAB!$F$14:$F$197,RAB!$C$14:$C$197,C1145)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SUMIFS(RAB!$F$14:$F$197,RAB!$C$14:$C$197,C1146)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SUMIFS(RAB!$F$14:$F$197,RAB!$C$14:$C$197,C1147)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SUMIFS(RAB!$F$14:$F$197,RAB!$C$14:$C$197,C1148)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SUMIFS(RAB!$F$14:$F$197,RAB!$C$14:$C$197,C1149)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SUMIFS(RAB!$F$14:$F$197,RAB!$C$14:$C$197,C1150)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SUMIFS(RAB!$F$14:$F$197,RAB!$C$14:$C$197,C1151)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SUMIFS(RAB!$F$14:$F$197,RAB!$C$14:$C$197,C1152)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SUMIFS(RAB!$F$14:$F$197,RAB!$C$14:$C$197,C1153)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SUMIFS(RAB!$F$14:$F$197,RAB!$C$14:$C$197,C1154)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SUMIFS(RAB!$F$14:$F$197,RAB!$C$14:$C$197,C1155)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SUMIFS(RAB!$F$14:$F$197,RAB!$C$14:$C$197,C1156)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SUMIFS(RAB!$F$14:$F$197,RAB!$C$14:$C$197,C1157)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SUMIFS(RAB!$F$14:$F$197,RAB!$C$14:$C$197,C1158)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SUMIFS(RAB!$F$14:$F$197,RAB!$C$14:$C$197,C1159)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SUMIFS(RAB!$F$14:$F$197,RAB!$C$14:$C$197,C1160)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SUMIFS(RAB!$F$14:$F$197,RAB!$C$14:$C$197,C1161)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SUMIFS(RAB!$F$14:$F$197,RAB!$C$14:$C$197,C1162)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SUMIFS(RAB!$F$14:$F$197,RAB!$C$14:$C$197,C1163)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SUMIFS(RAB!$F$14:$F$197,RAB!$C$14:$C$197,C1164)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SUMIFS(RAB!$F$14:$F$197,RAB!$C$14:$C$197,C1165)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SUMIFS(RAB!$F$14:$F$197,RAB!$C$14:$C$197,C1166)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SUMIFS(RAB!$F$14:$F$197,RAB!$C$14:$C$197,C1167)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SUMIFS(RAB!$F$14:$F$197,RAB!$C$14:$C$197,C1168)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SUMIFS(RAB!$F$14:$F$197,RAB!$C$14:$C$197,C1169)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SUMIFS(RAB!$F$14:$F$197,RAB!$C$14:$C$197,C1170)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SUMIFS(RAB!$F$14:$F$197,RAB!$C$14:$C$197,C1171)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SUMIFS(RAB!$F$14:$F$197,RAB!$C$14:$C$197,C1172)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SUMIFS(RAB!$F$14:$F$197,RAB!$C$14:$C$197,C1173)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SUMIFS(RAB!$F$14:$F$197,RAB!$C$14:$C$197,C1174)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SUMIFS(RAB!$F$14:$F$197,RAB!$C$14:$C$197,C1175)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SUMIFS(RAB!$F$14:$F$197,RAB!$C$14:$C$197,C1176)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SUMIFS(RAB!$F$14:$F$197,RAB!$C$14:$C$197,C1177)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SUMIFS(RAB!$F$14:$F$197,RAB!$C$14:$C$197,C1178)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SUMIFS(RAB!$F$14:$F$197,RAB!$C$14:$C$197,C1179)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SUMIFS(RAB!$F$14:$F$197,RAB!$C$14:$C$197,C1180)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SUMIFS(RAB!$F$14:$F$197,RAB!$C$14:$C$197,C1181)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SUMIFS(RAB!$F$14:$F$197,RAB!$C$14:$C$197,C1182)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SUMIFS(RAB!$F$14:$F$197,RAB!$C$14:$C$197,C1183)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SUMIFS(RAB!$F$14:$F$197,RAB!$C$14:$C$197,C1184)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SUMIFS(RAB!$F$14:$F$197,RAB!$C$14:$C$197,C1185)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SUMIFS(RAB!$F$14:$F$197,RAB!$C$14:$C$197,C1186)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SUMIFS(RAB!$F$14:$F$197,RAB!$C$14:$C$197,C1187)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SUMIFS(RAB!$F$14:$F$197,RAB!$C$14:$C$197,C1188)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SUMIFS(RAB!$F$14:$F$197,RAB!$C$14:$C$197,C1189)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SUMIFS(RAB!$F$14:$F$197,RAB!$C$14:$C$197,C1190)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SUMIFS(RAB!$F$14:$F$197,RAB!$C$14:$C$197,C1191)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SUMIFS(RAB!$F$14:$F$197,RAB!$C$14:$C$197,C1192)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SUMIFS(RAB!$F$14:$F$197,RAB!$C$14:$C$197,C1193)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SUMIFS(RAB!$F$14:$F$197,RAB!$C$14:$C$197,C1194)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SUMIFS(RAB!$F$14:$F$197,RAB!$C$14:$C$197,C1195)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SUMIFS(RAB!$F$14:$F$197,RAB!$C$14:$C$197,C1196)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SUMIFS(RAB!$F$14:$F$197,RAB!$C$14:$C$197,C1197)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SUMIFS(RAB!$F$14:$F$197,RAB!$C$14:$C$197,C1198)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SUMIFS(RAB!$F$14:$F$197,RAB!$C$14:$C$197,C1199)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SUMIFS(RAB!$F$14:$F$197,RAB!$C$14:$C$197,C1200)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SUMIFS(RAB!$F$14:$F$197,RAB!$C$14:$C$197,C1201)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SUMIFS(RAB!$F$14:$F$197,RAB!$C$14:$C$197,C1202)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SUMIFS(RAB!$F$14:$F$197,RAB!$C$14:$C$197,C1203)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SUMIFS(RAB!$F$14:$F$197,RAB!$C$14:$C$197,C1204)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SUMIFS(RAB!$F$14:$F$197,RAB!$C$14:$C$197,C1205)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SUMIFS(RAB!$F$14:$F$197,RAB!$C$14:$C$197,C1206)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SUMIFS(RAB!$F$14:$F$197,RAB!$C$14:$C$197,C1207)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SUMIFS(RAB!$F$14:$F$197,RAB!$C$14:$C$197,C1208)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SUMIFS(RAB!$F$14:$F$197,RAB!$C$14:$C$197,C1209)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SUMIFS(RAB!$F$14:$F$197,RAB!$C$14:$C$197,C1210)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SUMIFS(RAB!$F$14:$F$197,RAB!$C$14:$C$197,C1211)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SUMIFS(RAB!$F$14:$F$197,RAB!$C$14:$C$197,C1212)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SUMIFS(RAB!$F$14:$F$197,RAB!$C$14:$C$197,C1213)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SUMIFS(RAB!$F$14:$F$197,RAB!$C$14:$C$197,C1214)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SUMIFS(RAB!$F$14:$F$197,RAB!$C$14:$C$197,C1215)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SUMIFS(RAB!$F$14:$F$197,RAB!$C$14:$C$197,C1216)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SUMIFS(RAB!$F$14:$F$197,RAB!$C$14:$C$197,C1217)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SUMIFS(RAB!$F$14:$F$197,RAB!$C$14:$C$197,C1218)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SUMIFS(RAB!$F$14:$F$197,RAB!$C$14:$C$197,C1219)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SUMIFS(RAB!$F$14:$F$197,RAB!$C$14:$C$197,C1220)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SUMIFS(RAB!$F$14:$F$197,RAB!$C$14:$C$197,C1221)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SUMIFS(RAB!$F$14:$F$197,RAB!$C$14:$C$197,C1222)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SUMIFS(RAB!$F$14:$F$197,RAB!$C$14:$C$197,C1223)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SUMIFS(RAB!$F$14:$F$197,RAB!$C$14:$C$197,C1224)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SUMIFS(RAB!$F$14:$F$197,RAB!$C$14:$C$197,C1225)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SUMIFS(RAB!$F$14:$F$197,RAB!$C$14:$C$197,C1226)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SUMIFS(RAB!$F$14:$F$197,RAB!$C$14:$C$197,C1227)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SUMIFS(RAB!$F$14:$F$197,RAB!$C$14:$C$197,C1228)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SUMIFS(RAB!$F$14:$F$197,RAB!$C$14:$C$197,C1229)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SUMIFS(RAB!$F$14:$F$197,RAB!$C$14:$C$197,C1230)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SUMIFS(RAB!$F$14:$F$197,RAB!$C$14:$C$197,C1231)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SUMIFS(RAB!$F$14:$F$197,RAB!$C$14:$C$197,C1232)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SUMIFS(RAB!$F$14:$F$197,RAB!$C$14:$C$197,C1233)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SUMIFS(RAB!$F$14:$F$197,RAB!$C$14:$C$197,C1234)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SUMIFS(RAB!$F$14:$F$197,RAB!$C$14:$C$197,C1235)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SUMIFS(RAB!$F$14:$F$197,RAB!$C$14:$C$197,C1236)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SUMIFS(RAB!$F$14:$F$197,RAB!$C$14:$C$197,C1237)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SUMIFS(RAB!$F$14:$F$197,RAB!$C$14:$C$197,C1238)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SUMIFS(RAB!$F$14:$F$197,RAB!$C$14:$C$197,C1239)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SUMIFS(RAB!$F$14:$F$197,RAB!$C$14:$C$197,C1240)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SUMIFS(RAB!$F$14:$F$197,RAB!$C$14:$C$197,C1241)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SUMIFS(RAB!$F$14:$F$197,RAB!$C$14:$C$197,C1242)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SUMIFS(RAB!$F$14:$F$197,RAB!$C$14:$C$197,C1243)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SUMIFS(RAB!$F$14:$F$197,RAB!$C$14:$C$197,C1244)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SUMIFS(RAB!$F$14:$F$197,RAB!$C$14:$C$197,C1245)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SUMIFS(RAB!$F$14:$F$197,RAB!$C$14:$C$197,C1246)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SUMIFS(RAB!$F$14:$F$197,RAB!$C$14:$C$197,C1247)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SUMIFS(RAB!$F$14:$F$197,RAB!$C$14:$C$197,C1248)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SUMIFS(RAB!$F$14:$F$197,RAB!$C$14:$C$197,C1249)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SUMIFS(RAB!$F$14:$F$197,RAB!$C$14:$C$197,C1250)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SUMIFS(RAB!$F$14:$F$197,RAB!$C$14:$C$197,C1251)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SUMIFS(RAB!$F$14:$F$197,RAB!$C$14:$C$197,C1252)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SUMIFS(RAB!$F$14:$F$197,RAB!$C$14:$C$197,C1253)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SUMIFS(RAB!$F$14:$F$197,RAB!$C$14:$C$197,C1254)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SUMIFS(RAB!$F$14:$F$197,RAB!$C$14:$C$197,C1255)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SUMIFS(RAB!$F$14:$F$197,RAB!$C$14:$C$197,C1256)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SUMIFS(RAB!$F$14:$F$197,RAB!$C$14:$C$197,C1257)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SUMIFS(RAB!$F$14:$F$197,RAB!$C$14:$C$197,C1258)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SUMIFS(RAB!$F$14:$F$197,RAB!$C$14:$C$197,C1259)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SUMIFS(RAB!$F$14:$F$197,RAB!$C$14:$C$197,C1260)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SUMIFS(RAB!$F$14:$F$197,RAB!$C$14:$C$197,C1261)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SUMIFS(RAB!$F$14:$F$197,RAB!$C$14:$C$197,C1262)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SUMIFS(RAB!$F$14:$F$197,RAB!$C$14:$C$197,C1263)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SUMIFS(RAB!$F$14:$F$197,RAB!$C$14:$C$197,C1264)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SUMIFS(RAB!$F$14:$F$197,RAB!$C$14:$C$197,C1265)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SUMIFS(RAB!$F$14:$F$197,RAB!$C$14:$C$197,C1266)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SUMIFS(RAB!$F$14:$F$197,RAB!$C$14:$C$197,C1267)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SUMIFS(RAB!$F$14:$F$197,RAB!$C$14:$C$197,C1268)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SUMIFS(RAB!$F$14:$F$197,RAB!$C$14:$C$197,C1269)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SUMIFS(RAB!$F$14:$F$197,RAB!$C$14:$C$197,C1270)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SUMIFS(RAB!$F$14:$F$197,RAB!$C$14:$C$197,C1271)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SUMIFS(RAB!$F$14:$F$197,RAB!$C$14:$C$197,C1272)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SUMIFS(RAB!$F$14:$F$197,RAB!$C$14:$C$197,C1273)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SUMIFS(RAB!$F$14:$F$197,RAB!$C$14:$C$197,C1274)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SUMIFS(RAB!$F$14:$F$197,RAB!$C$14:$C$197,C1275)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SUMIFS(RAB!$F$14:$F$197,RAB!$C$14:$C$197,C1276)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SUMIFS(RAB!$F$14:$F$197,RAB!$C$14:$C$197,C1277)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SUMIFS(RAB!$F$14:$F$197,RAB!$C$14:$C$197,C1278)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SUMIFS(RAB!$F$14:$F$197,RAB!$C$14:$C$197,C1279)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SUMIFS(RAB!$F$14:$F$197,RAB!$C$14:$C$197,C1280)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SUMIFS(RAB!$F$14:$F$197,RAB!$C$14:$C$197,C1281)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SUMIFS(RAB!$F$14:$F$197,RAB!$C$14:$C$197,C1282)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SUMIFS(RAB!$F$14:$F$197,RAB!$C$14:$C$197,C1283)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SUMIFS(RAB!$F$14:$F$197,RAB!$C$14:$C$197,C1284)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SUMIFS(RAB!$F$14:$F$197,RAB!$C$14:$C$197,C1285)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SUMIFS(RAB!$F$14:$F$197,RAB!$C$14:$C$197,C1286)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SUMIFS(RAB!$F$14:$F$197,RAB!$C$14:$C$197,C1287)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SUMIFS(RAB!$F$14:$F$197,RAB!$C$14:$C$197,C1288)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SUMIFS(RAB!$F$14:$F$197,RAB!$C$14:$C$197,C1289)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SUMIFS(RAB!$F$14:$F$197,RAB!$C$14:$C$197,C1290)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SUMIFS(RAB!$F$14:$F$197,RAB!$C$14:$C$197,C1291)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SUMIFS(RAB!$F$14:$F$197,RAB!$C$14:$C$197,C1292)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SUMIFS(RAB!$F$14:$F$197,RAB!$C$14:$C$197,C1293)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SUMIFS(RAB!$F$14:$F$197,RAB!$C$14:$C$197,C1294)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SUMIFS(RAB!$F$14:$F$197,RAB!$C$14:$C$197,C1295)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SUMIFS(RAB!$F$14:$F$197,RAB!$C$14:$C$197,C1296)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SUMIFS(RAB!$F$14:$F$197,RAB!$C$14:$C$197,C1297)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SUMIFS(RAB!$F$14:$F$197,RAB!$C$14:$C$197,C1298)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SUMIFS(RAB!$F$14:$F$197,RAB!$C$14:$C$197,C1299)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SUMIFS(RAB!$F$14:$F$197,RAB!$C$14:$C$197,C1300)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SUMIFS(RAB!$F$14:$F$197,RAB!$C$14:$C$197,C1301)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SUMIFS(RAB!$F$14:$F$197,RAB!$C$14:$C$197,C1302)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SUMIFS(RAB!$F$14:$F$197,RAB!$C$14:$C$197,C1303)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SUMIFS(RAB!$F$14:$F$197,RAB!$C$14:$C$197,C1304)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SUMIFS(RAB!$F$14:$F$197,RAB!$C$14:$C$197,C1305)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SUMIFS(RAB!$F$14:$F$197,RAB!$C$14:$C$197,C1306)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SUMIFS(RAB!$F$14:$F$197,RAB!$C$14:$C$197,C1307)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SUMIFS(RAB!$F$14:$F$197,RAB!$C$14:$C$197,C1308)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SUMIFS(RAB!$F$14:$F$197,RAB!$C$14:$C$197,C1309)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SUMIFS(RAB!$F$14:$F$197,RAB!$C$14:$C$197,C1310)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SUMIFS(RAB!$F$14:$F$197,RAB!$C$14:$C$197,C1311)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SUMIFS(RAB!$F$14:$F$197,RAB!$C$14:$C$197,C1312)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SUMIFS(RAB!$F$14:$F$197,RAB!$C$14:$C$197,C1313)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SUMIFS(RAB!$F$14:$F$197,RAB!$C$14:$C$197,C1314)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SUMIFS(RAB!$F$14:$F$197,RAB!$C$14:$C$197,C1315)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SUMIFS(RAB!$F$14:$F$197,RAB!$C$14:$C$197,C1316)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SUMIFS(RAB!$F$14:$F$197,RAB!$C$14:$C$197,C1317)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SUMIFS(RAB!$F$14:$F$197,RAB!$C$14:$C$197,C1318)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SUMIFS(RAB!$F$14:$F$197,RAB!$C$14:$C$197,C1319)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SUMIFS(RAB!$F$14:$F$197,RAB!$C$14:$C$197,C1320)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5" priority="5" operator="equal">
      <formula>0</formula>
    </cfRule>
  </conditionalFormatting>
  <conditionalFormatting sqref="A10:L65536">
    <cfRule type="cellIs" dxfId="74" priority="1" operator="equal">
      <formula>0</formula>
    </cfRule>
  </conditionalFormatting>
  <conditionalFormatting sqref="C12:C711">
    <cfRule type="cellIs" dxfId="73" priority="66" stopIfTrue="1" operator="equal">
      <formula>0</formula>
    </cfRule>
  </conditionalFormatting>
  <conditionalFormatting sqref="E712:E65536">
    <cfRule type="cellIs" dxfId="72" priority="16" stopIfTrue="1" operator="equal">
      <formula>0</formula>
    </cfRule>
  </conditionalFormatting>
  <conditionalFormatting sqref="G1:G11 E6:E11 E1:E3 H7 H10:H11 F10:F711 G712:G65536">
    <cfRule type="cellIs" dxfId="71" priority="69" stopIfTrue="1" operator="equal">
      <formula>0</formula>
    </cfRule>
  </conditionalFormatting>
  <conditionalFormatting sqref="G12:H711">
    <cfRule type="cellIs" dxfId="70" priority="12" stopIfTrue="1" operator="equal">
      <formula>0</formula>
    </cfRule>
  </conditionalFormatting>
  <conditionalFormatting sqref="I7:K7">
    <cfRule type="cellIs" dxfId="69" priority="4" stopIfTrue="1" operator="equal">
      <formula>0</formula>
    </cfRule>
  </conditionalFormatting>
  <conditionalFormatting sqref="I10:L711">
    <cfRule type="cellIs" dxfId="68" priority="2" stopIfTrue="1" operator="equal">
      <formula>0</formula>
    </cfRule>
  </conditionalFormatting>
  <conditionalFormatting sqref="L1:L6">
    <cfRule type="cellIs" dxfId="67" priority="10" operator="equal">
      <formula>0</formula>
    </cfRule>
  </conditionalFormatting>
  <conditionalFormatting sqref="M1:IV1048576 A8:G9">
    <cfRule type="cellIs" dxfId="6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88" t="s">
        <v>1127</v>
      </c>
      <c r="C4" s="488"/>
      <c r="D4" s="488"/>
      <c r="E4" s="488"/>
      <c r="F4" s="488"/>
      <c r="G4" s="488"/>
      <c r="H4" s="488"/>
      <c r="I4" s="488"/>
      <c r="J4" s="488"/>
      <c r="K4" s="48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12" t="str">
        <f>RAB!G6</f>
        <v>PB DAYA 41,5 KVA DEDI IRAWAN</v>
      </c>
      <c r="H6" s="512"/>
      <c r="I6" s="512"/>
      <c r="J6" s="512"/>
      <c r="K6" s="51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JANGKUNGHARJO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89" t="s">
        <v>0</v>
      </c>
      <c r="C11" s="491" t="s">
        <v>1</v>
      </c>
      <c r="D11" s="494" t="s">
        <v>42</v>
      </c>
      <c r="E11" s="494" t="s">
        <v>43</v>
      </c>
      <c r="F11" s="494" t="s">
        <v>2</v>
      </c>
      <c r="G11" s="496" t="s">
        <v>41</v>
      </c>
      <c r="H11" s="494" t="s">
        <v>3</v>
      </c>
      <c r="I11" s="494"/>
      <c r="J11" s="494"/>
      <c r="K11" s="499"/>
      <c r="M11" s="33"/>
      <c r="N11" s="33"/>
      <c r="O11" s="33"/>
      <c r="P11" s="33"/>
      <c r="R11" s="34"/>
      <c r="S11" s="74"/>
      <c r="T11" s="74"/>
    </row>
    <row r="12" spans="1:21" ht="15" customHeight="1">
      <c r="B12" s="490"/>
      <c r="C12" s="492"/>
      <c r="D12" s="495"/>
      <c r="E12" s="495"/>
      <c r="F12" s="495"/>
      <c r="G12" s="497"/>
      <c r="H12" s="503" t="s">
        <v>46</v>
      </c>
      <c r="I12" s="503" t="s">
        <v>5</v>
      </c>
      <c r="J12" s="495" t="s">
        <v>47</v>
      </c>
      <c r="K12" s="50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90"/>
      <c r="C13" s="493"/>
      <c r="D13" s="495"/>
      <c r="E13" s="495"/>
      <c r="F13" s="495"/>
      <c r="G13" s="498"/>
      <c r="H13" s="504"/>
      <c r="I13" s="504"/>
      <c r="J13" s="495"/>
      <c r="K13" s="50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17400000</v>
      </c>
      <c r="J16" s="42">
        <f t="shared" ca="1" si="3"/>
        <v>0</v>
      </c>
      <c r="K16" s="43">
        <f t="shared" ca="1" si="0"/>
        <v>17400000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1</v>
      </c>
      <c r="G17" s="41">
        <f ca="1">IF(ISERROR(OFFSET('HARGA SATUAN'!$I$6,MATCH(C17,'HARGA SATUAN'!$C$7:$C$1495,0),0)),"",OFFSET('HARGA SATUAN'!$I$6,MATCH(C17,'HARGA SATUAN'!$C$7:$C$1495,0),0))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13" t="s">
        <v>1008</v>
      </c>
      <c r="D38" s="513"/>
      <c r="E38" s="513"/>
      <c r="F38" s="513"/>
      <c r="G38" s="77" t="s">
        <v>9</v>
      </c>
      <c r="H38" s="55">
        <f ca="1">SUM(H14:H37)</f>
        <v>0</v>
      </c>
      <c r="I38" s="55">
        <f ca="1">SUM(I14:I37)</f>
        <v>23474400</v>
      </c>
      <c r="J38" s="55">
        <f ca="1">SUM(J14:J37)</f>
        <v>0</v>
      </c>
      <c r="K38" s="55">
        <f ca="1">SUM(K14:K37)</f>
        <v>23474400</v>
      </c>
      <c r="L38" s="44"/>
      <c r="R38" s="99"/>
      <c r="S38" s="99"/>
      <c r="T38" s="99"/>
    </row>
    <row r="39" spans="1:20" s="36" customFormat="1">
      <c r="A39" s="30"/>
      <c r="B39" s="56"/>
      <c r="C39" s="514" t="s">
        <v>462</v>
      </c>
      <c r="D39" s="514"/>
      <c r="E39" s="514"/>
      <c r="F39" s="514"/>
      <c r="G39" s="59" t="s">
        <v>9</v>
      </c>
      <c r="H39" s="60">
        <f ca="1">H38*0.1</f>
        <v>0</v>
      </c>
      <c r="I39" s="60">
        <f ca="1">I38*0.1</f>
        <v>2347440</v>
      </c>
      <c r="J39" s="60">
        <f ca="1">J38*0.1</f>
        <v>0</v>
      </c>
      <c r="K39" s="60">
        <f ca="1">K38*0.1</f>
        <v>2347440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05" t="s">
        <v>463</v>
      </c>
      <c r="D40" s="505"/>
      <c r="E40" s="505"/>
      <c r="F40" s="505"/>
      <c r="G40" s="61" t="s">
        <v>9</v>
      </c>
      <c r="H40" s="78">
        <f ca="1">SUM(H38:H39)</f>
        <v>0</v>
      </c>
      <c r="I40" s="78">
        <f ca="1">SUM(I38:I39)</f>
        <v>25821840</v>
      </c>
      <c r="J40" s="61">
        <f ca="1">SUM(J38:J39)</f>
        <v>0</v>
      </c>
      <c r="K40" s="61">
        <f ca="1">SUM(K38:K39)</f>
        <v>25821840</v>
      </c>
      <c r="L40" s="44"/>
      <c r="R40" s="99"/>
      <c r="S40" s="99"/>
      <c r="T40" s="99"/>
    </row>
    <row r="41" spans="1:20" s="36" customFormat="1">
      <c r="A41" s="30"/>
      <c r="B41" s="506" t="e">
        <f ca="1">"Terbilang : ( "&amp;L42&amp;" Rupiah )"</f>
        <v>#NAME?</v>
      </c>
      <c r="C41" s="507"/>
      <c r="D41" s="507"/>
      <c r="E41" s="507"/>
      <c r="F41" s="507"/>
      <c r="G41" s="507"/>
      <c r="H41" s="507"/>
      <c r="I41" s="507"/>
      <c r="J41" s="507"/>
      <c r="K41" s="508"/>
      <c r="L41" s="44"/>
      <c r="R41" s="58"/>
      <c r="S41" s="58"/>
      <c r="T41" s="58"/>
    </row>
    <row r="42" spans="1:20" s="36" customFormat="1">
      <c r="A42" s="30"/>
      <c r="B42" s="509"/>
      <c r="C42" s="510"/>
      <c r="D42" s="510"/>
      <c r="E42" s="510"/>
      <c r="F42" s="510"/>
      <c r="G42" s="510"/>
      <c r="H42" s="510"/>
      <c r="I42" s="510"/>
      <c r="J42" s="510"/>
      <c r="K42" s="511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00"/>
      <c r="I45" s="500"/>
      <c r="J45" s="501"/>
      <c r="K45" s="50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00"/>
      <c r="I46" s="500"/>
      <c r="J46" s="501"/>
      <c r="K46" s="50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00"/>
      <c r="I47" s="500"/>
      <c r="J47" s="501"/>
      <c r="K47" s="50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00"/>
      <c r="I52" s="500"/>
      <c r="J52" s="501"/>
      <c r="K52" s="50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SUMIFS(RAB!$F$14:$F$197,RAB!$C$14:$C$197,'REKAP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SUMIFS(RAB!$F$14:$F$197,RAB!$C$14:$C$197,'REKAP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SUMIFS(RAB!$F$14:$F$197,RAB!$C$14:$C$197,'REKAP TIANG'!C59)</f>
        <v>3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SUMIFS(RAB!$F$14:$F$197,RAB!$C$14:$C$197,'REKAP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SUMIFS(RAB!$F$14:$F$197,RAB!$C$14:$C$197,'REKAP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SUMIFS(RAB!$F$14:$F$197,RAB!$C$14:$C$197,'REKAP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SUMIFS(RAB!$F$14:$F$197,RAB!$C$14:$C$197,'REKAP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SUMIFS(RAB!$F$14:$F$197,RAB!$C$14:$C$197,'REKAP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SUMIFS(RAB!$F$14:$F$197,RAB!$C$14:$C$197,'REKAP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SUMIFS(RAB!$F$14:$F$197,RAB!$C$14:$C$197,'REKAP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SUMIFS(RAB!$F$14:$F$197,RAB!$C$14:$C$197,'REKAP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SUMIFS(RAB!$F$14:$F$197,RAB!$C$14:$C$197,'REKAP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SUMIFS(RAB!$F$14:$F$197,RAB!$C$14:$C$197,'REKAP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SUMIFS(RAB!$F$14:$F$197,RAB!$C$14:$C$197,'REKAP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SUMIFS(RAB!$F$14:$F$197,RAB!$C$14:$C$197,'REKAP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SUMIFS(RAB!$F$14:$F$197,RAB!$C$14:$C$197,'REKAP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SUMIFS(RAB!$F$14:$F$197,RAB!$C$14:$C$197,'REKAP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SUMIFS(RAB!$F$14:$F$197,RAB!$C$14:$C$197,'REKAP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SUMIFS(RAB!$F$14:$F$197,RAB!$C$14:$C$197,'REKAP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SUMIFS(RAB!$F$14:$F$197,RAB!$C$14:$C$197,'REKAP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88" t="s">
        <v>1034</v>
      </c>
      <c r="C4" s="488"/>
      <c r="D4" s="488"/>
      <c r="E4" s="488"/>
      <c r="F4" s="488"/>
      <c r="G4" s="488"/>
      <c r="H4" s="488"/>
      <c r="I4" s="488"/>
      <c r="J4" s="488"/>
      <c r="K4" s="48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12" t="str">
        <f>RAB!G6</f>
        <v>PB DAYA 41,5 KVA DEDI IRAWAN</v>
      </c>
      <c r="H6" s="512"/>
      <c r="I6" s="512"/>
      <c r="J6" s="512"/>
      <c r="K6" s="51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JANGKUNGHARJO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89" t="s">
        <v>0</v>
      </c>
      <c r="C11" s="491" t="s">
        <v>1</v>
      </c>
      <c r="D11" s="494" t="s">
        <v>42</v>
      </c>
      <c r="E11" s="494" t="s">
        <v>43</v>
      </c>
      <c r="F11" s="494" t="s">
        <v>2</v>
      </c>
      <c r="G11" s="496" t="s">
        <v>41</v>
      </c>
      <c r="H11" s="494" t="s">
        <v>3</v>
      </c>
      <c r="I11" s="494"/>
      <c r="J11" s="494"/>
      <c r="K11" s="499"/>
      <c r="M11" s="33"/>
      <c r="N11" s="33"/>
      <c r="O11" s="33"/>
      <c r="P11" s="33"/>
      <c r="R11" s="34"/>
      <c r="S11" s="74"/>
      <c r="T11" s="74"/>
    </row>
    <row r="12" spans="1:21" ht="15" customHeight="1">
      <c r="B12" s="490"/>
      <c r="C12" s="492"/>
      <c r="D12" s="495"/>
      <c r="E12" s="495"/>
      <c r="F12" s="495"/>
      <c r="G12" s="497"/>
      <c r="H12" s="503" t="s">
        <v>46</v>
      </c>
      <c r="I12" s="503" t="s">
        <v>5</v>
      </c>
      <c r="J12" s="495" t="s">
        <v>47</v>
      </c>
      <c r="K12" s="50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90"/>
      <c r="C13" s="493"/>
      <c r="D13" s="495"/>
      <c r="E13" s="495"/>
      <c r="F13" s="495"/>
      <c r="G13" s="498"/>
      <c r="H13" s="504"/>
      <c r="I13" s="504"/>
      <c r="J13" s="495"/>
      <c r="K13" s="50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40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1216000</v>
      </c>
      <c r="I22" s="42">
        <f t="shared" ca="1" si="2"/>
        <v>0</v>
      </c>
      <c r="J22" s="42">
        <f t="shared" ca="1" si="3"/>
        <v>0</v>
      </c>
      <c r="K22" s="43">
        <f t="shared" ca="1" si="0"/>
        <v>1216000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180</v>
      </c>
      <c r="G23" s="41">
        <f ca="1">IF(ISERROR(OFFSET('HARGA SATUAN'!$I$6,MATCH(C23,'HARGA SATUAN'!$C$7:$C$1495,0),0)),"",OFFSET('HARGA SATUAN'!$I$6,MATCH(C23,'HARGA SATUAN'!$C$7:$C$1495,0),0))</f>
        <v>54500</v>
      </c>
      <c r="H23" s="42">
        <f t="shared" ca="1" si="1"/>
        <v>9810000</v>
      </c>
      <c r="I23" s="42">
        <f t="shared" ca="1" si="2"/>
        <v>0</v>
      </c>
      <c r="J23" s="42">
        <f t="shared" ca="1" si="3"/>
        <v>0</v>
      </c>
      <c r="K23" s="43">
        <f t="shared" ca="1" si="0"/>
        <v>9810000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13" t="s">
        <v>1008</v>
      </c>
      <c r="D168" s="513"/>
      <c r="E168" s="513"/>
      <c r="F168" s="513"/>
      <c r="G168" s="77" t="s">
        <v>9</v>
      </c>
      <c r="H168" s="55">
        <f ca="1">SUM(H14:H167)</f>
        <v>63625750</v>
      </c>
      <c r="I168" s="55">
        <f ca="1">SUM(I14:I167)</f>
        <v>0</v>
      </c>
      <c r="J168" s="55">
        <f ca="1">SUM(J14:J167)</f>
        <v>0</v>
      </c>
      <c r="K168" s="55">
        <f ca="1">SUM(K14:K167)</f>
        <v>63625750</v>
      </c>
      <c r="L168" s="44"/>
      <c r="R168" s="99"/>
      <c r="S168" s="99"/>
      <c r="T168" s="99"/>
    </row>
    <row r="169" spans="1:20" s="36" customFormat="1">
      <c r="A169" s="30"/>
      <c r="B169" s="56"/>
      <c r="C169" s="514" t="s">
        <v>462</v>
      </c>
      <c r="D169" s="514"/>
      <c r="E169" s="514"/>
      <c r="F169" s="514"/>
      <c r="G169" s="59" t="s">
        <v>9</v>
      </c>
      <c r="H169" s="60">
        <f ca="1">H168*0.1</f>
        <v>6362575</v>
      </c>
      <c r="I169" s="60">
        <f ca="1">I168*0.1</f>
        <v>0</v>
      </c>
      <c r="J169" s="60">
        <f ca="1">J168*0.1</f>
        <v>0</v>
      </c>
      <c r="K169" s="60">
        <f ca="1">K168*0.1</f>
        <v>6362575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05" t="s">
        <v>463</v>
      </c>
      <c r="D170" s="505"/>
      <c r="E170" s="505"/>
      <c r="F170" s="505"/>
      <c r="G170" s="61" t="s">
        <v>9</v>
      </c>
      <c r="H170" s="78">
        <f ca="1">SUM(H168:H169)</f>
        <v>69988325</v>
      </c>
      <c r="I170" s="78">
        <f ca="1">SUM(I168:I169)</f>
        <v>0</v>
      </c>
      <c r="J170" s="61">
        <f ca="1">SUM(J168:J169)</f>
        <v>0</v>
      </c>
      <c r="K170" s="61">
        <f ca="1">SUM(K168:K169)</f>
        <v>69988325</v>
      </c>
      <c r="L170" s="44"/>
      <c r="R170" s="99"/>
      <c r="S170" s="99"/>
      <c r="T170" s="99"/>
    </row>
    <row r="171" spans="1:20" s="36" customFormat="1">
      <c r="A171" s="30"/>
      <c r="B171" s="506" t="e">
        <f ca="1">"Terbilang : ( "&amp;L172&amp;" Rupiah )"</f>
        <v>#NAME?</v>
      </c>
      <c r="C171" s="507"/>
      <c r="D171" s="507"/>
      <c r="E171" s="507"/>
      <c r="F171" s="507"/>
      <c r="G171" s="507"/>
      <c r="H171" s="507"/>
      <c r="I171" s="507"/>
      <c r="J171" s="507"/>
      <c r="K171" s="508"/>
      <c r="L171" s="44"/>
      <c r="R171" s="58"/>
      <c r="S171" s="58"/>
      <c r="T171" s="58"/>
    </row>
    <row r="172" spans="1:20" s="36" customFormat="1">
      <c r="A172" s="30"/>
      <c r="B172" s="509"/>
      <c r="C172" s="510"/>
      <c r="D172" s="510"/>
      <c r="E172" s="510"/>
      <c r="F172" s="510"/>
      <c r="G172" s="510"/>
      <c r="H172" s="510"/>
      <c r="I172" s="510"/>
      <c r="J172" s="510"/>
      <c r="K172" s="511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00"/>
      <c r="I175" s="500"/>
      <c r="J175" s="501"/>
      <c r="K175" s="50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00"/>
      <c r="I176" s="500"/>
      <c r="J176" s="501"/>
      <c r="K176" s="50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00"/>
      <c r="I177" s="500"/>
      <c r="J177" s="501"/>
      <c r="K177" s="50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00"/>
      <c r="I182" s="500"/>
      <c r="J182" s="501"/>
      <c r="K182" s="50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SUMIFS(RAB!$F$14:$F$197,RAB!$C$14:$C$197,C224)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SUMIFS(RAB!$F$14:$F$197,RAB!$C$14:$C$197,C225)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SUMIFS(RAB!$F$14:$F$197,RAB!$C$14:$C$197,C226)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SUMIFS(RAB!$F$14:$F$197,RAB!$C$14:$C$197,C227)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SUMIFS(RAB!$F$14:$F$197,RAB!$C$14:$C$197,C228)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SUMIFS(RAB!$F$14:$F$197,RAB!$C$14:$C$197,C229)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SUMIFS(RAB!$F$14:$F$197,RAB!$C$14:$C$197,C230)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SUMIFS(RAB!$F$14:$F$197,RAB!$C$14:$C$197,C231)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SUMIFS(RAB!$F$14:$F$197,RAB!$C$14:$C$197,C232)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SUMIFS(RAB!$F$14:$F$197,RAB!$C$14:$C$197,C233)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SUMIFS(RAB!$F$14:$F$197,RAB!$C$14:$C$197,C234)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SUMIFS(RAB!$F$14:$F$197,RAB!$C$14:$C$197,C235)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SUMIFS(RAB!$F$14:$F$197,RAB!$C$14:$C$197,C236)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SUMIFS(RAB!$F$14:$F$197,RAB!$C$14:$C$197,C237)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SUMIFS(RAB!$F$14:$F$197,RAB!$C$14:$C$197,C238)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SUMIFS(RAB!$F$14:$F$197,RAB!$C$14:$C$197,C239)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SUMIFS(RAB!$F$14:$F$197,RAB!$C$14:$C$197,C240)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SUMIFS(RAB!$F$14:$F$197,RAB!$C$14:$C$197,C241)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SUMIFS(RAB!$F$14:$F$197,RAB!$C$14:$C$197,C242)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SUMIFS(RAB!$F$14:$F$197,RAB!$C$14:$C$197,C243)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SUMIFS(RAB!$F$14:$F$197,RAB!$C$14:$C$197,C244)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SUMIFS(RAB!$F$14:$F$197,RAB!$C$14:$C$197,C245)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SUMIFS(RAB!$F$14:$F$197,RAB!$C$14:$C$197,C246)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SUMIFS(RAB!$F$14:$F$197,RAB!$C$14:$C$197,C247)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SUMIFS(RAB!$F$14:$F$197,RAB!$C$14:$C$197,C248)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SUMIFS(RAB!$F$14:$F$197,RAB!$C$14:$C$197,C249)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SUMIFS(RAB!$F$14:$F$197,RAB!$C$14:$C$197,C250)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SUMIFS(RAB!$F$14:$F$197,RAB!$C$14:$C$197,C251)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SUMIFS(RAB!$F$14:$F$197,RAB!$C$14:$C$197,C252)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SUMIFS(RAB!$F$14:$F$197,RAB!$C$14:$C$197,C253)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SUMIFS(RAB!$F$14:$F$197,RAB!$C$14:$C$197,C254)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SUMIFS(RAB!$F$14:$F$197,RAB!$C$14:$C$197,C255)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SUMIFS(RAB!$F$14:$F$197,RAB!$C$14:$C$197,C256)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SUMIFS(RAB!$F$14:$F$197,RAB!$C$14:$C$197,C257)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SUMIFS(RAB!$F$14:$F$197,RAB!$C$14:$C$197,C258)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SUMIFS(RAB!$F$14:$F$197,RAB!$C$14:$C$197,C259)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SUMIFS(RAB!$F$14:$F$197,RAB!$C$14:$C$197,C260)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SUMIFS(RAB!$F$14:$F$197,RAB!$C$14:$C$197,C261)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SUMIFS(RAB!$F$14:$F$197,RAB!$C$14:$C$197,C262)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SUMIFS(RAB!$F$14:$F$197,RAB!$C$14:$C$197,C263)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SUMIFS(RAB!$F$14:$F$197,RAB!$C$14:$C$197,C264)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SUMIFS(RAB!$F$14:$F$197,RAB!$C$14:$C$197,C265)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SUMIFS(RAB!$F$14:$F$197,RAB!$C$14:$C$197,C266)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SUMIFS(RAB!$F$14:$F$197,RAB!$C$14:$C$197,C267)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SUMIFS(RAB!$F$14:$F$197,RAB!$C$14:$C$197,C268)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SUMIFS(RAB!$F$14:$F$197,RAB!$C$14:$C$197,C269)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SUMIFS(RAB!$F$14:$F$197,RAB!$C$14:$C$197,C270)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SUMIFS(RAB!$F$14:$F$197,RAB!$C$14:$C$197,C271)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SUMIFS(RAB!$F$14:$F$197,RAB!$C$14:$C$197,C272)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SUMIFS(RAB!$F$14:$F$197,RAB!$C$14:$C$197,C273)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SUMIFS(RAB!$F$14:$F$197,RAB!$C$14:$C$197,C274)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SUMIFS(RAB!$F$14:$F$197,RAB!$C$14:$C$197,C275)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SUMIFS(RAB!$F$14:$F$197,RAB!$C$14:$C$197,C276)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SUMIFS(RAB!$F$14:$F$197,RAB!$C$14:$C$197,C277)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SUMIFS(RAB!$F$14:$F$197,RAB!$C$14:$C$197,C278)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SUMIFS(RAB!$F$14:$F$197,RAB!$C$14:$C$197,C279)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SUMIFS(RAB!$F$14:$F$197,RAB!$C$14:$C$197,C280)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SUMIFS(RAB!$F$14:$F$197,RAB!$C$14:$C$197,C281)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SUMIFS(RAB!$F$14:$F$197,RAB!$C$14:$C$197,C282)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SUMIFS(RAB!$F$14:$F$197,RAB!$C$14:$C$197,C283)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SUMIFS(RAB!$F$14:$F$197,RAB!$C$14:$C$197,C284)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SUMIFS(RAB!$F$14:$F$197,RAB!$C$14:$C$197,C285)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SUMIFS(RAB!$F$14:$F$197,RAB!$C$14:$C$197,C286)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SUMIFS(RAB!$F$14:$F$197,RAB!$C$14:$C$197,C287)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SUMIFS(RAB!$F$14:$F$197,RAB!$C$14:$C$197,C288)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SUMIFS(RAB!$F$14:$F$197,RAB!$C$14:$C$197,C289)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SUMIFS(RAB!$F$14:$F$197,RAB!$C$14:$C$197,C290)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SUMIFS(RAB!$F$14:$F$197,RAB!$C$14:$C$197,C291)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SUMIFS(RAB!$F$14:$F$197,RAB!$C$14:$C$197,C292)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SUMIFS(RAB!$F$14:$F$197,RAB!$C$14:$C$197,C293)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SUMIFS(RAB!$F$14:$F$197,RAB!$C$14:$C$197,C294)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SUMIFS(RAB!$F$14:$F$197,RAB!$C$14:$C$197,C295)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SUMIFS(RAB!$F$14:$F$197,RAB!$C$14:$C$197,C296)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SUMIFS(RAB!$F$14:$F$197,RAB!$C$14:$C$197,C297)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SUMIFS(RAB!$F$14:$F$197,RAB!$C$14:$C$197,C298)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SUMIFS(RAB!$F$14:$F$197,RAB!$C$14:$C$197,C299)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SUMIFS(RAB!$F$14:$F$197,RAB!$C$14:$C$197,C300)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SUMIFS(RAB!$F$14:$F$197,RAB!$C$14:$C$197,C301)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SUMIFS(RAB!$F$14:$F$197,RAB!$C$14:$C$197,C302)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SUMIFS(RAB!$F$14:$F$197,RAB!$C$14:$C$197,C303)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SUMIFS(RAB!$F$14:$F$197,RAB!$C$14:$C$197,C304)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SUMIFS(RAB!$F$14:$F$197,RAB!$C$14:$C$197,C305)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SUMIFS(RAB!$F$14:$F$197,RAB!$C$14:$C$197,C306)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SUMIFS(RAB!$F$14:$F$197,RAB!$C$14:$C$197,C307)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SUMIFS(RAB!$F$14:$F$197,RAB!$C$14:$C$197,C308)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SUMIFS(RAB!$F$14:$F$197,RAB!$C$14:$C$197,C309)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SUMIFS(RAB!$F$14:$F$197,RAB!$C$14:$C$197,C310)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SUMIFS(RAB!$F$14:$F$197,RAB!$C$14:$C$197,C311)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SUMIFS(RAB!$F$14:$F$197,RAB!$C$14:$C$197,C312)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SUMIFS(RAB!$F$14:$F$197,RAB!$C$14:$C$197,C313)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SUMIFS(RAB!$F$14:$F$197,RAB!$C$14:$C$197,C314)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SUMIFS(RAB!$F$14:$F$197,RAB!$C$14:$C$197,C315)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SUMIFS(RAB!$F$14:$F$197,RAB!$C$14:$C$197,C316)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SUMIFS(RAB!$F$14:$F$197,RAB!$C$14:$C$197,C317)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SUMIFS(RAB!$F$14:$F$197,RAB!$C$14:$C$197,C318)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SUMIFS(RAB!$F$14:$F$197,RAB!$C$14:$C$197,C319)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SUMIFS(RAB!$F$14:$F$197,RAB!$C$14:$C$197,C320)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SUMIFS(RAB!$F$14:$F$197,RAB!$C$14:$C$197,C321)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SUMIFS(RAB!$F$14:$F$197,RAB!$C$14:$C$197,C322)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SUMIFS(RAB!$F$14:$F$197,RAB!$C$14:$C$197,C323)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SUMIFS(RAB!$F$14:$F$197,RAB!$C$14:$C$197,C324)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SUMIFS(RAB!$F$14:$F$197,RAB!$C$14:$C$197,C325)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SUMIFS(RAB!$F$14:$F$197,RAB!$C$14:$C$197,C326)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SUMIFS(RAB!$F$14:$F$197,RAB!$C$14:$C$197,C327)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SUMIFS(RAB!$F$14:$F$197,RAB!$C$14:$C$197,C328)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SUMIFS(RAB!$F$14:$F$197,RAB!$C$14:$C$197,C329)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SUMIFS(RAB!$F$14:$F$197,RAB!$C$14:$C$197,C330)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SUMIFS(RAB!$F$14:$F$197,RAB!$C$14:$C$197,C331)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SUMIFS(RAB!$F$14:$F$197,RAB!$C$14:$C$197,C332)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SUMIFS(RAB!$F$14:$F$197,RAB!$C$14:$C$197,C333)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SUMIFS(RAB!$F$14:$F$197,RAB!$C$14:$C$197,C334)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SUMIFS(RAB!$F$14:$F$197,RAB!$C$14:$C$197,C335)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SUMIFS(RAB!$F$14:$F$197,RAB!$C$14:$C$197,C336)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SUMIFS(RAB!$F$14:$F$197,RAB!$C$14:$C$197,C337)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SUMIFS(RAB!$F$14:$F$197,RAB!$C$14:$C$197,C338)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SUMIFS(RAB!$F$14:$F$197,RAB!$C$14:$C$197,C339)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SUMIFS(RAB!$F$14:$F$197,RAB!$C$14:$C$197,C340)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SUMIFS(RAB!$F$14:$F$197,RAB!$C$14:$C$197,C341)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SUMIFS(RAB!$F$14:$F$197,RAB!$C$14:$C$197,C342)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SUMIFS(RAB!$F$14:$F$197,RAB!$C$14:$C$197,C343)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SUMIFS(RAB!$F$14:$F$197,RAB!$C$14:$C$197,C344)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SUMIFS(RAB!$F$14:$F$197,RAB!$C$14:$C$197,C345)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SUMIFS(RAB!$F$14:$F$197,RAB!$C$14:$C$197,C346)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SUMIFS(RAB!$F$14:$F$197,RAB!$C$14:$C$197,C347)</f>
        <v>40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SUMIFS(RAB!$F$14:$F$197,RAB!$C$14:$C$197,C348)</f>
        <v>180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SUMIFS(RAB!$F$14:$F$197,RAB!$C$14:$C$197,C349)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SUMIFS(RAB!$F$14:$F$197,RAB!$C$14:$C$197,C350)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SUMIFS(RAB!$F$14:$F$197,RAB!$C$14:$C$197,C351)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SUMIFS(RAB!$F$14:$F$197,RAB!$C$14:$C$197,C352)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SUMIFS(RAB!$F$14:$F$197,RAB!$C$14:$C$197,C353)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SUMIFS(RAB!$F$14:$F$197,RAB!$C$14:$C$197,C354)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SUMIFS(RAB!$F$14:$F$197,RAB!$C$14:$C$197,C355)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SUMIFS(RAB!$F$14:$F$197,RAB!$C$14:$C$197,C356)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SUMIFS(RAB!$F$14:$F$197,RAB!$C$14:$C$197,C357)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SUMIFS(RAB!$F$14:$F$197,RAB!$C$14:$C$197,C358)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SUMIFS(RAB!$F$14:$F$197,RAB!$C$14:$C$197,C359)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SUMIFS(RAB!$F$14:$F$197,RAB!$C$14:$C$197,C360)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SUMIFS(RAB!$F$14:$F$197,RAB!$C$14:$C$197,C361)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SUMIFS(RAB!$F$14:$F$197,RAB!$C$14:$C$197,C362)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SUMIFS(RAB!$F$14:$F$197,RAB!$C$14:$C$197,C363)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SUMIFS(RAB!$F$14:$F$197,RAB!$C$14:$C$197,C364)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SUMIFS(RAB!$F$14:$F$197,RAB!$C$14:$C$197,C365)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SUMIFS(RAB!$F$14:$F$197,RAB!$C$14:$C$197,C366)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SUMIFS(RAB!$F$14:$F$197,RAB!$C$14:$C$197,C367)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SUMIFS(RAB!$F$14:$F$197,RAB!$C$14:$C$197,C368)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SUMIFS(RAB!$F$14:$F$197,RAB!$C$14:$C$197,C369)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SUMIFS(RAB!$F$14:$F$197,RAB!$C$14:$C$197,C370)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SUMIFS(RAB!$F$14:$F$197,RAB!$C$14:$C$197,C371)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SUMIFS(RAB!$F$14:$F$197,RAB!$C$14:$C$197,C372)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SUMIFS(RAB!$F$14:$F$197,RAB!$C$14:$C$197,C373)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63" priority="5" operator="equal">
      <formula>0</formula>
    </cfRule>
  </conditionalFormatting>
  <conditionalFormatting sqref="C16:C165">
    <cfRule type="cellIs" dxfId="62" priority="4" stopIfTrue="1" operator="equal">
      <formula>0</formula>
    </cfRule>
  </conditionalFormatting>
  <conditionalFormatting sqref="C16:E165">
    <cfRule type="cellIs" dxfId="61" priority="1" operator="equal">
      <formula>0</formula>
    </cfRule>
  </conditionalFormatting>
  <conditionalFormatting sqref="D224:F373">
    <cfRule type="cellIs" dxfId="60" priority="8" operator="equal">
      <formula>0</formula>
    </cfRule>
  </conditionalFormatting>
  <conditionalFormatting sqref="E1:E3 G1:G115 E6:E15 H12:I12 N13 F14:F15 H14:K115 E166:K166 G166:G223 E167:F167 H167:K167">
    <cfRule type="cellIs" dxfId="59" priority="43" stopIfTrue="1" operator="equal">
      <formula>0</formula>
    </cfRule>
  </conditionalFormatting>
  <conditionalFormatting sqref="E171:E65536">
    <cfRule type="cellIs" dxfId="58" priority="9" stopIfTrue="1" operator="equal">
      <formula>0</formula>
    </cfRule>
  </conditionalFormatting>
  <conditionalFormatting sqref="G224">
    <cfRule type="cellIs" dxfId="57" priority="10" operator="equal">
      <formula>0</formula>
    </cfRule>
  </conditionalFormatting>
  <conditionalFormatting sqref="G225:G65536">
    <cfRule type="cellIs" dxfId="56" priority="14" stopIfTrue="1" operator="equal">
      <formula>0</formula>
    </cfRule>
  </conditionalFormatting>
  <conditionalFormatting sqref="R14:T166 G116:K165">
    <cfRule type="cellIs" dxfId="5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86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8" sqref="C139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16" t="s">
        <v>41</v>
      </c>
      <c r="C2" s="51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17" t="s">
        <v>23</v>
      </c>
      <c r="C4" s="518" t="s">
        <v>1012</v>
      </c>
      <c r="D4" s="518" t="s">
        <v>42</v>
      </c>
      <c r="E4" s="517" t="s">
        <v>43</v>
      </c>
      <c r="F4" s="108" t="s">
        <v>1599</v>
      </c>
      <c r="G4" s="108" t="s">
        <v>1598</v>
      </c>
      <c r="H4" s="51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17"/>
      <c r="C5" s="518"/>
      <c r="D5" s="518"/>
      <c r="E5" s="517"/>
      <c r="F5" s="93"/>
      <c r="G5" s="93"/>
      <c r="H5" s="51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2" t="s">
        <v>1616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3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3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54" priority="4" operator="equal">
      <formula>0</formula>
    </cfRule>
  </conditionalFormatting>
  <conditionalFormatting sqref="B217 D217:G217">
    <cfRule type="cellIs" dxfId="53" priority="11" operator="equal">
      <formula>0</formula>
    </cfRule>
  </conditionalFormatting>
  <conditionalFormatting sqref="B8:C135">
    <cfRule type="cellIs" dxfId="52" priority="66" operator="equal">
      <formula>0</formula>
    </cfRule>
  </conditionalFormatting>
  <conditionalFormatting sqref="B216:G216">
    <cfRule type="cellIs" dxfId="51" priority="16" operator="equal">
      <formula>0</formula>
    </cfRule>
  </conditionalFormatting>
  <conditionalFormatting sqref="B218:G1496">
    <cfRule type="cellIs" dxfId="50" priority="1" operator="equal">
      <formula>0</formula>
    </cfRule>
  </conditionalFormatting>
  <conditionalFormatting sqref="C143:G149">
    <cfRule type="cellIs" dxfId="49" priority="20" operator="equal">
      <formula>0</formula>
    </cfRule>
  </conditionalFormatting>
  <conditionalFormatting sqref="D9:G142">
    <cfRule type="cellIs" dxfId="48" priority="26" operator="equal">
      <formula>0</formula>
    </cfRule>
  </conditionalFormatting>
  <conditionalFormatting sqref="D1:IV5 A1:C7 D6:K6 H1458:IV1460 H1461:XFD1488 H1489:H1496 I1489:XFD1497 A1497:H1497 A1498:XFD65539">
    <cfRule type="cellIs" dxfId="47" priority="178" operator="equal">
      <formula>0</formula>
    </cfRule>
  </conditionalFormatting>
  <conditionalFormatting sqref="D7:IV8 C136:C142 B136:B149 B150:G213 B214:B215 D214:G215">
    <cfRule type="cellIs" dxfId="46" priority="77" operator="equal">
      <formula>0</formula>
    </cfRule>
  </conditionalFormatting>
  <conditionalFormatting sqref="H9:H1421">
    <cfRule type="cellIs" dxfId="45" priority="3" operator="equal">
      <formula>0</formula>
    </cfRule>
  </conditionalFormatting>
  <conditionalFormatting sqref="H1422:I1457">
    <cfRule type="cellIs" dxfId="44" priority="143" operator="equal">
      <formula>0</formula>
    </cfRule>
  </conditionalFormatting>
  <conditionalFormatting sqref="I108:I1421">
    <cfRule type="cellIs" dxfId="43" priority="2" operator="equal">
      <formula>0</formula>
    </cfRule>
  </conditionalFormatting>
  <conditionalFormatting sqref="I9:IV107">
    <cfRule type="cellIs" dxfId="42" priority="153" operator="equal">
      <formula>0</formula>
    </cfRule>
  </conditionalFormatting>
  <conditionalFormatting sqref="J108:IV1457">
    <cfRule type="cellIs" dxfId="41" priority="5" operator="equal">
      <formula>0</formula>
    </cfRule>
  </conditionalFormatting>
  <conditionalFormatting sqref="M6:IV6">
    <cfRule type="cellIs" dxfId="4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K16" sqref="K16:L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50" t="s">
        <v>1453</v>
      </c>
      <c r="C2" s="550"/>
      <c r="D2" s="550"/>
      <c r="E2" s="55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55" t="s">
        <v>1528</v>
      </c>
      <c r="C4" s="556"/>
      <c r="D4" s="556"/>
      <c r="E4" s="557"/>
      <c r="F4" s="373"/>
      <c r="G4" s="373"/>
      <c r="H4" s="374"/>
      <c r="I4" s="519" t="s">
        <v>1529</v>
      </c>
      <c r="J4" s="520"/>
      <c r="K4" s="520"/>
      <c r="L4" s="521"/>
    </row>
    <row r="5" spans="1:12" ht="34.5" customHeight="1">
      <c r="A5" s="193"/>
      <c r="B5" s="376" t="s">
        <v>1378</v>
      </c>
      <c r="C5" s="224" t="s">
        <v>9</v>
      </c>
      <c r="D5" s="551" t="str">
        <f>DATA!D14</f>
        <v>PB DAYA 41,5 KVA DEDI IRAWAN</v>
      </c>
      <c r="E5" s="552"/>
      <c r="F5" s="197"/>
      <c r="G5" s="197"/>
      <c r="I5" s="377" t="s">
        <v>1378</v>
      </c>
      <c r="J5" s="224" t="s">
        <v>9</v>
      </c>
      <c r="K5" s="522" t="str">
        <f>D5</f>
        <v>PB DAYA 41,5 KVA DEDI IRAWAN</v>
      </c>
      <c r="L5" s="523"/>
    </row>
    <row r="6" spans="1:12" ht="31.5" customHeight="1">
      <c r="A6" s="193"/>
      <c r="B6" s="376" t="s">
        <v>1525</v>
      </c>
      <c r="C6" s="224" t="s">
        <v>9</v>
      </c>
      <c r="D6" s="560">
        <f>DATA!D17*1000</f>
        <v>0</v>
      </c>
      <c r="E6" s="561"/>
      <c r="F6" s="197"/>
      <c r="G6" s="197"/>
      <c r="I6" s="377" t="s">
        <v>1526</v>
      </c>
      <c r="J6" s="224" t="s">
        <v>9</v>
      </c>
      <c r="K6" s="524">
        <f>DATA!D20*1000</f>
        <v>41500</v>
      </c>
      <c r="L6" s="525"/>
    </row>
    <row r="7" spans="1:12" ht="30.75" customHeight="1">
      <c r="A7" s="193"/>
      <c r="B7" s="376" t="s">
        <v>1440</v>
      </c>
      <c r="C7" s="224" t="s">
        <v>9</v>
      </c>
      <c r="D7" s="558">
        <f>DATA!D18</f>
        <v>1</v>
      </c>
      <c r="E7" s="559"/>
      <c r="F7" s="375" t="s">
        <v>1452</v>
      </c>
      <c r="I7" s="377" t="s">
        <v>1440</v>
      </c>
      <c r="J7" s="224" t="s">
        <v>9</v>
      </c>
      <c r="K7" s="526">
        <f>DATA!D21</f>
        <v>3</v>
      </c>
      <c r="L7" s="527"/>
    </row>
    <row r="8" spans="1:12" ht="51" customHeight="1">
      <c r="A8" s="193"/>
      <c r="B8" s="376" t="s">
        <v>1441</v>
      </c>
      <c r="C8" s="224" t="s">
        <v>9</v>
      </c>
      <c r="D8" s="558">
        <f>DATA!D19</f>
        <v>220</v>
      </c>
      <c r="E8" s="559"/>
      <c r="F8" s="375" t="s">
        <v>1452</v>
      </c>
      <c r="G8" s="370">
        <v>220</v>
      </c>
      <c r="I8" s="377" t="s">
        <v>1441</v>
      </c>
      <c r="J8" s="224" t="s">
        <v>9</v>
      </c>
      <c r="K8" s="526">
        <f>DATA!D22</f>
        <v>380</v>
      </c>
      <c r="L8" s="527"/>
    </row>
    <row r="9" spans="1:12" ht="30" customHeight="1" thickBot="1">
      <c r="A9" s="193"/>
      <c r="B9" s="382" t="s">
        <v>1537</v>
      </c>
      <c r="C9" s="372" t="s">
        <v>9</v>
      </c>
      <c r="D9" s="553">
        <f>IF(D7=1,D6/(380/3^0.5),(D6/(380*3^0.5)))</f>
        <v>0</v>
      </c>
      <c r="E9" s="554"/>
      <c r="F9" s="196"/>
      <c r="G9" s="371">
        <v>380</v>
      </c>
      <c r="I9" s="383" t="s">
        <v>1537</v>
      </c>
      <c r="J9" s="372" t="s">
        <v>9</v>
      </c>
      <c r="K9" s="530">
        <f>IF(K7=1,K6/(380/3^0.5),(K6/(380*3^0.5)))</f>
        <v>63.052726766761765</v>
      </c>
      <c r="L9" s="531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62"/>
      <c r="E12" s="563"/>
      <c r="F12" s="197"/>
      <c r="G12" s="197"/>
      <c r="I12" s="399" t="s">
        <v>1530</v>
      </c>
      <c r="J12" s="400" t="s">
        <v>9</v>
      </c>
      <c r="K12" s="562" t="s">
        <v>1657</v>
      </c>
      <c r="L12" s="563"/>
    </row>
    <row r="13" spans="1:12" ht="31.5" customHeight="1">
      <c r="A13" s="193"/>
      <c r="B13" s="407" t="s">
        <v>1379</v>
      </c>
      <c r="C13" s="387" t="s">
        <v>9</v>
      </c>
      <c r="D13" s="528"/>
      <c r="E13" s="529"/>
      <c r="F13" s="197"/>
      <c r="G13" s="197"/>
      <c r="I13" s="401" t="s">
        <v>1379</v>
      </c>
      <c r="J13" s="387" t="s">
        <v>9</v>
      </c>
      <c r="K13" s="528" t="s">
        <v>1658</v>
      </c>
      <c r="L13" s="529"/>
    </row>
    <row r="14" spans="1:12" ht="30.75" customHeight="1">
      <c r="A14" s="193"/>
      <c r="B14" s="407" t="s">
        <v>1531</v>
      </c>
      <c r="C14" s="387" t="s">
        <v>9</v>
      </c>
      <c r="D14" s="532"/>
      <c r="E14" s="533"/>
      <c r="F14" s="375" t="s">
        <v>1452</v>
      </c>
      <c r="G14" s="379">
        <v>50</v>
      </c>
      <c r="I14" s="401" t="s">
        <v>1531</v>
      </c>
      <c r="J14" s="387" t="s">
        <v>9</v>
      </c>
      <c r="K14" s="534">
        <v>50</v>
      </c>
      <c r="L14" s="535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36">
        <v>0</v>
      </c>
      <c r="E16" s="537"/>
      <c r="F16" s="375"/>
      <c r="G16" s="379">
        <v>160</v>
      </c>
      <c r="I16" s="401" t="s">
        <v>1533</v>
      </c>
      <c r="J16" s="387" t="s">
        <v>9</v>
      </c>
      <c r="K16" s="540">
        <f>K9</f>
        <v>63.052726766761765</v>
      </c>
      <c r="L16" s="541"/>
    </row>
    <row r="17" spans="1:12" ht="34.5" customHeight="1">
      <c r="A17" s="193"/>
      <c r="B17" s="407" t="s">
        <v>1534</v>
      </c>
      <c r="C17" s="387" t="s">
        <v>9</v>
      </c>
      <c r="D17" s="538">
        <f>IF(D15=1,D14/(20/3^0.5),(D14/(20*3^0.5)))</f>
        <v>0</v>
      </c>
      <c r="E17" s="539"/>
      <c r="F17" s="375" t="s">
        <v>1452</v>
      </c>
      <c r="G17" s="380">
        <v>200</v>
      </c>
      <c r="I17" s="401" t="s">
        <v>1534</v>
      </c>
      <c r="J17" s="387" t="s">
        <v>9</v>
      </c>
      <c r="K17" s="544">
        <f>IF(K15=1,K14/(20/3^0.5),(K14/(20*3^0.5)))</f>
        <v>1.4433756729740645</v>
      </c>
      <c r="L17" s="545"/>
    </row>
    <row r="18" spans="1:12" ht="34.5" customHeight="1">
      <c r="A18" s="193"/>
      <c r="B18" s="407" t="s">
        <v>1535</v>
      </c>
      <c r="C18" s="387" t="s">
        <v>9</v>
      </c>
      <c r="D18" s="538">
        <f>IF(D15=1,D14/(380/3^0.5),(D14/(380*3^0.5)))*1000</f>
        <v>0</v>
      </c>
      <c r="E18" s="539"/>
      <c r="F18" s="375" t="s">
        <v>1452</v>
      </c>
      <c r="G18" s="380">
        <v>250</v>
      </c>
      <c r="I18" s="401" t="s">
        <v>1535</v>
      </c>
      <c r="J18" s="387" t="s">
        <v>9</v>
      </c>
      <c r="K18" s="544">
        <f>IF(K15=1,K14/(380/3^0.5),(K14/(380*3^0.5)))*1000</f>
        <v>75.96714068284551</v>
      </c>
      <c r="L18" s="545"/>
    </row>
    <row r="19" spans="1:12" ht="30" customHeight="1">
      <c r="A19" s="193"/>
      <c r="B19" s="408" t="s">
        <v>1527</v>
      </c>
      <c r="C19" s="386" t="s">
        <v>9</v>
      </c>
      <c r="D19" s="538">
        <f>IF(D15=1,D14/(380/3^0.5),(D14/(380*3^0.5)))</f>
        <v>0</v>
      </c>
      <c r="E19" s="539"/>
      <c r="F19" s="196"/>
      <c r="G19" s="371"/>
      <c r="I19" s="403" t="s">
        <v>1527</v>
      </c>
      <c r="J19" s="386" t="s">
        <v>9</v>
      </c>
      <c r="K19" s="544">
        <f>IF(K15=1,K14/(380/3^0.5),(K14/(380*3^0.5)))</f>
        <v>7.5967140682845505E-2</v>
      </c>
      <c r="L19" s="545"/>
    </row>
    <row r="20" spans="1:12" ht="30" customHeight="1" thickBot="1">
      <c r="A20" s="193"/>
      <c r="B20" s="409" t="s">
        <v>1536</v>
      </c>
      <c r="C20" s="405" t="s">
        <v>9</v>
      </c>
      <c r="D20" s="564" t="e">
        <f>D16/D18</f>
        <v>#DIV/0!</v>
      </c>
      <c r="E20" s="565"/>
      <c r="F20" s="196"/>
      <c r="G20" s="371"/>
      <c r="I20" s="404" t="s">
        <v>1527</v>
      </c>
      <c r="J20" s="405" t="s">
        <v>9</v>
      </c>
      <c r="K20" s="542">
        <f>K16/K18</f>
        <v>0.82999999999999985</v>
      </c>
      <c r="L20" s="543"/>
    </row>
    <row r="21" spans="1:12" ht="9.75" customHeight="1">
      <c r="A21" s="193"/>
      <c r="B21" s="394" t="s">
        <v>1536</v>
      </c>
      <c r="C21" s="395" t="s">
        <v>9</v>
      </c>
      <c r="D21" s="549">
        <v>1</v>
      </c>
      <c r="E21" s="549"/>
      <c r="F21" s="396"/>
      <c r="G21" s="397"/>
      <c r="H21" s="398"/>
      <c r="I21" s="394" t="s">
        <v>1527</v>
      </c>
      <c r="J21" s="395" t="s">
        <v>9</v>
      </c>
      <c r="K21" s="549">
        <v>1</v>
      </c>
      <c r="L21" s="549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46"/>
      <c r="C24" s="547"/>
      <c r="D24" s="547"/>
      <c r="E24" s="548"/>
      <c r="I24" s="546"/>
      <c r="J24" s="547"/>
      <c r="K24" s="547"/>
      <c r="L24" s="548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39" priority="5" stopIfTrue="1" operator="greaterThan">
      <formula>0.89</formula>
    </cfRule>
    <cfRule type="cellIs" dxfId="3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="85" zoomScaleNormal="85" workbookViewId="0">
      <selection activeCell="D26" sqref="D2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66"/>
      <c r="C1" s="566"/>
      <c r="D1" s="56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41.5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40213500</v>
      </c>
    </row>
    <row r="10" spans="2:11" ht="20.100000000000001" customHeight="1">
      <c r="B10" s="238" t="s">
        <v>1445</v>
      </c>
      <c r="C10" s="239" t="s">
        <v>9</v>
      </c>
      <c r="D10" s="245">
        <f ca="1">RAB!K203</f>
        <v>124011188.00815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2480223.7601629999</v>
      </c>
    </row>
    <row r="12" spans="2:11" ht="9" customHeight="1">
      <c r="B12" s="567"/>
      <c r="C12" s="567"/>
      <c r="D12" s="567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DAYA 41,5 KVA DEDI IRAWAN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1636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41.5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74" t="s">
        <v>1356</v>
      </c>
      <c r="C3" s="574"/>
      <c r="D3" s="574"/>
      <c r="E3" s="574"/>
      <c r="F3" s="252" t="str">
        <f>DATA!D14</f>
        <v>PB DAYA 41,5 KVA DEDI IRAWAN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68" t="s">
        <v>1348</v>
      </c>
      <c r="C5" s="568" t="s">
        <v>1357</v>
      </c>
      <c r="D5" s="573" t="s">
        <v>1358</v>
      </c>
      <c r="E5" s="573" t="s">
        <v>1359</v>
      </c>
      <c r="F5" s="568" t="s">
        <v>1360</v>
      </c>
      <c r="G5" s="568"/>
      <c r="H5" s="568"/>
      <c r="I5" s="568"/>
      <c r="J5" s="568"/>
      <c r="K5" s="568" t="s">
        <v>1361</v>
      </c>
      <c r="L5" s="568"/>
      <c r="M5" s="254"/>
      <c r="N5" s="571" t="s">
        <v>1362</v>
      </c>
      <c r="O5" s="573" t="s">
        <v>1363</v>
      </c>
      <c r="P5" s="573" t="s">
        <v>1364</v>
      </c>
      <c r="Q5" s="573" t="s">
        <v>1365</v>
      </c>
      <c r="R5" s="255"/>
      <c r="S5" s="256"/>
      <c r="T5" s="569" t="s">
        <v>1366</v>
      </c>
      <c r="U5" s="257"/>
    </row>
    <row r="6" spans="1:21" ht="20.100000000000001" customHeight="1">
      <c r="B6" s="568"/>
      <c r="C6" s="568"/>
      <c r="D6" s="568"/>
      <c r="E6" s="56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72"/>
      <c r="O6" s="568"/>
      <c r="P6" s="568"/>
      <c r="Q6" s="568"/>
      <c r="R6" s="255"/>
      <c r="S6" s="256"/>
      <c r="T6" s="568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6640</v>
      </c>
      <c r="D7" s="263">
        <f>C7*4/24</f>
        <v>1106.6666666666667</v>
      </c>
      <c r="E7" s="263">
        <f>C7-D7</f>
        <v>5533.333333333333</v>
      </c>
      <c r="F7" s="264">
        <f ca="1">DATA!D10/1000000</f>
        <v>124.01118800815</v>
      </c>
      <c r="G7" s="265">
        <f ca="1">DATA!$D$11/1000000</f>
        <v>2.4802237601629997</v>
      </c>
      <c r="H7" s="265">
        <f>C7*DATA!$D$5/1000000</f>
        <v>7.1985903046869177</v>
      </c>
      <c r="I7" s="265">
        <f>(C7*DATA!$D$5*DATA!$D$7)/1000000</f>
        <v>0.16196828185545567</v>
      </c>
      <c r="J7" s="263">
        <f ca="1">SUM(F7:I7)</f>
        <v>133.85197035485538</v>
      </c>
      <c r="K7" s="266">
        <f>DATA!D9/1000000</f>
        <v>40.213500000000003</v>
      </c>
      <c r="L7" s="263">
        <f>((D7*DATA!$D$23)/1000000)+((E7*DATA!$D$24)/1000000)</f>
        <v>9.5928079999999998</v>
      </c>
      <c r="M7" s="263">
        <f>K7+L7</f>
        <v>49.806308000000001</v>
      </c>
      <c r="N7" s="263">
        <f ca="1">M7-J7</f>
        <v>-84.045662354855381</v>
      </c>
      <c r="O7" s="261">
        <v>1</v>
      </c>
      <c r="P7" s="263">
        <f ca="1">O7*N7</f>
        <v>-84.045662354855381</v>
      </c>
      <c r="Q7" s="263">
        <f ca="1">P7</f>
        <v>-84.045662354855381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19920</v>
      </c>
      <c r="D8" s="263">
        <f>C8*4/24</f>
        <v>3320</v>
      </c>
      <c r="E8" s="263">
        <f t="shared" ref="E8:E32" si="0">C8-D8</f>
        <v>16600</v>
      </c>
      <c r="F8" s="261"/>
      <c r="G8" s="265">
        <f ca="1">DATA!$D$11/1000000</f>
        <v>2.4802237601629997</v>
      </c>
      <c r="H8" s="265">
        <f>C8*DATA!$D$5/1000000</f>
        <v>21.595770914060758</v>
      </c>
      <c r="I8" s="265">
        <f>(C8*DATA!$D$5*DATA!$D$7)/1000000</f>
        <v>0.48590484556636704</v>
      </c>
      <c r="J8" s="263">
        <f t="shared" ref="J8:J32" ca="1" si="1">SUM(F8:I8)</f>
        <v>24.561899519790124</v>
      </c>
      <c r="K8" s="268"/>
      <c r="L8" s="263">
        <f>((D8*DATA!$D$23)/1000000)+((E8*DATA!$D$24)/1000000)</f>
        <v>28.778423999999998</v>
      </c>
      <c r="M8" s="263">
        <f t="shared" ref="M8:M32" si="2">K8+L8</f>
        <v>28.778423999999998</v>
      </c>
      <c r="N8" s="263">
        <f ca="1">M8-J8</f>
        <v>4.2165244802098734</v>
      </c>
      <c r="O8" s="262">
        <f>1/(1+'[94]Asumsi I'!$C$3)^(KKF!A8)</f>
        <v>0.89285714285714279</v>
      </c>
      <c r="P8" s="263">
        <f ca="1">O8*N8</f>
        <v>3.7647540001873865</v>
      </c>
      <c r="Q8" s="263">
        <f ca="1">Q7+P8</f>
        <v>-80.280908354668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19920</v>
      </c>
      <c r="D9" s="263">
        <f t="shared" ref="D9:D32" si="5">C9*4/24</f>
        <v>3320</v>
      </c>
      <c r="E9" s="263">
        <f t="shared" si="0"/>
        <v>16600</v>
      </c>
      <c r="F9" s="261"/>
      <c r="G9" s="265">
        <f ca="1">DATA!$D$11/1000000</f>
        <v>2.4802237601629997</v>
      </c>
      <c r="H9" s="265">
        <f>C9*DATA!$D$5/1000000</f>
        <v>21.595770914060758</v>
      </c>
      <c r="I9" s="265">
        <f>(C9*DATA!$D$5*DATA!$D$7)/1000000</f>
        <v>0.48590484556636704</v>
      </c>
      <c r="J9" s="263">
        <f t="shared" ca="1" si="1"/>
        <v>24.561899519790124</v>
      </c>
      <c r="K9" s="263"/>
      <c r="L9" s="263">
        <f>((D9*DATA!$D$23)/1000000)+((E9*DATA!$D$24)/1000000)</f>
        <v>28.778423999999998</v>
      </c>
      <c r="M9" s="263">
        <f t="shared" si="2"/>
        <v>28.778423999999998</v>
      </c>
      <c r="N9" s="263">
        <f t="shared" ref="N9:N32" ca="1" si="6">M9-J9</f>
        <v>4.2165244802098734</v>
      </c>
      <c r="O9" s="269">
        <f>1/(1+'[94]Asumsi I'!$C$3)^(KKF!A9)</f>
        <v>0.79719387755102034</v>
      </c>
      <c r="P9" s="263">
        <f t="shared" ref="P9:P32" ca="1" si="7">O9*N9</f>
        <v>3.3613875001673095</v>
      </c>
      <c r="Q9" s="263">
        <f ca="1">Q8+P9</f>
        <v>-76.919520854500689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19920</v>
      </c>
      <c r="D10" s="263">
        <f t="shared" si="5"/>
        <v>3320</v>
      </c>
      <c r="E10" s="263">
        <f t="shared" si="0"/>
        <v>16600</v>
      </c>
      <c r="F10" s="261"/>
      <c r="G10" s="265">
        <f ca="1">DATA!$D$11/1000000</f>
        <v>2.4802237601629997</v>
      </c>
      <c r="H10" s="265">
        <f>C10*DATA!$D$5/1000000</f>
        <v>21.595770914060758</v>
      </c>
      <c r="I10" s="265">
        <f>(C10*DATA!$D$5*DATA!$D$7)/1000000</f>
        <v>0.48590484556636704</v>
      </c>
      <c r="J10" s="263">
        <f t="shared" ca="1" si="1"/>
        <v>24.561899519790124</v>
      </c>
      <c r="K10" s="261"/>
      <c r="L10" s="263">
        <f>((D10*DATA!$D$23)/1000000)+((E10*DATA!$D$24)/1000000)</f>
        <v>28.778423999999998</v>
      </c>
      <c r="M10" s="263">
        <f t="shared" si="2"/>
        <v>28.778423999999998</v>
      </c>
      <c r="N10" s="263">
        <f t="shared" ca="1" si="6"/>
        <v>4.2165244802098734</v>
      </c>
      <c r="O10" s="262">
        <f>1/(1+'[94]Asumsi I'!$C$3)^(KKF!A10)</f>
        <v>0.71178024781341087</v>
      </c>
      <c r="P10" s="263">
        <f t="shared" ca="1" si="7"/>
        <v>3.0012388394350973</v>
      </c>
      <c r="Q10" s="263">
        <f t="shared" ref="Q10:Q30" ca="1" si="9">Q9+P10</f>
        <v>-73.918282015065586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19920</v>
      </c>
      <c r="D11" s="263">
        <f t="shared" si="5"/>
        <v>3320</v>
      </c>
      <c r="E11" s="263">
        <f t="shared" si="0"/>
        <v>16600</v>
      </c>
      <c r="F11" s="261"/>
      <c r="G11" s="265">
        <f ca="1">DATA!$D$11/1000000</f>
        <v>2.4802237601629997</v>
      </c>
      <c r="H11" s="265">
        <f>C11*DATA!$D$5/1000000</f>
        <v>21.595770914060758</v>
      </c>
      <c r="I11" s="265">
        <f>(C11*DATA!$D$5*DATA!$D$7)/1000000</f>
        <v>0.48590484556636704</v>
      </c>
      <c r="J11" s="263">
        <f t="shared" ca="1" si="1"/>
        <v>24.561899519790124</v>
      </c>
      <c r="K11" s="261"/>
      <c r="L11" s="263">
        <f>((D11*DATA!$D$23)/1000000)+((E11*DATA!$D$24)/1000000)</f>
        <v>28.778423999999998</v>
      </c>
      <c r="M11" s="263">
        <f t="shared" si="2"/>
        <v>28.778423999999998</v>
      </c>
      <c r="N11" s="263">
        <f t="shared" ca="1" si="6"/>
        <v>4.2165244802098734</v>
      </c>
      <c r="O11" s="262">
        <f>1/(1+'[94]Asumsi I'!$C$3)^(KKF!A11)</f>
        <v>0.63551807840483121</v>
      </c>
      <c r="P11" s="263">
        <f t="shared" ca="1" si="7"/>
        <v>2.6796775352099083</v>
      </c>
      <c r="Q11" s="263">
        <f t="shared" ca="1" si="9"/>
        <v>-71.238604479855681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19920</v>
      </c>
      <c r="D12" s="263">
        <f t="shared" si="5"/>
        <v>3320</v>
      </c>
      <c r="E12" s="263">
        <f t="shared" si="0"/>
        <v>16600</v>
      </c>
      <c r="F12" s="261"/>
      <c r="G12" s="265">
        <f ca="1">DATA!$D$11/1000000</f>
        <v>2.4802237601629997</v>
      </c>
      <c r="H12" s="265">
        <f>C12*DATA!$D$5/1000000</f>
        <v>21.595770914060758</v>
      </c>
      <c r="I12" s="265">
        <f>(C12*DATA!$D$5*DATA!$D$7)/1000000</f>
        <v>0.48590484556636704</v>
      </c>
      <c r="J12" s="263">
        <f t="shared" ca="1" si="1"/>
        <v>24.561899519790124</v>
      </c>
      <c r="K12" s="261"/>
      <c r="L12" s="263">
        <f>((D12*DATA!$D$23)/1000000)+((E12*DATA!$D$24)/1000000)</f>
        <v>28.778423999999998</v>
      </c>
      <c r="M12" s="263">
        <f t="shared" si="2"/>
        <v>28.778423999999998</v>
      </c>
      <c r="N12" s="263">
        <f t="shared" ca="1" si="6"/>
        <v>4.2165244802098734</v>
      </c>
      <c r="O12" s="262">
        <f>1/(1+'[94]Asumsi I'!$C$3)^(KKF!A12)</f>
        <v>0.56742685571859919</v>
      </c>
      <c r="P12" s="263">
        <f t="shared" ca="1" si="7"/>
        <v>2.3925692278659891</v>
      </c>
      <c r="Q12" s="263">
        <f t="shared" ca="1" si="9"/>
        <v>-68.84603525198969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19920</v>
      </c>
      <c r="D13" s="263">
        <f t="shared" si="5"/>
        <v>3320</v>
      </c>
      <c r="E13" s="263">
        <f t="shared" si="0"/>
        <v>16600</v>
      </c>
      <c r="F13" s="261"/>
      <c r="G13" s="265">
        <f ca="1">DATA!$D$11/1000000</f>
        <v>2.4802237601629997</v>
      </c>
      <c r="H13" s="265">
        <f>C13*DATA!$D$5/1000000</f>
        <v>21.595770914060758</v>
      </c>
      <c r="I13" s="265">
        <f>(C13*DATA!$D$5*DATA!$D$7)/1000000</f>
        <v>0.48590484556636704</v>
      </c>
      <c r="J13" s="263">
        <f t="shared" ca="1" si="1"/>
        <v>24.561899519790124</v>
      </c>
      <c r="K13" s="261"/>
      <c r="L13" s="263">
        <f>((D13*DATA!$D$23)/1000000)+((E13*DATA!$D$24)/1000000)</f>
        <v>28.778423999999998</v>
      </c>
      <c r="M13" s="263">
        <f t="shared" si="2"/>
        <v>28.778423999999998</v>
      </c>
      <c r="N13" s="263">
        <f t="shared" ca="1" si="6"/>
        <v>4.2165244802098734</v>
      </c>
      <c r="O13" s="262">
        <f>1/(1+'[94]Asumsi I'!$C$3)^(KKF!A13)</f>
        <v>0.50663112117732068</v>
      </c>
      <c r="P13" s="263">
        <f t="shared" ca="1" si="7"/>
        <v>2.1362225248803473</v>
      </c>
      <c r="Q13" s="263">
        <f t="shared" ca="1" si="9"/>
        <v>-66.709812727109338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19920</v>
      </c>
      <c r="D14" s="263">
        <f t="shared" si="5"/>
        <v>3320</v>
      </c>
      <c r="E14" s="263">
        <f t="shared" si="0"/>
        <v>16600</v>
      </c>
      <c r="F14" s="261"/>
      <c r="G14" s="265">
        <f ca="1">DATA!$D$11/1000000</f>
        <v>2.4802237601629997</v>
      </c>
      <c r="H14" s="265">
        <f>C14*DATA!$D$5/1000000</f>
        <v>21.595770914060758</v>
      </c>
      <c r="I14" s="265">
        <f>(C14*DATA!$D$5*DATA!$D$7)/1000000</f>
        <v>0.48590484556636704</v>
      </c>
      <c r="J14" s="263">
        <f t="shared" ca="1" si="1"/>
        <v>24.561899519790124</v>
      </c>
      <c r="K14" s="261"/>
      <c r="L14" s="263">
        <f>((D14*DATA!$D$23)/1000000)+((E14*DATA!$D$24)/1000000)</f>
        <v>28.778423999999998</v>
      </c>
      <c r="M14" s="263">
        <f t="shared" si="2"/>
        <v>28.778423999999998</v>
      </c>
      <c r="N14" s="263">
        <f t="shared" ca="1" si="6"/>
        <v>4.2165244802098734</v>
      </c>
      <c r="O14" s="262">
        <f>1/(1+'[94]Asumsi I'!$C$3)^(KKF!A14)</f>
        <v>0.45234921533689343</v>
      </c>
      <c r="P14" s="263">
        <f t="shared" ca="1" si="7"/>
        <v>1.9073415400717386</v>
      </c>
      <c r="Q14" s="263">
        <f t="shared" ca="1" si="9"/>
        <v>-64.802471187037597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19920</v>
      </c>
      <c r="D15" s="263">
        <f t="shared" si="5"/>
        <v>3320</v>
      </c>
      <c r="E15" s="263">
        <f t="shared" si="0"/>
        <v>16600</v>
      </c>
      <c r="F15" s="261"/>
      <c r="G15" s="265">
        <f ca="1">DATA!$D$11/1000000</f>
        <v>2.4802237601629997</v>
      </c>
      <c r="H15" s="265">
        <f>C15*DATA!$D$5/1000000</f>
        <v>21.595770914060758</v>
      </c>
      <c r="I15" s="265">
        <f>(C15*DATA!$D$5*DATA!$D$7)/1000000</f>
        <v>0.48590484556636704</v>
      </c>
      <c r="J15" s="263">
        <f t="shared" ca="1" si="1"/>
        <v>24.561899519790124</v>
      </c>
      <c r="K15" s="261"/>
      <c r="L15" s="263">
        <f>((D15*DATA!$D$23)/1000000)+((E15*DATA!$D$24)/1000000)</f>
        <v>28.778423999999998</v>
      </c>
      <c r="M15" s="263">
        <f t="shared" si="2"/>
        <v>28.778423999999998</v>
      </c>
      <c r="N15" s="263">
        <f t="shared" ca="1" si="6"/>
        <v>4.2165244802098734</v>
      </c>
      <c r="O15" s="262">
        <f>1/(1+'[94]Asumsi I'!$C$3)^(KKF!A15)</f>
        <v>0.4038832279793691</v>
      </c>
      <c r="P15" s="263">
        <f t="shared" ca="1" si="7"/>
        <v>1.702983517921195</v>
      </c>
      <c r="Q15" s="263">
        <f t="shared" ca="1" si="9"/>
        <v>-63.0994876691164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19920</v>
      </c>
      <c r="D16" s="263">
        <f t="shared" si="5"/>
        <v>3320</v>
      </c>
      <c r="E16" s="263">
        <f t="shared" si="0"/>
        <v>16600</v>
      </c>
      <c r="F16" s="261"/>
      <c r="G16" s="265">
        <f ca="1">DATA!$D$11/1000000</f>
        <v>2.4802237601629997</v>
      </c>
      <c r="H16" s="265">
        <f>C16*DATA!$D$5/1000000</f>
        <v>21.595770914060758</v>
      </c>
      <c r="I16" s="265">
        <f>(C16*DATA!$D$5*DATA!$D$7)/1000000</f>
        <v>0.48590484556636704</v>
      </c>
      <c r="J16" s="263">
        <f t="shared" ca="1" si="1"/>
        <v>24.561899519790124</v>
      </c>
      <c r="K16" s="261"/>
      <c r="L16" s="263">
        <f>((D16*DATA!$D$23)/1000000)+((E16*DATA!$D$24)/1000000)</f>
        <v>28.778423999999998</v>
      </c>
      <c r="M16" s="263">
        <f t="shared" si="2"/>
        <v>28.778423999999998</v>
      </c>
      <c r="N16" s="263">
        <f t="shared" ca="1" si="6"/>
        <v>4.2165244802098734</v>
      </c>
      <c r="O16" s="262">
        <f>1/(1+'[94]Asumsi I'!$C$3)^(KKF!A16)</f>
        <v>0.36061002498157957</v>
      </c>
      <c r="P16" s="263">
        <f t="shared" ca="1" si="7"/>
        <v>1.5205209981439243</v>
      </c>
      <c r="Q16" s="263">
        <f t="shared" ca="1" si="9"/>
        <v>-61.578966670972477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19920</v>
      </c>
      <c r="D17" s="263">
        <f t="shared" si="5"/>
        <v>3320</v>
      </c>
      <c r="E17" s="263">
        <f t="shared" si="0"/>
        <v>16600</v>
      </c>
      <c r="F17" s="261"/>
      <c r="G17" s="265">
        <f ca="1">DATA!$D$11/1000000</f>
        <v>2.4802237601629997</v>
      </c>
      <c r="H17" s="265">
        <f>C17*DATA!$D$5/1000000</f>
        <v>21.595770914060758</v>
      </c>
      <c r="I17" s="265">
        <f>(C17*DATA!$D$5*DATA!$D$7)/1000000</f>
        <v>0.48590484556636704</v>
      </c>
      <c r="J17" s="263">
        <f t="shared" ca="1" si="1"/>
        <v>24.561899519790124</v>
      </c>
      <c r="K17" s="261"/>
      <c r="L17" s="263">
        <f>((D17*DATA!$D$23)/1000000)+((E17*DATA!$D$24)/1000000)</f>
        <v>28.778423999999998</v>
      </c>
      <c r="M17" s="263">
        <f t="shared" si="2"/>
        <v>28.778423999999998</v>
      </c>
      <c r="N17" s="263">
        <f t="shared" ca="1" si="6"/>
        <v>4.2165244802098734</v>
      </c>
      <c r="O17" s="262">
        <f>1/(1+'[94]Asumsi I'!$C$3)^(KKF!A17)</f>
        <v>0.32197323659069599</v>
      </c>
      <c r="P17" s="263">
        <f t="shared" ca="1" si="7"/>
        <v>1.3576080340570751</v>
      </c>
      <c r="Q17" s="263">
        <f t="shared" ca="1" si="9"/>
        <v>-60.221358636915404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19920</v>
      </c>
      <c r="D18" s="263">
        <f t="shared" si="5"/>
        <v>3320</v>
      </c>
      <c r="E18" s="263">
        <f t="shared" si="0"/>
        <v>16600</v>
      </c>
      <c r="F18" s="261"/>
      <c r="G18" s="265">
        <f ca="1">DATA!$D$11/1000000</f>
        <v>2.4802237601629997</v>
      </c>
      <c r="H18" s="265">
        <f>C18*DATA!$D$5/1000000</f>
        <v>21.595770914060758</v>
      </c>
      <c r="I18" s="265">
        <f>(C18*DATA!$D$5*DATA!$D$7)/1000000</f>
        <v>0.48590484556636704</v>
      </c>
      <c r="J18" s="263">
        <f t="shared" ca="1" si="1"/>
        <v>24.561899519790124</v>
      </c>
      <c r="K18" s="261"/>
      <c r="L18" s="263">
        <f>((D18*DATA!$D$23)/1000000)+((E18*DATA!$D$24)/1000000)</f>
        <v>28.778423999999998</v>
      </c>
      <c r="M18" s="263">
        <f t="shared" si="2"/>
        <v>28.778423999999998</v>
      </c>
      <c r="N18" s="263">
        <f t="shared" ca="1" si="6"/>
        <v>4.2165244802098734</v>
      </c>
      <c r="O18" s="262">
        <f>1/(1+'[94]Asumsi I'!$C$3)^(KKF!A18)</f>
        <v>0.28747610409883567</v>
      </c>
      <c r="P18" s="263">
        <f t="shared" ca="1" si="7"/>
        <v>1.2121500304081025</v>
      </c>
      <c r="Q18" s="263">
        <f t="shared" ca="1" si="9"/>
        <v>-59.0092086065073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19920</v>
      </c>
      <c r="D19" s="263">
        <f t="shared" si="5"/>
        <v>3320</v>
      </c>
      <c r="E19" s="263">
        <f t="shared" si="0"/>
        <v>16600</v>
      </c>
      <c r="F19" s="261"/>
      <c r="G19" s="265">
        <f ca="1">DATA!$D$11/1000000</f>
        <v>2.4802237601629997</v>
      </c>
      <c r="H19" s="265">
        <f>C19*DATA!$D$5/1000000</f>
        <v>21.595770914060758</v>
      </c>
      <c r="I19" s="265">
        <f>(C19*DATA!$D$5*DATA!$D$7)/1000000</f>
        <v>0.48590484556636704</v>
      </c>
      <c r="J19" s="263">
        <f t="shared" ca="1" si="1"/>
        <v>24.561899519790124</v>
      </c>
      <c r="K19" s="261"/>
      <c r="L19" s="263">
        <f>((D19*DATA!$D$23)/1000000)+((E19*DATA!$D$24)/1000000)</f>
        <v>28.778423999999998</v>
      </c>
      <c r="M19" s="263">
        <f t="shared" si="2"/>
        <v>28.778423999999998</v>
      </c>
      <c r="N19" s="263">
        <f t="shared" ca="1" si="6"/>
        <v>4.2165244802098734</v>
      </c>
      <c r="O19" s="262">
        <f>1/(1+'[94]Asumsi I'!$C$3)^(KKF!A19)</f>
        <v>0.25667509294538904</v>
      </c>
      <c r="P19" s="263">
        <f t="shared" ca="1" si="7"/>
        <v>1.0822768128643774</v>
      </c>
      <c r="Q19" s="263">
        <f t="shared" ca="1" si="9"/>
        <v>-57.926931793642922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19920</v>
      </c>
      <c r="D20" s="263">
        <f t="shared" si="5"/>
        <v>3320</v>
      </c>
      <c r="E20" s="263">
        <f t="shared" si="0"/>
        <v>16600</v>
      </c>
      <c r="F20" s="261"/>
      <c r="G20" s="265">
        <f ca="1">DATA!$D$11/1000000</f>
        <v>2.4802237601629997</v>
      </c>
      <c r="H20" s="265">
        <f>C20*DATA!$D$5/1000000</f>
        <v>21.595770914060758</v>
      </c>
      <c r="I20" s="265">
        <f>(C20*DATA!$D$5*DATA!$D$7)/1000000</f>
        <v>0.48590484556636704</v>
      </c>
      <c r="J20" s="263">
        <f t="shared" ca="1" si="1"/>
        <v>24.561899519790124</v>
      </c>
      <c r="K20" s="261"/>
      <c r="L20" s="263">
        <f>((D20*DATA!$D$23)/1000000)+((E20*DATA!$D$24)/1000000)</f>
        <v>28.778423999999998</v>
      </c>
      <c r="M20" s="263">
        <f t="shared" si="2"/>
        <v>28.778423999999998</v>
      </c>
      <c r="N20" s="263">
        <f t="shared" ca="1" si="6"/>
        <v>4.2165244802098734</v>
      </c>
      <c r="O20" s="262">
        <f>1/(1+'[94]Asumsi I'!$C$3)^(KKF!A20)</f>
        <v>0.22917419012981158</v>
      </c>
      <c r="P20" s="263">
        <f t="shared" ca="1" si="7"/>
        <v>0.96631858291462247</v>
      </c>
      <c r="Q20" s="263">
        <f t="shared" ca="1" si="9"/>
        <v>-56.960613210728297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19920</v>
      </c>
      <c r="D21" s="263">
        <f t="shared" si="5"/>
        <v>3320</v>
      </c>
      <c r="E21" s="263">
        <f t="shared" si="0"/>
        <v>16600</v>
      </c>
      <c r="F21" s="261"/>
      <c r="G21" s="265">
        <f ca="1">DATA!$D$11/1000000</f>
        <v>2.4802237601629997</v>
      </c>
      <c r="H21" s="265">
        <f>C21*DATA!$D$5/1000000</f>
        <v>21.595770914060758</v>
      </c>
      <c r="I21" s="265">
        <f>(C21*DATA!$D$5*DATA!$D$7)/1000000</f>
        <v>0.48590484556636704</v>
      </c>
      <c r="J21" s="263">
        <f t="shared" ca="1" si="1"/>
        <v>24.561899519790124</v>
      </c>
      <c r="K21" s="261"/>
      <c r="L21" s="263">
        <f>((D21*DATA!$D$23)/1000000)+((E21*DATA!$D$24)/1000000)</f>
        <v>28.778423999999998</v>
      </c>
      <c r="M21" s="263">
        <f t="shared" si="2"/>
        <v>28.778423999999998</v>
      </c>
      <c r="N21" s="263">
        <f t="shared" ca="1" si="6"/>
        <v>4.2165244802098734</v>
      </c>
      <c r="O21" s="262">
        <f>1/(1+'[94]Asumsi I'!$C$3)^(KKF!A21)</f>
        <v>0.20461981261590317</v>
      </c>
      <c r="P21" s="263">
        <f t="shared" ca="1" si="7"/>
        <v>0.86278444903091278</v>
      </c>
      <c r="Q21" s="263">
        <f t="shared" ca="1" si="9"/>
        <v>-56.097828761697386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19920</v>
      </c>
      <c r="D22" s="263">
        <f t="shared" si="5"/>
        <v>3320</v>
      </c>
      <c r="E22" s="263">
        <f t="shared" si="0"/>
        <v>16600</v>
      </c>
      <c r="F22" s="261"/>
      <c r="G22" s="265">
        <f ca="1">DATA!$D$11/1000000</f>
        <v>2.4802237601629997</v>
      </c>
      <c r="H22" s="265">
        <f>C22*DATA!$D$5/1000000</f>
        <v>21.595770914060758</v>
      </c>
      <c r="I22" s="265">
        <f>(C22*DATA!$D$5*DATA!$D$7)/1000000</f>
        <v>0.48590484556636704</v>
      </c>
      <c r="J22" s="263">
        <f t="shared" ca="1" si="1"/>
        <v>24.561899519790124</v>
      </c>
      <c r="K22" s="261"/>
      <c r="L22" s="263">
        <f>((D22*DATA!$D$23)/1000000)+((E22*DATA!$D$24)/1000000)</f>
        <v>28.778423999999998</v>
      </c>
      <c r="M22" s="263">
        <f t="shared" si="2"/>
        <v>28.778423999999998</v>
      </c>
      <c r="N22" s="263">
        <f t="shared" ca="1" si="6"/>
        <v>4.2165244802098734</v>
      </c>
      <c r="O22" s="262">
        <f>1/(1+'[94]Asumsi I'!$C$3)^(KKF!A22)</f>
        <v>0.18269626126419927</v>
      </c>
      <c r="P22" s="263">
        <f t="shared" ca="1" si="7"/>
        <v>0.77034325806331505</v>
      </c>
      <c r="Q22" s="263">
        <f t="shared" ca="1" si="9"/>
        <v>-55.327485503634072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19920</v>
      </c>
      <c r="D23" s="263">
        <f t="shared" si="5"/>
        <v>3320</v>
      </c>
      <c r="E23" s="263">
        <f t="shared" si="0"/>
        <v>16600</v>
      </c>
      <c r="F23" s="261"/>
      <c r="G23" s="265">
        <f ca="1">DATA!$D$11/1000000</f>
        <v>2.4802237601629997</v>
      </c>
      <c r="H23" s="265">
        <f>C23*DATA!$D$5/1000000</f>
        <v>21.595770914060758</v>
      </c>
      <c r="I23" s="265">
        <f>(C23*DATA!$D$5*DATA!$D$7)/1000000</f>
        <v>0.48590484556636704</v>
      </c>
      <c r="J23" s="263">
        <f t="shared" ca="1" si="1"/>
        <v>24.561899519790124</v>
      </c>
      <c r="K23" s="261"/>
      <c r="L23" s="263">
        <f>((D23*DATA!$D$23)/1000000)+((E23*DATA!$D$24)/1000000)</f>
        <v>28.778423999999998</v>
      </c>
      <c r="M23" s="263">
        <f t="shared" si="2"/>
        <v>28.778423999999998</v>
      </c>
      <c r="N23" s="263">
        <f t="shared" ca="1" si="6"/>
        <v>4.2165244802098734</v>
      </c>
      <c r="O23" s="262">
        <f>1/(1+'[94]Asumsi I'!$C$3)^(KKF!A23)</f>
        <v>0.16312166184303503</v>
      </c>
      <c r="P23" s="263">
        <f t="shared" ca="1" si="7"/>
        <v>0.68780648041367398</v>
      </c>
      <c r="Q23" s="263">
        <f t="shared" ca="1" si="9"/>
        <v>-54.639679023220395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19920</v>
      </c>
      <c r="D24" s="263">
        <f t="shared" si="5"/>
        <v>3320</v>
      </c>
      <c r="E24" s="263">
        <f t="shared" si="0"/>
        <v>16600</v>
      </c>
      <c r="F24" s="261"/>
      <c r="G24" s="265">
        <f ca="1">DATA!$D$11/1000000</f>
        <v>2.4802237601629997</v>
      </c>
      <c r="H24" s="265">
        <f>C24*DATA!$D$5/1000000</f>
        <v>21.595770914060758</v>
      </c>
      <c r="I24" s="265">
        <f>(C24*DATA!$D$5*DATA!$D$7)/1000000</f>
        <v>0.48590484556636704</v>
      </c>
      <c r="J24" s="263">
        <f t="shared" ca="1" si="1"/>
        <v>24.561899519790124</v>
      </c>
      <c r="K24" s="261"/>
      <c r="L24" s="263">
        <f>((D24*DATA!$D$23)/1000000)+((E24*DATA!$D$24)/1000000)</f>
        <v>28.778423999999998</v>
      </c>
      <c r="M24" s="263">
        <f t="shared" si="2"/>
        <v>28.778423999999998</v>
      </c>
      <c r="N24" s="263">
        <f t="shared" ca="1" si="6"/>
        <v>4.2165244802098734</v>
      </c>
      <c r="O24" s="262">
        <f>1/(1+'[94]Asumsi I'!$C$3)^(KKF!A24)</f>
        <v>0.14564434093128129</v>
      </c>
      <c r="P24" s="263">
        <f t="shared" ca="1" si="7"/>
        <v>0.6141129289407804</v>
      </c>
      <c r="Q24" s="263">
        <f t="shared" ca="1" si="9"/>
        <v>-54.025566094279618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19920</v>
      </c>
      <c r="D25" s="263">
        <f t="shared" si="5"/>
        <v>3320</v>
      </c>
      <c r="E25" s="263">
        <f t="shared" si="0"/>
        <v>16600</v>
      </c>
      <c r="F25" s="261"/>
      <c r="G25" s="265">
        <f ca="1">DATA!$D$11/1000000</f>
        <v>2.4802237601629997</v>
      </c>
      <c r="H25" s="265">
        <f>C25*DATA!$D$5/1000000</f>
        <v>21.595770914060758</v>
      </c>
      <c r="I25" s="265">
        <f>(C25*DATA!$D$5*DATA!$D$7)/1000000</f>
        <v>0.48590484556636704</v>
      </c>
      <c r="J25" s="263">
        <f t="shared" ca="1" si="1"/>
        <v>24.561899519790124</v>
      </c>
      <c r="K25" s="261"/>
      <c r="L25" s="263">
        <f>((D25*DATA!$D$23)/1000000)+((E25*DATA!$D$24)/1000000)</f>
        <v>28.778423999999998</v>
      </c>
      <c r="M25" s="263">
        <f t="shared" si="2"/>
        <v>28.778423999999998</v>
      </c>
      <c r="N25" s="263">
        <f t="shared" ca="1" si="6"/>
        <v>4.2165244802098734</v>
      </c>
      <c r="O25" s="262">
        <f>1/(1+'[94]Asumsi I'!$C$3)^(KKF!A25)</f>
        <v>0.13003959011721541</v>
      </c>
      <c r="P25" s="263">
        <f t="shared" ca="1" si="7"/>
        <v>0.54831511512569675</v>
      </c>
      <c r="Q25" s="263">
        <f t="shared" ca="1" si="9"/>
        <v>-53.477250979153922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19920</v>
      </c>
      <c r="D26" s="263">
        <f t="shared" si="5"/>
        <v>3320</v>
      </c>
      <c r="E26" s="263">
        <f t="shared" si="0"/>
        <v>16600</v>
      </c>
      <c r="F26" s="261"/>
      <c r="G26" s="265">
        <f ca="1">DATA!$D$11/1000000</f>
        <v>2.4802237601629997</v>
      </c>
      <c r="H26" s="265">
        <f>C26*DATA!$D$5/1000000</f>
        <v>21.595770914060758</v>
      </c>
      <c r="I26" s="265">
        <f>(C26*DATA!$D$5*DATA!$D$7)/1000000</f>
        <v>0.48590484556636704</v>
      </c>
      <c r="J26" s="263">
        <f t="shared" ca="1" si="1"/>
        <v>24.561899519790124</v>
      </c>
      <c r="K26" s="261"/>
      <c r="L26" s="263">
        <f>((D26*DATA!$D$23)/1000000)+((E26*DATA!$D$24)/1000000)</f>
        <v>28.778423999999998</v>
      </c>
      <c r="M26" s="263">
        <f t="shared" si="2"/>
        <v>28.778423999999998</v>
      </c>
      <c r="N26" s="263">
        <f t="shared" ca="1" si="6"/>
        <v>4.2165244802098734</v>
      </c>
      <c r="O26" s="262">
        <f>1/(1+'[94]Asumsi I'!$C$3)^(KKF!A26)</f>
        <v>0.1161067768903709</v>
      </c>
      <c r="P26" s="263">
        <f t="shared" ca="1" si="7"/>
        <v>0.48956706707651487</v>
      </c>
      <c r="Q26" s="263">
        <f t="shared" ca="1" si="9"/>
        <v>-52.987683912077408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19920</v>
      </c>
      <c r="D27" s="263">
        <f t="shared" si="5"/>
        <v>3320</v>
      </c>
      <c r="E27" s="263">
        <f t="shared" si="0"/>
        <v>16600</v>
      </c>
      <c r="F27" s="261"/>
      <c r="G27" s="265">
        <f ca="1">DATA!$D$11/1000000</f>
        <v>2.4802237601629997</v>
      </c>
      <c r="H27" s="265">
        <f>C27*DATA!$D$5/1000000</f>
        <v>21.595770914060758</v>
      </c>
      <c r="I27" s="265">
        <f>(C27*DATA!$D$5*DATA!$D$7)/1000000</f>
        <v>0.48590484556636704</v>
      </c>
      <c r="J27" s="263">
        <f t="shared" ca="1" si="1"/>
        <v>24.561899519790124</v>
      </c>
      <c r="K27" s="261"/>
      <c r="L27" s="263">
        <f>((D27*DATA!$D$23)/1000000)+((E27*DATA!$D$24)/1000000)</f>
        <v>28.778423999999998</v>
      </c>
      <c r="M27" s="263">
        <f t="shared" si="2"/>
        <v>28.778423999999998</v>
      </c>
      <c r="N27" s="263">
        <f t="shared" ca="1" si="6"/>
        <v>4.2165244802098734</v>
      </c>
      <c r="O27" s="262">
        <f>1/(1+'[94]Asumsi I'!$C$3)^(KKF!A27)</f>
        <v>0.1036667650806883</v>
      </c>
      <c r="P27" s="263">
        <f t="shared" ca="1" si="7"/>
        <v>0.43711345274688829</v>
      </c>
      <c r="Q27" s="263">
        <f t="shared" ca="1" si="9"/>
        <v>-52.550570459330523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19920</v>
      </c>
      <c r="D28" s="263">
        <f t="shared" si="5"/>
        <v>3320</v>
      </c>
      <c r="E28" s="263">
        <f t="shared" si="0"/>
        <v>16600</v>
      </c>
      <c r="F28" s="261"/>
      <c r="G28" s="265">
        <f ca="1">DATA!$D$11/1000000</f>
        <v>2.4802237601629997</v>
      </c>
      <c r="H28" s="265">
        <f>C28*DATA!$D$5/1000000</f>
        <v>21.595770914060758</v>
      </c>
      <c r="I28" s="265">
        <f>(C28*DATA!$D$5*DATA!$D$7)/1000000</f>
        <v>0.48590484556636704</v>
      </c>
      <c r="J28" s="263">
        <f t="shared" ca="1" si="1"/>
        <v>24.561899519790124</v>
      </c>
      <c r="K28" s="261"/>
      <c r="L28" s="263">
        <f>((D28*DATA!$D$23)/1000000)+((E28*DATA!$D$24)/1000000)</f>
        <v>28.778423999999998</v>
      </c>
      <c r="M28" s="263">
        <f t="shared" si="2"/>
        <v>28.778423999999998</v>
      </c>
      <c r="N28" s="263">
        <f t="shared" ca="1" si="6"/>
        <v>4.2165244802098734</v>
      </c>
      <c r="O28" s="262">
        <f>1/(1+'[94]Asumsi I'!$C$3)^(KKF!A28)</f>
        <v>9.2559611679185971E-2</v>
      </c>
      <c r="P28" s="263">
        <f t="shared" ca="1" si="7"/>
        <v>0.39027986852400737</v>
      </c>
      <c r="Q28" s="263">
        <f t="shared" ca="1" si="9"/>
        <v>-52.160290590806518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19920</v>
      </c>
      <c r="D29" s="263">
        <f t="shared" si="5"/>
        <v>3320</v>
      </c>
      <c r="E29" s="263">
        <f t="shared" si="0"/>
        <v>16600</v>
      </c>
      <c r="F29" s="261"/>
      <c r="G29" s="265">
        <f ca="1">DATA!$D$11/1000000</f>
        <v>2.4802237601629997</v>
      </c>
      <c r="H29" s="265">
        <f>C29*DATA!$D$5/1000000</f>
        <v>21.595770914060758</v>
      </c>
      <c r="I29" s="265">
        <f>(C29*DATA!$D$5*DATA!$D$7)/1000000</f>
        <v>0.48590484556636704</v>
      </c>
      <c r="J29" s="263">
        <f t="shared" ca="1" si="1"/>
        <v>24.561899519790124</v>
      </c>
      <c r="K29" s="261"/>
      <c r="L29" s="263">
        <f>((D29*DATA!$D$23)/1000000)+((E29*DATA!$D$24)/1000000)</f>
        <v>28.778423999999998</v>
      </c>
      <c r="M29" s="263">
        <f t="shared" si="2"/>
        <v>28.778423999999998</v>
      </c>
      <c r="N29" s="263">
        <f t="shared" ca="1" si="6"/>
        <v>4.2165244802098734</v>
      </c>
      <c r="O29" s="262">
        <f>1/(1+'[94]Asumsi I'!$C$3)^(KKF!A29)</f>
        <v>8.2642510427844609E-2</v>
      </c>
      <c r="P29" s="263">
        <f t="shared" ca="1" si="7"/>
        <v>0.34846416832500654</v>
      </c>
      <c r="Q29" s="263">
        <f t="shared" ca="1" si="9"/>
        <v>-51.811826422481509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19920</v>
      </c>
      <c r="D30" s="263">
        <f t="shared" si="5"/>
        <v>3320</v>
      </c>
      <c r="E30" s="263">
        <f t="shared" si="0"/>
        <v>16600</v>
      </c>
      <c r="F30" s="261"/>
      <c r="G30" s="265">
        <f ca="1">DATA!$D$11/1000000</f>
        <v>2.4802237601629997</v>
      </c>
      <c r="H30" s="265">
        <f>C30*DATA!$D$5/1000000</f>
        <v>21.595770914060758</v>
      </c>
      <c r="I30" s="265">
        <f>(C30*DATA!$D$5*DATA!$D$7)/1000000</f>
        <v>0.48590484556636704</v>
      </c>
      <c r="J30" s="263">
        <f t="shared" ca="1" si="1"/>
        <v>24.561899519790124</v>
      </c>
      <c r="K30" s="261"/>
      <c r="L30" s="263">
        <f>((D30*DATA!$D$23)/1000000)+((E30*DATA!$D$24)/1000000)</f>
        <v>28.778423999999998</v>
      </c>
      <c r="M30" s="263">
        <f t="shared" si="2"/>
        <v>28.778423999999998</v>
      </c>
      <c r="N30" s="263">
        <f t="shared" ca="1" si="6"/>
        <v>4.2165244802098734</v>
      </c>
      <c r="O30" s="262">
        <f>1/(1+'[94]Asumsi I'!$C$3)^(KKF!A30)</f>
        <v>7.3787955739146982E-2</v>
      </c>
      <c r="P30" s="263">
        <f t="shared" ca="1" si="7"/>
        <v>0.31112872171875589</v>
      </c>
      <c r="Q30" s="263">
        <f t="shared" ca="1" si="9"/>
        <v>-51.500697700762757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19920</v>
      </c>
      <c r="D31" s="263">
        <f t="shared" si="5"/>
        <v>3320</v>
      </c>
      <c r="E31" s="263">
        <f t="shared" si="0"/>
        <v>16600</v>
      </c>
      <c r="F31" s="261"/>
      <c r="G31" s="265">
        <f ca="1">DATA!$D$11/1000000</f>
        <v>2.4802237601629997</v>
      </c>
      <c r="H31" s="265">
        <f>C31*DATA!$D$5/1000000</f>
        <v>21.595770914060758</v>
      </c>
      <c r="I31" s="265">
        <f>(C31*DATA!$D$5*DATA!$D$7)/1000000</f>
        <v>0.48590484556636704</v>
      </c>
      <c r="J31" s="263">
        <f t="shared" ca="1" si="1"/>
        <v>24.561899519790124</v>
      </c>
      <c r="K31" s="261"/>
      <c r="L31" s="263">
        <f>((D31*DATA!$D$23)/1000000)+((E31*DATA!$D$24)/1000000)</f>
        <v>28.778423999999998</v>
      </c>
      <c r="M31" s="263">
        <f t="shared" si="2"/>
        <v>28.778423999999998</v>
      </c>
      <c r="N31" s="263">
        <f t="shared" ca="1" si="6"/>
        <v>4.2165244802098734</v>
      </c>
      <c r="O31" s="262">
        <f>1/(1+'[94]Asumsi I'!$C$3)^(KKF!A31)</f>
        <v>6.5882103338524081E-2</v>
      </c>
      <c r="P31" s="263">
        <f t="shared" ca="1" si="7"/>
        <v>0.27779350153460342</v>
      </c>
      <c r="Q31" s="263">
        <f ca="1">Q30+P31</f>
        <v>-51.222904199228154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19920</v>
      </c>
      <c r="D32" s="263">
        <f t="shared" si="5"/>
        <v>3320</v>
      </c>
      <c r="E32" s="263">
        <f t="shared" si="0"/>
        <v>16600</v>
      </c>
      <c r="F32" s="261"/>
      <c r="G32" s="265">
        <f ca="1">DATA!$D$11/1000000</f>
        <v>2.4802237601629997</v>
      </c>
      <c r="H32" s="265">
        <f>C32*DATA!$D$5/1000000</f>
        <v>21.595770914060758</v>
      </c>
      <c r="I32" s="265">
        <f>(C32*DATA!$D$5*DATA!$D$7)/1000000</f>
        <v>0.48590484556636704</v>
      </c>
      <c r="J32" s="263">
        <f t="shared" ca="1" si="1"/>
        <v>24.561899519790124</v>
      </c>
      <c r="K32" s="261"/>
      <c r="L32" s="263">
        <f>((D32*DATA!$D$23)/1000000)+((E32*DATA!$D$24)/1000000)</f>
        <v>28.778423999999998</v>
      </c>
      <c r="M32" s="263">
        <f t="shared" si="2"/>
        <v>28.778423999999998</v>
      </c>
      <c r="N32" s="263">
        <f t="shared" ca="1" si="6"/>
        <v>4.2165244802098734</v>
      </c>
      <c r="O32" s="262">
        <f>1/(1+'[94]Asumsi I'!$C$3)^(KKF!A32)</f>
        <v>5.8823306552253637E-2</v>
      </c>
      <c r="P32" s="263">
        <f t="shared" ca="1" si="7"/>
        <v>0.24802991208446731</v>
      </c>
      <c r="Q32" s="263">
        <f ca="1">Q31+P32</f>
        <v>-50.974874287143685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70" t="s">
        <v>1373</v>
      </c>
      <c r="G33" s="570"/>
      <c r="H33" s="570"/>
      <c r="I33" s="271"/>
      <c r="J33" s="272">
        <f ca="1">SUM(J7:J32)</f>
        <v>747.89945834960861</v>
      </c>
      <c r="K33" s="570" t="s">
        <v>1374</v>
      </c>
      <c r="L33" s="570"/>
      <c r="M33" s="272">
        <f>SUM(M7:M32)</f>
        <v>769.2669079999996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31.744620713833264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1.0285699493586244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-45.51328061352114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1.8242016907434433E-2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7" priority="1" stopIfTrue="1" operator="greaterThanOrEqual">
      <formula>$F$7</formula>
    </cfRule>
    <cfRule type="cellIs" dxfId="36" priority="2" stopIfTrue="1" operator="lessThan">
      <formula>$F$7</formula>
    </cfRule>
  </conditionalFormatting>
  <conditionalFormatting sqref="Q7:Q32">
    <cfRule type="cellIs" dxfId="35" priority="3" operator="lessThan">
      <formula>0</formula>
    </cfRule>
    <cfRule type="cellIs" dxfId="34" priority="4" operator="lessThan">
      <formula>0</formula>
    </cfRule>
    <cfRule type="cellIs" dxfId="33" priority="5" operator="lessThan">
      <formula>-6395.81</formula>
    </cfRule>
    <cfRule type="cellIs" dxfId="3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18"/>
  <sheetViews>
    <sheetView showGridLines="0" tabSelected="1" zoomScale="85" zoomScaleNormal="85" zoomScaleSheetLayoutView="70" workbookViewId="0">
      <pane ySplit="13" topLeftCell="A141" activePane="bottomLeft" state="frozen"/>
      <selection activeCell="H1093" sqref="H1093"/>
      <selection pane="bottomLeft" activeCell="C188" sqref="C18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94" t="s">
        <v>1036</v>
      </c>
      <c r="P3" s="594"/>
      <c r="Q3" s="293"/>
      <c r="T3" s="291"/>
      <c r="U3" s="292" t="s">
        <v>1041</v>
      </c>
      <c r="V3" s="291"/>
    </row>
    <row r="4" spans="1:22" ht="15.75" customHeight="1">
      <c r="B4" s="595" t="s">
        <v>1023</v>
      </c>
      <c r="C4" s="595"/>
      <c r="D4" s="595"/>
      <c r="E4" s="595"/>
      <c r="F4" s="595"/>
      <c r="G4" s="595"/>
      <c r="H4" s="595"/>
      <c r="I4" s="595"/>
      <c r="J4" s="595"/>
      <c r="K4" s="595"/>
      <c r="O4" s="594"/>
      <c r="P4" s="59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577" t="s">
        <v>1655</v>
      </c>
      <c r="H6" s="578"/>
      <c r="I6" s="578"/>
      <c r="J6" s="578"/>
      <c r="K6" s="57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1656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597" t="s">
        <v>0</v>
      </c>
      <c r="C11" s="599" t="s">
        <v>1</v>
      </c>
      <c r="D11" s="588" t="s">
        <v>42</v>
      </c>
      <c r="E11" s="588" t="s">
        <v>43</v>
      </c>
      <c r="F11" s="588" t="s">
        <v>2</v>
      </c>
      <c r="G11" s="602" t="s">
        <v>41</v>
      </c>
      <c r="H11" s="588" t="s">
        <v>3</v>
      </c>
      <c r="I11" s="588"/>
      <c r="J11" s="588"/>
      <c r="K11" s="58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598"/>
      <c r="C12" s="600"/>
      <c r="D12" s="592"/>
      <c r="E12" s="592"/>
      <c r="F12" s="592"/>
      <c r="G12" s="603"/>
      <c r="H12" s="590" t="s">
        <v>46</v>
      </c>
      <c r="I12" s="590" t="s">
        <v>5</v>
      </c>
      <c r="J12" s="592" t="s">
        <v>47</v>
      </c>
      <c r="K12" s="59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598"/>
      <c r="C13" s="601"/>
      <c r="D13" s="592"/>
      <c r="E13" s="592"/>
      <c r="F13" s="592"/>
      <c r="G13" s="604"/>
      <c r="H13" s="591"/>
      <c r="I13" s="591"/>
      <c r="J13" s="592"/>
      <c r="K13" s="59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3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3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ca="1" si="0"/>
        <v>0</v>
      </c>
      <c r="I17" s="308">
        <f t="shared" ca="1" si="1"/>
        <v>17400000</v>
      </c>
      <c r="J17" s="308">
        <f t="shared" ca="1" si="2"/>
        <v>0</v>
      </c>
      <c r="K17" s="309">
        <f t="shared" ca="1" si="3"/>
        <v>17400000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4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40266.666666666672</v>
      </c>
      <c r="K18" s="309">
        <f t="shared" ca="1" si="3"/>
        <v>40266.666666666672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>
        <v>3</v>
      </c>
      <c r="C19" s="109" t="s">
        <v>104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420">
        <v>1</v>
      </c>
      <c r="G19" s="307">
        <f ca="1">IF(ISERROR(OFFSET('HARGA SATUAN'!$I$6,MATCH(RAB!C19,'HARGA SATUAN'!$C$7:$C$1495,0),0)),0,OFFSET('HARGA SATUAN'!$I$6,MATCH(RAB!C19,'HARGA SATUAN'!$C$7:$C$1495,0),0))</f>
        <v>6074400</v>
      </c>
      <c r="H19" s="308">
        <f t="shared" ref="H19" ca="1" si="5">IF(OR(D19="MDU",D19="MDU-KD"),(IF($O$3="RAB NON MDU","PLN KD",G19*F19)),0)</f>
        <v>0</v>
      </c>
      <c r="I19" s="308">
        <f t="shared" ref="I19" ca="1" si="6">IF(D19="HDW",G19*F19,0)</f>
        <v>6074400</v>
      </c>
      <c r="J19" s="308">
        <f t="shared" ref="J19" ca="1" si="7">IF(D19="JASA",G19*F19,0)</f>
        <v>0</v>
      </c>
      <c r="K19" s="309">
        <f t="shared" ref="K19" ca="1" si="8">SUM(H19:J19)</f>
        <v>6074400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303"/>
      <c r="C20" s="185"/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69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ca="1">IF(AND(F20&gt;0,F16=0),"",IF(AND(ISBLANK(F20)=FALSE,K20=0),"WARNING",""))</f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70" t="s">
        <v>1035</v>
      </c>
      <c r="C22" s="471" t="s">
        <v>1633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57">
        <v>1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ref="H22:H144" ca="1" si="9">IF(OR(D22="MDU",D22="MDU-KD"),(IF($O$3="RAB NON MDU","PLN KD",G22*F22)),0)</f>
        <v>0</v>
      </c>
      <c r="I22" s="308">
        <f t="shared" ref="I22:I144" ca="1" si="10">IF(D22="HDW",G22*F22,0)</f>
        <v>0</v>
      </c>
      <c r="J22" s="308">
        <f t="shared" ref="J22:J144" ca="1" si="11">IF(D22="JASA",G22*F22,0)</f>
        <v>0</v>
      </c>
      <c r="K22" s="309">
        <f t="shared" ref="K22:K144" ca="1" si="12">SUM(H22:J22)</f>
        <v>0</v>
      </c>
      <c r="L22" s="316"/>
      <c r="M22" s="289" t="e">
        <f>IF(AND(F22&gt;0,#REF!=0),"",IF(AND(ISBLANK(F22)=FALSE,K22=0),"WARNING",""))</f>
        <v>#REF!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70">
        <v>1</v>
      </c>
      <c r="C23" s="471" t="s">
        <v>1145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7">
        <f>F22*1</f>
        <v>1</v>
      </c>
      <c r="G23" s="307">
        <f ca="1">IF(ISERROR(OFFSET('HARGA SATUAN'!$I$6,MATCH(RAB!C23,'HARGA SATUAN'!$C$7:$C$1495,0),0)),0,OFFSET('HARGA SATUAN'!$I$6,MATCH(RAB!C23,'HARGA SATUAN'!$C$7:$C$1495,0),0))</f>
        <v>42757200</v>
      </c>
      <c r="H23" s="308">
        <f t="shared" ca="1" si="9"/>
        <v>42757200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42757200</v>
      </c>
      <c r="L23" s="316"/>
      <c r="M23" s="289" t="str">
        <f t="shared" ca="1" si="4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54">
        <v>2</v>
      </c>
      <c r="C24" s="472" t="s">
        <v>1617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9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ref="M24:M65" ca="1" si="13">IF(AND(F24&gt;0,F23=0),"",IF(AND(ISBLANK(F24)=FALSE,K24=0),"WARNING",""))</f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70"/>
      <c r="C25" s="472" t="s">
        <v>65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57">
        <f>F22*(3*3)</f>
        <v>9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9"/>
        <v>127800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127800</v>
      </c>
      <c r="L25" s="316"/>
      <c r="M25" s="289" t="str">
        <f t="shared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70"/>
      <c r="C26" s="472" t="s">
        <v>1634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7">
        <f>F22*3</f>
        <v>3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>WARNING</v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70">
        <v>3</v>
      </c>
      <c r="C27" s="109" t="s">
        <v>559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7">
        <f>F22*3</f>
        <v>3</v>
      </c>
      <c r="G27" s="307">
        <f ca="1">IF(ISERROR(OFFSET('HARGA SATUAN'!$I$6,MATCH(RAB!C27,'HARGA SATUAN'!$C$7:$C$1495,0),0)),0,OFFSET('HARGA SATUAN'!$I$6,MATCH(RAB!C27,'HARGA SATUAN'!$C$7:$C$1495,0),0))</f>
        <v>725900</v>
      </c>
      <c r="H27" s="308">
        <f t="shared" ca="1" si="9"/>
        <v>2177700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2177700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70">
        <v>4</v>
      </c>
      <c r="C28" s="471" t="s">
        <v>535</v>
      </c>
      <c r="D28" s="305" t="str">
        <f ca="1">IF(ISERROR(OFFSET('HARGA SATUAN'!$D$6,MATCH(RAB!C28,'HARGA SATUAN'!$C$7:$C$1495,0),0)),"",OFFSET('HARGA SATUAN'!$D$6,MATCH(RAB!C28,'HARGA SATUAN'!$C$7:$C$1495,0),0))</f>
        <v>MDU-KD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7">
        <f>F22*3</f>
        <v>3</v>
      </c>
      <c r="G28" s="307">
        <f ca="1">IF(ISERROR(OFFSET('HARGA SATUAN'!$I$6,MATCH(RAB!C28,'HARGA SATUAN'!$C$7:$C$1495,0),0)),0,OFFSET('HARGA SATUAN'!$I$6,MATCH(RAB!C28,'HARGA SATUAN'!$C$7:$C$1495,0),0))</f>
        <v>848250</v>
      </c>
      <c r="H28" s="308">
        <f t="shared" ca="1" si="9"/>
        <v>2544750</v>
      </c>
      <c r="I28" s="308">
        <f t="shared" ca="1" si="10"/>
        <v>0</v>
      </c>
      <c r="J28" s="308">
        <f t="shared" ca="1" si="11"/>
        <v>0</v>
      </c>
      <c r="K28" s="309">
        <f t="shared" ca="1" si="12"/>
        <v>2544750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70">
        <v>5</v>
      </c>
      <c r="C29" s="471" t="s">
        <v>537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7">
        <f>F22*3</f>
        <v>3</v>
      </c>
      <c r="G29" s="307">
        <f ca="1">IF(ISERROR(OFFSET('HARGA SATUAN'!$I$6,MATCH(RAB!C29,'HARGA SATUAN'!$C$7:$C$1495,0),0)),0,OFFSET('HARGA SATUAN'!$I$6,MATCH(RAB!C29,'HARGA SATUAN'!$C$7:$C$1495,0),0))</f>
        <v>17500</v>
      </c>
      <c r="H29" s="308">
        <f t="shared" ca="1" si="9"/>
        <v>0</v>
      </c>
      <c r="I29" s="308">
        <f t="shared" ca="1" si="10"/>
        <v>52500</v>
      </c>
      <c r="J29" s="308">
        <f t="shared" ca="1" si="11"/>
        <v>0</v>
      </c>
      <c r="K29" s="309">
        <f t="shared" ca="1" si="12"/>
        <v>52500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70">
        <v>6</v>
      </c>
      <c r="C30" s="471" t="s">
        <v>1619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7">
        <f>F22*13</f>
        <v>13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9"/>
        <v>0</v>
      </c>
      <c r="I30" s="308">
        <f t="shared" ca="1" si="10"/>
        <v>637000</v>
      </c>
      <c r="J30" s="308">
        <f t="shared" ca="1" si="11"/>
        <v>0</v>
      </c>
      <c r="K30" s="309">
        <f t="shared" ca="1" si="12"/>
        <v>637000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70">
        <v>7</v>
      </c>
      <c r="C31" s="471" t="s">
        <v>163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7">
        <f>F22*22</f>
        <v>22</v>
      </c>
      <c r="G31" s="307">
        <f ca="1">IF(ISERROR(OFFSET('HARGA SATUAN'!$I$6,MATCH(RAB!C31,'HARGA SATUAN'!$C$7:$C$1495,0),0)),0,OFFSET('HARGA SATUAN'!$I$6,MATCH(RAB!C31,'HARGA SATUAN'!$C$7:$C$1495,0),0))</f>
        <v>7938</v>
      </c>
      <c r="H31" s="308">
        <f t="shared" ca="1" si="9"/>
        <v>0</v>
      </c>
      <c r="I31" s="308">
        <f t="shared" ca="1" si="10"/>
        <v>174636</v>
      </c>
      <c r="J31" s="308">
        <f t="shared" ca="1" si="11"/>
        <v>0</v>
      </c>
      <c r="K31" s="309">
        <f t="shared" ca="1" si="12"/>
        <v>174636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70">
        <v>8</v>
      </c>
      <c r="C32" s="471" t="s">
        <v>176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7">
        <f>F22*1</f>
        <v>1</v>
      </c>
      <c r="G32" s="307">
        <f ca="1">IF(ISERROR(OFFSET('HARGA SATUAN'!$I$6,MATCH(RAB!C32,'HARGA SATUAN'!$C$7:$C$1495,0),0)),0,OFFSET('HARGA SATUAN'!$I$6,MATCH(RAB!C32,'HARGA SATUAN'!$C$7:$C$1495,0),0))</f>
        <v>404600</v>
      </c>
      <c r="H32" s="308">
        <f t="shared" ca="1" si="9"/>
        <v>0</v>
      </c>
      <c r="I32" s="308">
        <f t="shared" ca="1" si="10"/>
        <v>404600</v>
      </c>
      <c r="J32" s="308">
        <f t="shared" ca="1" si="11"/>
        <v>0</v>
      </c>
      <c r="K32" s="309">
        <f t="shared" ca="1" si="12"/>
        <v>404600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70">
        <v>9</v>
      </c>
      <c r="C33" s="471" t="s">
        <v>184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7">
        <f>F22*3</f>
        <v>3</v>
      </c>
      <c r="G33" s="307">
        <f ca="1">IF(ISERROR(OFFSET('HARGA SATUAN'!$I$6,MATCH(RAB!C33,'HARGA SATUAN'!$C$7:$C$1495,0),0)),0,OFFSET('HARGA SATUAN'!$I$6,MATCH(RAB!C33,'HARGA SATUAN'!$C$7:$C$1495,0),0))</f>
        <v>15900</v>
      </c>
      <c r="H33" s="308">
        <f t="shared" ca="1" si="9"/>
        <v>0</v>
      </c>
      <c r="I33" s="308">
        <f t="shared" ca="1" si="10"/>
        <v>47700</v>
      </c>
      <c r="J33" s="308">
        <f t="shared" ca="1" si="11"/>
        <v>0</v>
      </c>
      <c r="K33" s="309">
        <f t="shared" ca="1" si="12"/>
        <v>47700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70">
        <v>10</v>
      </c>
      <c r="C34" s="471" t="s">
        <v>592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7">
        <f>F22*5</f>
        <v>5</v>
      </c>
      <c r="G34" s="307">
        <f ca="1">IF(ISERROR(OFFSET('HARGA SATUAN'!$I$6,MATCH(RAB!C34,'HARGA SATUAN'!$C$7:$C$1495,0),0)),0,OFFSET('HARGA SATUAN'!$I$6,MATCH(RAB!C34,'HARGA SATUAN'!$C$7:$C$1495,0),0))</f>
        <v>283100</v>
      </c>
      <c r="H34" s="308">
        <f t="shared" ca="1" si="9"/>
        <v>0</v>
      </c>
      <c r="I34" s="308">
        <f t="shared" ca="1" si="10"/>
        <v>1415500</v>
      </c>
      <c r="J34" s="308">
        <f t="shared" ca="1" si="11"/>
        <v>0</v>
      </c>
      <c r="K34" s="309">
        <f t="shared" ca="1" si="12"/>
        <v>1415500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70">
        <v>11</v>
      </c>
      <c r="C35" s="471" t="s">
        <v>593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F22*4</f>
        <v>4</v>
      </c>
      <c r="G35" s="307">
        <f ca="1">IF(ISERROR(OFFSET('HARGA SATUAN'!$I$6,MATCH(RAB!C35,'HARGA SATUAN'!$C$7:$C$1495,0),0)),0,OFFSET('HARGA SATUAN'!$I$6,MATCH(RAB!C35,'HARGA SATUAN'!$C$7:$C$1495,0),0))</f>
        <v>380500</v>
      </c>
      <c r="H35" s="308">
        <f t="shared" ca="1" si="9"/>
        <v>0</v>
      </c>
      <c r="I35" s="308">
        <f t="shared" ca="1" si="10"/>
        <v>1522000</v>
      </c>
      <c r="J35" s="308">
        <f t="shared" ca="1" si="11"/>
        <v>0</v>
      </c>
      <c r="K35" s="309">
        <f t="shared" ca="1" si="12"/>
        <v>1522000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70">
        <v>12</v>
      </c>
      <c r="C36" s="471" t="s">
        <v>208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7">
        <f>F22*3</f>
        <v>3</v>
      </c>
      <c r="G36" s="307">
        <f ca="1">IF(ISERROR(OFFSET('HARGA SATUAN'!$I$6,MATCH(RAB!C36,'HARGA SATUAN'!$C$7:$C$1495,0),0)),0,OFFSET('HARGA SATUAN'!$I$6,MATCH(RAB!C36,'HARGA SATUAN'!$C$7:$C$1495,0),0))</f>
        <v>173400</v>
      </c>
      <c r="H36" s="308">
        <f t="shared" ca="1" si="9"/>
        <v>0</v>
      </c>
      <c r="I36" s="308">
        <f t="shared" ca="1" si="10"/>
        <v>520200</v>
      </c>
      <c r="J36" s="308">
        <f t="shared" ca="1" si="11"/>
        <v>0</v>
      </c>
      <c r="K36" s="309">
        <f t="shared" ca="1" si="12"/>
        <v>520200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70">
        <v>13</v>
      </c>
      <c r="C37" s="471" t="s">
        <v>247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7">
        <f>F22*1</f>
        <v>1</v>
      </c>
      <c r="G37" s="307">
        <f ca="1">IF(ISERROR(OFFSET('HARGA SATUAN'!$I$6,MATCH(RAB!C37,'HARGA SATUAN'!$C$7:$C$1495,0),0)),0,OFFSET('HARGA SATUAN'!$I$6,MATCH(RAB!C37,'HARGA SATUAN'!$C$7:$C$1495,0),0))</f>
        <v>57690</v>
      </c>
      <c r="H37" s="308">
        <f t="shared" ca="1" si="9"/>
        <v>0</v>
      </c>
      <c r="I37" s="308">
        <f t="shared" ca="1" si="10"/>
        <v>57690</v>
      </c>
      <c r="J37" s="308">
        <f t="shared" ca="1" si="11"/>
        <v>0</v>
      </c>
      <c r="K37" s="309">
        <f t="shared" ca="1" si="12"/>
        <v>57690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70">
        <v>14</v>
      </c>
      <c r="C38" s="471" t="s">
        <v>234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7">
        <f>F22*2</f>
        <v>2</v>
      </c>
      <c r="G38" s="307">
        <f ca="1">IF(ISERROR(OFFSET('HARGA SATUAN'!$I$6,MATCH(RAB!C38,'HARGA SATUAN'!$C$7:$C$1495,0),0)),0,OFFSET('HARGA SATUAN'!$I$6,MATCH(RAB!C38,'HARGA SATUAN'!$C$7:$C$1495,0),0))</f>
        <v>67500</v>
      </c>
      <c r="H38" s="308">
        <f t="shared" ca="1" si="9"/>
        <v>0</v>
      </c>
      <c r="I38" s="308">
        <f t="shared" ca="1" si="10"/>
        <v>135000</v>
      </c>
      <c r="J38" s="308">
        <f t="shared" ca="1" si="11"/>
        <v>0</v>
      </c>
      <c r="K38" s="309">
        <f t="shared" ca="1" si="12"/>
        <v>135000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70">
        <v>15</v>
      </c>
      <c r="C39" s="471" t="s">
        <v>267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7">
        <f>F22*2</f>
        <v>2</v>
      </c>
      <c r="G39" s="307">
        <f ca="1">IF(ISERROR(OFFSET('HARGA SATUAN'!$I$6,MATCH(RAB!C39,'HARGA SATUAN'!$C$7:$C$1495,0),0)),0,OFFSET('HARGA SATUAN'!$I$6,MATCH(RAB!C39,'HARGA SATUAN'!$C$7:$C$1495,0),0))</f>
        <v>129000</v>
      </c>
      <c r="H39" s="308">
        <f t="shared" ca="1" si="9"/>
        <v>0</v>
      </c>
      <c r="I39" s="308">
        <f t="shared" ca="1" si="10"/>
        <v>258000</v>
      </c>
      <c r="J39" s="308">
        <f t="shared" ca="1" si="11"/>
        <v>0</v>
      </c>
      <c r="K39" s="309">
        <f t="shared" ca="1" si="12"/>
        <v>258000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70">
        <v>16</v>
      </c>
      <c r="C40" s="471" t="s">
        <v>607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7">
        <f>F22*4</f>
        <v>4</v>
      </c>
      <c r="G40" s="307">
        <f ca="1">IF(ISERROR(OFFSET('HARGA SATUAN'!$I$6,MATCH(RAB!C40,'HARGA SATUAN'!$C$7:$C$1495,0),0)),0,OFFSET('HARGA SATUAN'!$I$6,MATCH(RAB!C40,'HARGA SATUAN'!$C$7:$C$1495,0),0))</f>
        <v>250000</v>
      </c>
      <c r="H40" s="308">
        <f t="shared" ca="1" si="9"/>
        <v>0</v>
      </c>
      <c r="I40" s="308">
        <f t="shared" ca="1" si="10"/>
        <v>1000000</v>
      </c>
      <c r="J40" s="308">
        <f t="shared" ca="1" si="11"/>
        <v>0</v>
      </c>
      <c r="K40" s="309">
        <f t="shared" ca="1" si="12"/>
        <v>1000000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70">
        <v>17</v>
      </c>
      <c r="C41" s="471" t="s">
        <v>783</v>
      </c>
      <c r="D41" s="305" t="str">
        <f ca="1">IF(ISERROR(OFFSET('HARGA SATUAN'!$D$6,MATCH(RAB!C41,'HARGA SATUAN'!$C$7:$C$1495,0),0)),"",OFFSET('HARGA SATUAN'!$D$6,MATCH(RAB!C41,'HARGA SATUAN'!$C$7:$C$1495,0),0))</f>
        <v>JASA</v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7">
        <f>F22*1</f>
        <v>1</v>
      </c>
      <c r="G41" s="307">
        <f ca="1">IF(ISERROR(OFFSET('HARGA SATUAN'!$I$6,MATCH(RAB!C41,'HARGA SATUAN'!$C$7:$C$1495,0),0)),0,OFFSET('HARGA SATUAN'!$I$6,MATCH(RAB!C41,'HARGA SATUAN'!$C$7:$C$1495,0),0))</f>
        <v>1182800</v>
      </c>
      <c r="H41" s="308">
        <f t="shared" ca="1" si="9"/>
        <v>0</v>
      </c>
      <c r="I41" s="308">
        <f t="shared" ca="1" si="10"/>
        <v>0</v>
      </c>
      <c r="J41" s="308">
        <f t="shared" ca="1" si="11"/>
        <v>1182800</v>
      </c>
      <c r="K41" s="309">
        <f t="shared" ca="1" si="12"/>
        <v>1182800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318"/>
      <c r="C42" s="319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8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 t="str">
        <f ca="1">IF(AND(F42&gt;0,F34=0),"",IF(AND(ISBLANK(F42)=FALSE,K42=0),"WARNING",""))</f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 t="s">
        <v>1035</v>
      </c>
      <c r="C43" s="319" t="s">
        <v>1615</v>
      </c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7">
        <v>2</v>
      </c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9"/>
        <v>0</v>
      </c>
      <c r="I43" s="308">
        <f t="shared" ca="1" si="10"/>
        <v>0</v>
      </c>
      <c r="J43" s="308">
        <f t="shared" ca="1" si="11"/>
        <v>0</v>
      </c>
      <c r="K43" s="309">
        <f t="shared" ca="1" si="12"/>
        <v>0</v>
      </c>
      <c r="L43" s="316"/>
      <c r="M43" s="289" t="str">
        <f t="shared" si="13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>
        <v>1</v>
      </c>
      <c r="C44" s="319" t="s">
        <v>29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8">
        <f>F43*1</f>
        <v>2</v>
      </c>
      <c r="G44" s="307">
        <f ca="1">IF(ISERROR(OFFSET('HARGA SATUAN'!$I$6,MATCH(RAB!C44,'HARGA SATUAN'!$C$7:$C$1495,0),0)),0,OFFSET('HARGA SATUAN'!$I$6,MATCH(RAB!C44,'HARGA SATUAN'!$C$7:$C$1495,0),0))</f>
        <v>185200</v>
      </c>
      <c r="H44" s="308">
        <f t="shared" ca="1" si="9"/>
        <v>0</v>
      </c>
      <c r="I44" s="308">
        <f t="shared" ca="1" si="10"/>
        <v>370400</v>
      </c>
      <c r="J44" s="308">
        <f t="shared" ca="1" si="11"/>
        <v>0</v>
      </c>
      <c r="K44" s="309">
        <f t="shared" ca="1" si="12"/>
        <v>370400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>
        <v>2</v>
      </c>
      <c r="C45" s="319" t="s">
        <v>30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20">
        <f>F43*1</f>
        <v>2</v>
      </c>
      <c r="G45" s="307">
        <f ca="1">IF(ISERROR(OFFSET('HARGA SATUAN'!$I$6,MATCH(RAB!C45,'HARGA SATUAN'!$C$7:$C$1495,0),0)),0,OFFSET('HARGA SATUAN'!$I$6,MATCH(RAB!C45,'HARGA SATUAN'!$C$7:$C$1495,0),0))</f>
        <v>47459</v>
      </c>
      <c r="H45" s="308">
        <f t="shared" ca="1" si="9"/>
        <v>0</v>
      </c>
      <c r="I45" s="308">
        <f t="shared" ca="1" si="10"/>
        <v>94918</v>
      </c>
      <c r="J45" s="308">
        <f t="shared" ca="1" si="11"/>
        <v>0</v>
      </c>
      <c r="K45" s="309">
        <f t="shared" ca="1" si="12"/>
        <v>94918</v>
      </c>
      <c r="L45" s="316"/>
      <c r="M45" s="289" t="str">
        <f t="shared" ca="1" si="13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50">
        <v>3</v>
      </c>
      <c r="C46" s="451" t="s">
        <v>31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7">
        <f>F43*1</f>
        <v>2</v>
      </c>
      <c r="G46" s="307">
        <f ca="1">IF(ISERROR(OFFSET('HARGA SATUAN'!$I$6,MATCH(RAB!C46,'HARGA SATUAN'!$C$7:$C$1495,0),0)),0,OFFSET('HARGA SATUAN'!$I$6,MATCH(RAB!C46,'HARGA SATUAN'!$C$7:$C$1495,0),0))</f>
        <v>4880</v>
      </c>
      <c r="H46" s="308">
        <f t="shared" ca="1" si="9"/>
        <v>0</v>
      </c>
      <c r="I46" s="308">
        <f t="shared" ca="1" si="10"/>
        <v>9760</v>
      </c>
      <c r="J46" s="308">
        <f t="shared" ca="1" si="11"/>
        <v>0</v>
      </c>
      <c r="K46" s="309">
        <f t="shared" ca="1" si="12"/>
        <v>9760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50">
        <v>4</v>
      </c>
      <c r="C47" s="451" t="s">
        <v>32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Mtr</v>
      </c>
      <c r="F47" s="457">
        <f>F43*10</f>
        <v>20</v>
      </c>
      <c r="G47" s="307">
        <f ca="1">IF(ISERROR(OFFSET('HARGA SATUAN'!$I$6,MATCH(RAB!C47,'HARGA SATUAN'!$C$7:$C$1495,0),0)),0,OFFSET('HARGA SATUAN'!$I$6,MATCH(RAB!C47,'HARGA SATUAN'!$C$7:$C$1495,0),0))</f>
        <v>30000</v>
      </c>
      <c r="H47" s="308">
        <f t="shared" ca="1" si="9"/>
        <v>0</v>
      </c>
      <c r="I47" s="308">
        <f t="shared" ca="1" si="10"/>
        <v>600000</v>
      </c>
      <c r="J47" s="308">
        <f t="shared" ca="1" si="11"/>
        <v>0</v>
      </c>
      <c r="K47" s="309">
        <f t="shared" ca="1" si="12"/>
        <v>600000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50">
        <v>5</v>
      </c>
      <c r="C48" s="451" t="s">
        <v>33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7">
        <f>F43*2</f>
        <v>4</v>
      </c>
      <c r="G48" s="307">
        <f ca="1">IF(ISERROR(OFFSET('HARGA SATUAN'!$I$6,MATCH(RAB!C48,'HARGA SATUAN'!$C$7:$C$1495,0),0)),0,OFFSET('HARGA SATUAN'!$I$6,MATCH(RAB!C48,'HARGA SATUAN'!$C$7:$C$1495,0),0))</f>
        <v>9500</v>
      </c>
      <c r="H48" s="308">
        <f t="shared" ca="1" si="9"/>
        <v>0</v>
      </c>
      <c r="I48" s="308">
        <f t="shared" ca="1" si="10"/>
        <v>38000</v>
      </c>
      <c r="J48" s="308">
        <f t="shared" ca="1" si="11"/>
        <v>0</v>
      </c>
      <c r="K48" s="309">
        <f t="shared" ca="1" si="12"/>
        <v>38000</v>
      </c>
      <c r="L48" s="316"/>
      <c r="M48" s="289" t="str">
        <f t="shared" ca="1" si="13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50">
        <v>6</v>
      </c>
      <c r="C49" s="451" t="s">
        <v>34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7">
        <f>F43*5.5</f>
        <v>11</v>
      </c>
      <c r="G49" s="307">
        <f ca="1">IF(ISERROR(OFFSET('HARGA SATUAN'!$I$6,MATCH(RAB!C49,'HARGA SATUAN'!$C$7:$C$1495,0),0)),0,OFFSET('HARGA SATUAN'!$I$6,MATCH(RAB!C49,'HARGA SATUAN'!$C$7:$C$1495,0),0))</f>
        <v>6100</v>
      </c>
      <c r="H49" s="308">
        <f t="shared" ca="1" si="9"/>
        <v>0</v>
      </c>
      <c r="I49" s="308">
        <f t="shared" ca="1" si="10"/>
        <v>67100</v>
      </c>
      <c r="J49" s="308">
        <f t="shared" ca="1" si="11"/>
        <v>0</v>
      </c>
      <c r="K49" s="309">
        <f t="shared" ca="1" si="12"/>
        <v>67100</v>
      </c>
      <c r="L49" s="316"/>
      <c r="M49" s="289" t="str">
        <f t="shared" ca="1" si="13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50">
        <v>7</v>
      </c>
      <c r="C50" s="451" t="s">
        <v>35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7">
        <f>F43*6</f>
        <v>12</v>
      </c>
      <c r="G50" s="307">
        <f ca="1">IF(ISERROR(OFFSET('HARGA SATUAN'!$I$6,MATCH(RAB!C50,'HARGA SATUAN'!$C$7:$C$1495,0),0)),0,OFFSET('HARGA SATUAN'!$I$6,MATCH(RAB!C50,'HARGA SATUAN'!$C$7:$C$1495,0),0))</f>
        <v>2300</v>
      </c>
      <c r="H50" s="308">
        <f t="shared" ca="1" si="9"/>
        <v>0</v>
      </c>
      <c r="I50" s="308">
        <f t="shared" ca="1" si="10"/>
        <v>27600</v>
      </c>
      <c r="J50" s="308">
        <f t="shared" ca="1" si="11"/>
        <v>0</v>
      </c>
      <c r="K50" s="309">
        <f t="shared" ca="1" si="12"/>
        <v>27600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52">
        <v>8</v>
      </c>
      <c r="C51" s="453" t="s">
        <v>1620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7">
        <f>F43*4.8</f>
        <v>9.6</v>
      </c>
      <c r="G51" s="307">
        <f ca="1">IF(ISERROR(OFFSET('HARGA SATUAN'!$I$6,MATCH(RAB!C51,'HARGA SATUAN'!$C$7:$C$1495,0),0)),0,OFFSET('HARGA SATUAN'!$I$6,MATCH(RAB!C51,'HARGA SATUAN'!$C$7:$C$1495,0),0))</f>
        <v>23310</v>
      </c>
      <c r="H51" s="308">
        <f t="shared" ca="1" si="9"/>
        <v>0</v>
      </c>
      <c r="I51" s="308">
        <f t="shared" ca="1" si="10"/>
        <v>223776</v>
      </c>
      <c r="J51" s="308">
        <f t="shared" ca="1" si="11"/>
        <v>0</v>
      </c>
      <c r="K51" s="309">
        <f t="shared" ca="1" si="12"/>
        <v>223776</v>
      </c>
      <c r="L51" s="316"/>
      <c r="M51" s="289" t="str">
        <f t="shared" ca="1" si="13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54">
        <v>9</v>
      </c>
      <c r="C52" s="455" t="s">
        <v>736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57">
        <f>F43*1</f>
        <v>2</v>
      </c>
      <c r="G52" s="307">
        <f ca="1">IF(ISERROR(OFFSET('HARGA SATUAN'!$I$6,MATCH(RAB!C52,'HARGA SATUAN'!$C$7:$C$1495,0),0)),0,OFFSET('HARGA SATUAN'!$I$6,MATCH(RAB!C52,'HARGA SATUAN'!$C$7:$C$1495,0),0))</f>
        <v>65400</v>
      </c>
      <c r="H52" s="308">
        <f t="shared" ca="1" si="9"/>
        <v>0</v>
      </c>
      <c r="I52" s="308">
        <f t="shared" ca="1" si="10"/>
        <v>0</v>
      </c>
      <c r="J52" s="308">
        <f t="shared" ca="1" si="11"/>
        <v>130800</v>
      </c>
      <c r="K52" s="309">
        <f t="shared" ca="1" si="12"/>
        <v>130800</v>
      </c>
      <c r="L52" s="316"/>
      <c r="M52" s="289" t="str">
        <f t="shared" ca="1" si="13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54"/>
      <c r="C53" s="455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7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62" t="s">
        <v>1035</v>
      </c>
      <c r="C54" s="465" t="s">
        <v>1613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57">
        <v>4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63">
        <v>1</v>
      </c>
      <c r="C55" s="465" t="s">
        <v>30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7">
        <f>F54*1</f>
        <v>4</v>
      </c>
      <c r="G55" s="307">
        <f ca="1">IF(ISERROR(OFFSET('HARGA SATUAN'!$I$6,MATCH(RAB!C55,'HARGA SATUAN'!$C$7:$C$1495,0),0)),0,OFFSET('HARGA SATUAN'!$I$6,MATCH(RAB!C55,'HARGA SATUAN'!$C$7:$C$1495,0),0))</f>
        <v>47459</v>
      </c>
      <c r="H55" s="308">
        <f t="shared" ca="1" si="9"/>
        <v>0</v>
      </c>
      <c r="I55" s="308">
        <f t="shared" ca="1" si="10"/>
        <v>189836</v>
      </c>
      <c r="J55" s="308">
        <f t="shared" ca="1" si="11"/>
        <v>0</v>
      </c>
      <c r="K55" s="309">
        <f t="shared" ca="1" si="12"/>
        <v>189836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63">
        <v>2</v>
      </c>
      <c r="C56" s="465" t="s">
        <v>32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57">
        <f>F54*0.8</f>
        <v>3.2</v>
      </c>
      <c r="G56" s="307">
        <f ca="1">IF(ISERROR(OFFSET('HARGA SATUAN'!$I$6,MATCH(RAB!C56,'HARGA SATUAN'!$C$7:$C$1495,0),0)),0,OFFSET('HARGA SATUAN'!$I$6,MATCH(RAB!C56,'HARGA SATUAN'!$C$7:$C$1495,0),0))</f>
        <v>30000</v>
      </c>
      <c r="H56" s="308">
        <f t="shared" ca="1" si="9"/>
        <v>0</v>
      </c>
      <c r="I56" s="308">
        <f t="shared" ca="1" si="10"/>
        <v>96000</v>
      </c>
      <c r="J56" s="308">
        <f t="shared" ca="1" si="11"/>
        <v>0</v>
      </c>
      <c r="K56" s="309">
        <f t="shared" ca="1" si="12"/>
        <v>96000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63">
        <v>3</v>
      </c>
      <c r="C57" s="465" t="s">
        <v>33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7">
        <f>F54*1</f>
        <v>4</v>
      </c>
      <c r="G57" s="307">
        <f ca="1">IF(ISERROR(OFFSET('HARGA SATUAN'!$I$6,MATCH(RAB!C57,'HARGA SATUAN'!$C$7:$C$1495,0),0)),0,OFFSET('HARGA SATUAN'!$I$6,MATCH(RAB!C57,'HARGA SATUAN'!$C$7:$C$1495,0),0))</f>
        <v>9500</v>
      </c>
      <c r="H57" s="308">
        <f t="shared" ca="1" si="9"/>
        <v>0</v>
      </c>
      <c r="I57" s="308">
        <f t="shared" ca="1" si="10"/>
        <v>38000</v>
      </c>
      <c r="J57" s="308">
        <f t="shared" ca="1" si="11"/>
        <v>0</v>
      </c>
      <c r="K57" s="309">
        <f t="shared" ca="1" si="12"/>
        <v>38000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63">
        <v>4</v>
      </c>
      <c r="C58" s="465" t="s">
        <v>737</v>
      </c>
      <c r="D58" s="305" t="str">
        <f ca="1">IF(ISERROR(OFFSET('HARGA SATUAN'!$D$6,MATCH(RAB!C58,'HARGA SATUAN'!$C$7:$C$1495,0),0)),"",OFFSET('HARGA SATUAN'!$D$6,MATCH(RAB!C58,'HARGA SATUAN'!$C$7:$C$1495,0),0))</f>
        <v>JASA</v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457">
        <f>F54*1</f>
        <v>4</v>
      </c>
      <c r="G58" s="307">
        <f ca="1">IF(ISERROR(OFFSET('HARGA SATUAN'!$I$6,MATCH(RAB!C58,'HARGA SATUAN'!$C$7:$C$1495,0),0)),0,OFFSET('HARGA SATUAN'!$I$6,MATCH(RAB!C58,'HARGA SATUAN'!$C$7:$C$1495,0),0))</f>
        <v>16200</v>
      </c>
      <c r="H58" s="308">
        <f t="shared" ca="1" si="9"/>
        <v>0</v>
      </c>
      <c r="I58" s="308">
        <f t="shared" ca="1" si="10"/>
        <v>0</v>
      </c>
      <c r="J58" s="308">
        <f t="shared" ca="1" si="11"/>
        <v>64800</v>
      </c>
      <c r="K58" s="309">
        <f t="shared" ca="1" si="12"/>
        <v>64800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454"/>
      <c r="C59" s="455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7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50" t="s">
        <v>1035</v>
      </c>
      <c r="C60" s="451" t="s">
        <v>1614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457">
        <v>5</v>
      </c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e">
        <f>IF(AND(F60&gt;0,#REF!=0),"",IF(AND(ISBLANK(F60)=FALSE,K60=0),"WARNING",""))</f>
        <v>#REF!</v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50">
        <v>1</v>
      </c>
      <c r="C61" s="451" t="s">
        <v>595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7">
        <f>F60*1</f>
        <v>5</v>
      </c>
      <c r="G61" s="307">
        <f ca="1">IF(ISERROR(OFFSET('HARGA SATUAN'!$I$6,MATCH(RAB!C61,'HARGA SATUAN'!$C$7:$C$1495,0),0)),0,OFFSET('HARGA SATUAN'!$I$6,MATCH(RAB!C61,'HARGA SATUAN'!$C$7:$C$1495,0),0))</f>
        <v>78500</v>
      </c>
      <c r="H61" s="308">
        <f t="shared" ca="1" si="9"/>
        <v>0</v>
      </c>
      <c r="I61" s="308">
        <f t="shared" ca="1" si="10"/>
        <v>392500</v>
      </c>
      <c r="J61" s="308">
        <f t="shared" ca="1" si="11"/>
        <v>0</v>
      </c>
      <c r="K61" s="309">
        <f t="shared" ca="1" si="12"/>
        <v>392500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450">
        <v>2</v>
      </c>
      <c r="C62" s="451" t="s">
        <v>229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7">
        <f>F60*1</f>
        <v>5</v>
      </c>
      <c r="G62" s="307">
        <f ca="1">IF(ISERROR(OFFSET('HARGA SATUAN'!$I$6,MATCH(RAB!C62,'HARGA SATUAN'!$C$7:$C$1495,0),0)),0,OFFSET('HARGA SATUAN'!$I$6,MATCH(RAB!C62,'HARGA SATUAN'!$C$7:$C$1495,0),0))</f>
        <v>4212</v>
      </c>
      <c r="H62" s="308">
        <f t="shared" ca="1" si="9"/>
        <v>0</v>
      </c>
      <c r="I62" s="308">
        <f t="shared" ca="1" si="10"/>
        <v>21060</v>
      </c>
      <c r="J62" s="308">
        <f t="shared" ca="1" si="11"/>
        <v>0</v>
      </c>
      <c r="K62" s="309">
        <f t="shared" ca="1" si="12"/>
        <v>21060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450">
        <v>3</v>
      </c>
      <c r="C63" s="451" t="s">
        <v>266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7">
        <f>F60*1</f>
        <v>5</v>
      </c>
      <c r="G63" s="307">
        <f ca="1">IF(ISERROR(OFFSET('HARGA SATUAN'!$I$6,MATCH(RAB!C63,'HARGA SATUAN'!$C$7:$C$1495,0),0)),0,OFFSET('HARGA SATUAN'!$I$6,MATCH(RAB!C63,'HARGA SATUAN'!$C$7:$C$1495,0),0))</f>
        <v>23310</v>
      </c>
      <c r="H63" s="308">
        <f t="shared" ca="1" si="9"/>
        <v>0</v>
      </c>
      <c r="I63" s="308">
        <f t="shared" ca="1" si="10"/>
        <v>116550</v>
      </c>
      <c r="J63" s="308">
        <f t="shared" ca="1" si="11"/>
        <v>0</v>
      </c>
      <c r="K63" s="309">
        <f t="shared" ca="1" si="12"/>
        <v>116550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50">
        <v>4</v>
      </c>
      <c r="C64" s="451" t="s">
        <v>35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9">
        <f>F60*1</f>
        <v>5</v>
      </c>
      <c r="G64" s="307">
        <f ca="1">IF(ISERROR(OFFSET('HARGA SATUAN'!$I$6,MATCH(RAB!C64,'HARGA SATUAN'!$C$7:$C$1495,0),0)),0,OFFSET('HARGA SATUAN'!$I$6,MATCH(RAB!C64,'HARGA SATUAN'!$C$7:$C$1495,0),0))</f>
        <v>2300</v>
      </c>
      <c r="H64" s="308">
        <f t="shared" ca="1" si="9"/>
        <v>0</v>
      </c>
      <c r="I64" s="308">
        <f t="shared" ca="1" si="10"/>
        <v>11500</v>
      </c>
      <c r="J64" s="308">
        <f t="shared" ca="1" si="11"/>
        <v>0</v>
      </c>
      <c r="K64" s="309">
        <f t="shared" ca="1" si="12"/>
        <v>11500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450">
        <v>5</v>
      </c>
      <c r="C65" s="451" t="s">
        <v>630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59">
        <f>F60*1</f>
        <v>5</v>
      </c>
      <c r="G65" s="307">
        <f ca="1">IF(ISERROR(OFFSET('HARGA SATUAN'!$I$6,MATCH(RAB!C65,'HARGA SATUAN'!$C$7:$C$1495,0),0)),0,OFFSET('HARGA SATUAN'!$I$6,MATCH(RAB!C65,'HARGA SATUAN'!$C$7:$C$1495,0),0))</f>
        <v>35700</v>
      </c>
      <c r="H65" s="308">
        <f t="shared" ca="1" si="9"/>
        <v>0</v>
      </c>
      <c r="I65" s="308">
        <f t="shared" ca="1" si="10"/>
        <v>0</v>
      </c>
      <c r="J65" s="308">
        <f t="shared" ca="1" si="11"/>
        <v>178500</v>
      </c>
      <c r="K65" s="309">
        <f t="shared" ca="1" si="12"/>
        <v>178500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:H129" ca="1" si="14">IF(OR(D66="MDU",D66="MDU-KD"),(IF($O$3="RAB NON MDU","PLN KD",G66*F66)),0)</f>
        <v>0</v>
      </c>
      <c r="I66" s="308">
        <f t="shared" ref="I66:I129" ca="1" si="15">IF(D66="HDW",G66*F66,0)</f>
        <v>0</v>
      </c>
      <c r="J66" s="308">
        <f t="shared" ref="J66:J129" ca="1" si="16">IF(D66="JASA",G66*F66,0)</f>
        <v>0</v>
      </c>
      <c r="K66" s="309">
        <f t="shared" ref="K66:K129" ca="1" si="17">SUM(H66:J66)</f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64" t="s">
        <v>1035</v>
      </c>
      <c r="C67" s="765" t="s">
        <v>1651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7">
        <v>5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4"/>
        <v>0</v>
      </c>
      <c r="I67" s="308">
        <f t="shared" ca="1" si="15"/>
        <v>0</v>
      </c>
      <c r="J67" s="308">
        <f t="shared" ca="1" si="16"/>
        <v>0</v>
      </c>
      <c r="K67" s="309">
        <f t="shared" ca="1" si="17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64">
        <v>1</v>
      </c>
      <c r="C68" s="765" t="s">
        <v>229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7">
        <f>F67*1</f>
        <v>5</v>
      </c>
      <c r="G68" s="307">
        <f ca="1">IF(ISERROR(OFFSET('HARGA SATUAN'!$I$6,MATCH(RAB!C68,'HARGA SATUAN'!$C$7:$C$1495,0),0)),0,OFFSET('HARGA SATUAN'!$I$6,MATCH(RAB!C68,'HARGA SATUAN'!$C$7:$C$1495,0),0))</f>
        <v>4212</v>
      </c>
      <c r="H68" s="308">
        <f t="shared" ca="1" si="14"/>
        <v>0</v>
      </c>
      <c r="I68" s="308">
        <f t="shared" ca="1" si="15"/>
        <v>21060</v>
      </c>
      <c r="J68" s="308">
        <f t="shared" ca="1" si="16"/>
        <v>0</v>
      </c>
      <c r="K68" s="309">
        <f t="shared" ca="1" si="17"/>
        <v>21060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64">
        <v>2</v>
      </c>
      <c r="C69" s="765" t="s">
        <v>266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Mtr</v>
      </c>
      <c r="F69" s="457">
        <f>F67*1</f>
        <v>5</v>
      </c>
      <c r="G69" s="307">
        <f ca="1">IF(ISERROR(OFFSET('HARGA SATUAN'!$I$6,MATCH(RAB!C69,'HARGA SATUAN'!$C$7:$C$1495,0),0)),0,OFFSET('HARGA SATUAN'!$I$6,MATCH(RAB!C69,'HARGA SATUAN'!$C$7:$C$1495,0),0))</f>
        <v>23310</v>
      </c>
      <c r="H69" s="308">
        <f t="shared" ca="1" si="14"/>
        <v>0</v>
      </c>
      <c r="I69" s="308">
        <f t="shared" ca="1" si="15"/>
        <v>116550</v>
      </c>
      <c r="J69" s="308">
        <f t="shared" ca="1" si="16"/>
        <v>0</v>
      </c>
      <c r="K69" s="309">
        <f t="shared" ca="1" si="17"/>
        <v>116550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64">
        <v>3</v>
      </c>
      <c r="C70" s="765" t="s">
        <v>35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7">
        <f>F67*1</f>
        <v>5</v>
      </c>
      <c r="G70" s="307">
        <f ca="1">IF(ISERROR(OFFSET('HARGA SATUAN'!$I$6,MATCH(RAB!C70,'HARGA SATUAN'!$C$7:$C$1495,0),0)),0,OFFSET('HARGA SATUAN'!$I$6,MATCH(RAB!C70,'HARGA SATUAN'!$C$7:$C$1495,0),0))</f>
        <v>2300</v>
      </c>
      <c r="H70" s="308">
        <f t="shared" ca="1" si="14"/>
        <v>0</v>
      </c>
      <c r="I70" s="308">
        <f t="shared" ca="1" si="15"/>
        <v>11500</v>
      </c>
      <c r="J70" s="308">
        <f t="shared" ca="1" si="16"/>
        <v>0</v>
      </c>
      <c r="K70" s="309">
        <f t="shared" ca="1" si="17"/>
        <v>11500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64">
        <v>4</v>
      </c>
      <c r="C71" s="765" t="s">
        <v>609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57">
        <f>F67*1</f>
        <v>5</v>
      </c>
      <c r="G71" s="307">
        <f ca="1">IF(ISERROR(OFFSET('HARGA SATUAN'!$I$6,MATCH(RAB!C71,'HARGA SATUAN'!$C$7:$C$1495,0),0)),0,OFFSET('HARGA SATUAN'!$I$6,MATCH(RAB!C71,'HARGA SATUAN'!$C$7:$C$1495,0),0))</f>
        <v>71000</v>
      </c>
      <c r="H71" s="308">
        <f t="shared" ca="1" si="14"/>
        <v>0</v>
      </c>
      <c r="I71" s="308">
        <f t="shared" ca="1" si="15"/>
        <v>355000</v>
      </c>
      <c r="J71" s="308">
        <f t="shared" ca="1" si="16"/>
        <v>0</v>
      </c>
      <c r="K71" s="309">
        <f t="shared" ca="1" si="17"/>
        <v>355000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64">
        <v>5</v>
      </c>
      <c r="C72" s="765" t="s">
        <v>629</v>
      </c>
      <c r="D72" s="305" t="str">
        <f ca="1">IF(ISERROR(OFFSET('HARGA SATUAN'!$D$6,MATCH(RAB!C72,'HARGA SATUAN'!$C$7:$C$1495,0),0)),"",OFFSET('HARGA SATUAN'!$D$6,MATCH(RAB!C72,'HARGA SATUAN'!$C$7:$C$1495,0),0))</f>
        <v>JASA</v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7">
        <f>F67*1</f>
        <v>5</v>
      </c>
      <c r="G72" s="307">
        <f ca="1">IF(ISERROR(OFFSET('HARGA SATUAN'!$I$6,MATCH(RAB!C72,'HARGA SATUAN'!$C$7:$C$1495,0),0)),0,OFFSET('HARGA SATUAN'!$I$6,MATCH(RAB!C72,'HARGA SATUAN'!$C$7:$C$1495,0),0))</f>
        <v>29400</v>
      </c>
      <c r="H72" s="308">
        <f t="shared" ca="1" si="14"/>
        <v>0</v>
      </c>
      <c r="I72" s="308">
        <f t="shared" ca="1" si="15"/>
        <v>0</v>
      </c>
      <c r="J72" s="308">
        <f t="shared" ca="1" si="16"/>
        <v>147000</v>
      </c>
      <c r="K72" s="309">
        <f t="shared" ca="1" si="17"/>
        <v>147000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50"/>
      <c r="C73" s="451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9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4"/>
        <v>0</v>
      </c>
      <c r="I73" s="308">
        <f t="shared" ca="1" si="15"/>
        <v>0</v>
      </c>
      <c r="J73" s="308">
        <f t="shared" ca="1" si="16"/>
        <v>0</v>
      </c>
      <c r="K73" s="309">
        <f t="shared" ca="1" si="17"/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64" t="s">
        <v>1035</v>
      </c>
      <c r="C74" s="765" t="s">
        <v>1640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457">
        <v>3</v>
      </c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4"/>
        <v>0</v>
      </c>
      <c r="I74" s="308">
        <f t="shared" ca="1" si="15"/>
        <v>0</v>
      </c>
      <c r="J74" s="308">
        <f t="shared" ca="1" si="16"/>
        <v>0</v>
      </c>
      <c r="K74" s="309">
        <f t="shared" ca="1" si="17"/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64">
        <v>1</v>
      </c>
      <c r="C75" s="765" t="s">
        <v>1608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7"/>
      <c r="G75" s="307">
        <f ca="1">IF(ISERROR(OFFSET('HARGA SATUAN'!$I$6,MATCH(RAB!C75,'HARGA SATUAN'!$C$7:$C$1495,0),0)),0,OFFSET('HARGA SATUAN'!$I$6,MATCH(RAB!C75,'HARGA SATUAN'!$C$7:$C$1495,0),0))</f>
        <v>176900</v>
      </c>
      <c r="H75" s="308">
        <f t="shared" ca="1" si="14"/>
        <v>0</v>
      </c>
      <c r="I75" s="308">
        <f t="shared" ca="1" si="15"/>
        <v>0</v>
      </c>
      <c r="J75" s="308">
        <f t="shared" ca="1" si="16"/>
        <v>0</v>
      </c>
      <c r="K75" s="309">
        <f t="shared" ca="1" si="17"/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64">
        <v>2</v>
      </c>
      <c r="C76" s="765" t="s">
        <v>1609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7"/>
      <c r="G76" s="307">
        <f ca="1">IF(ISERROR(OFFSET('HARGA SATUAN'!$I$6,MATCH(RAB!C76,'HARGA SATUAN'!$C$7:$C$1495,0),0)),0,OFFSET('HARGA SATUAN'!$I$6,MATCH(RAB!C76,'HARGA SATUAN'!$C$7:$C$1495,0),0))</f>
        <v>235900</v>
      </c>
      <c r="H76" s="308">
        <f t="shared" ca="1" si="14"/>
        <v>0</v>
      </c>
      <c r="I76" s="308">
        <f t="shared" ca="1" si="15"/>
        <v>0</v>
      </c>
      <c r="J76" s="308">
        <f t="shared" ca="1" si="16"/>
        <v>0</v>
      </c>
      <c r="K76" s="309">
        <f t="shared" ca="1" si="17"/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64">
        <v>3</v>
      </c>
      <c r="C77" s="765" t="s">
        <v>28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7">
        <f>F74*3</f>
        <v>9</v>
      </c>
      <c r="G77" s="307">
        <f ca="1">IF(ISERROR(OFFSET('HARGA SATUAN'!$I$6,MATCH(RAB!C77,'HARGA SATUAN'!$C$7:$C$1495,0),0)),0,OFFSET('HARGA SATUAN'!$I$6,MATCH(RAB!C77,'HARGA SATUAN'!$C$7:$C$1495,0),0))</f>
        <v>26500</v>
      </c>
      <c r="H77" s="308">
        <f t="shared" ca="1" si="14"/>
        <v>0</v>
      </c>
      <c r="I77" s="308">
        <f t="shared" ca="1" si="15"/>
        <v>238500</v>
      </c>
      <c r="J77" s="308">
        <f t="shared" ca="1" si="16"/>
        <v>0</v>
      </c>
      <c r="K77" s="309">
        <f t="shared" ca="1" si="17"/>
        <v>238500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64">
        <v>4</v>
      </c>
      <c r="C78" s="765" t="s">
        <v>163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7">
        <f>F74*2</f>
        <v>6</v>
      </c>
      <c r="G78" s="307">
        <f ca="1">IF(ISERROR(OFFSET('HARGA SATUAN'!$I$6,MATCH(RAB!C78,'HARGA SATUAN'!$C$7:$C$1495,0),0)),0,OFFSET('HARGA SATUAN'!$I$6,MATCH(RAB!C78,'HARGA SATUAN'!$C$7:$C$1495,0),0))</f>
        <v>7938</v>
      </c>
      <c r="H78" s="308">
        <f t="shared" ca="1" si="14"/>
        <v>0</v>
      </c>
      <c r="I78" s="308">
        <f t="shared" ca="1" si="15"/>
        <v>47628</v>
      </c>
      <c r="J78" s="308">
        <f t="shared" ca="1" si="16"/>
        <v>0</v>
      </c>
      <c r="K78" s="309">
        <f t="shared" ca="1" si="17"/>
        <v>47628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64">
        <v>5</v>
      </c>
      <c r="C79" s="765" t="s">
        <v>168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7">
        <f>F74*1</f>
        <v>3</v>
      </c>
      <c r="G79" s="307">
        <f ca="1">IF(ISERROR(OFFSET('HARGA SATUAN'!$I$6,MATCH(RAB!C79,'HARGA SATUAN'!$C$7:$C$1495,0),0)),0,OFFSET('HARGA SATUAN'!$I$6,MATCH(RAB!C79,'HARGA SATUAN'!$C$7:$C$1495,0),0))</f>
        <v>33600</v>
      </c>
      <c r="H79" s="308">
        <f t="shared" ca="1" si="14"/>
        <v>0</v>
      </c>
      <c r="I79" s="308">
        <f t="shared" ca="1" si="15"/>
        <v>100800</v>
      </c>
      <c r="J79" s="308">
        <f t="shared" ca="1" si="16"/>
        <v>0</v>
      </c>
      <c r="K79" s="309">
        <f t="shared" ca="1" si="17"/>
        <v>100800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64">
        <v>6</v>
      </c>
      <c r="C80" s="765" t="s">
        <v>173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7"/>
      <c r="G80" s="307">
        <f ca="1">IF(ISERROR(OFFSET('HARGA SATUAN'!$I$6,MATCH(RAB!C80,'HARGA SATUAN'!$C$7:$C$1495,0),0)),0,OFFSET('HARGA SATUAN'!$I$6,MATCH(RAB!C80,'HARGA SATUAN'!$C$7:$C$1495,0),0))</f>
        <v>45000</v>
      </c>
      <c r="H80" s="308">
        <f t="shared" ca="1" si="14"/>
        <v>0</v>
      </c>
      <c r="I80" s="308">
        <f t="shared" ca="1" si="15"/>
        <v>0</v>
      </c>
      <c r="J80" s="308">
        <f t="shared" ca="1" si="16"/>
        <v>0</v>
      </c>
      <c r="K80" s="309">
        <f t="shared" ca="1" si="17"/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64">
        <v>7</v>
      </c>
      <c r="C81" s="765" t="s">
        <v>178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7"/>
      <c r="G81" s="307">
        <f ca="1">IF(ISERROR(OFFSET('HARGA SATUAN'!$I$6,MATCH(RAB!C81,'HARGA SATUAN'!$C$7:$C$1495,0),0)),0,OFFSET('HARGA SATUAN'!$I$6,MATCH(RAB!C81,'HARGA SATUAN'!$C$7:$C$1495,0),0))</f>
        <v>95000</v>
      </c>
      <c r="H81" s="308">
        <f t="shared" ca="1" si="14"/>
        <v>0</v>
      </c>
      <c r="I81" s="308">
        <f t="shared" ca="1" si="15"/>
        <v>0</v>
      </c>
      <c r="J81" s="308">
        <f t="shared" ca="1" si="16"/>
        <v>0</v>
      </c>
      <c r="K81" s="309">
        <f t="shared" ca="1" si="17"/>
        <v>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64">
        <v>8</v>
      </c>
      <c r="C82" s="765" t="s">
        <v>593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7"/>
      <c r="G82" s="307">
        <f ca="1">IF(ISERROR(OFFSET('HARGA SATUAN'!$I$6,MATCH(RAB!C82,'HARGA SATUAN'!$C$7:$C$1495,0),0)),0,OFFSET('HARGA SATUAN'!$I$6,MATCH(RAB!C82,'HARGA SATUAN'!$C$7:$C$1495,0),0))</f>
        <v>380500</v>
      </c>
      <c r="H82" s="308">
        <f t="shared" ca="1" si="14"/>
        <v>0</v>
      </c>
      <c r="I82" s="308">
        <f t="shared" ca="1" si="15"/>
        <v>0</v>
      </c>
      <c r="J82" s="308">
        <f t="shared" ca="1" si="16"/>
        <v>0</v>
      </c>
      <c r="K82" s="309">
        <f t="shared" ca="1" si="17"/>
        <v>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64">
        <v>9</v>
      </c>
      <c r="C83" s="765" t="s">
        <v>217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7">
        <f>F74*4</f>
        <v>12</v>
      </c>
      <c r="G83" s="307">
        <f ca="1">IF(ISERROR(OFFSET('HARGA SATUAN'!$I$6,MATCH(RAB!C83,'HARGA SATUAN'!$C$7:$C$1495,0),0)),0,OFFSET('HARGA SATUAN'!$I$6,MATCH(RAB!C83,'HARGA SATUAN'!$C$7:$C$1495,0),0))</f>
        <v>11400</v>
      </c>
      <c r="H83" s="308">
        <f t="shared" ca="1" si="14"/>
        <v>0</v>
      </c>
      <c r="I83" s="308">
        <f t="shared" ca="1" si="15"/>
        <v>136800</v>
      </c>
      <c r="J83" s="308">
        <f t="shared" ca="1" si="16"/>
        <v>0</v>
      </c>
      <c r="K83" s="309">
        <f t="shared" ca="1" si="17"/>
        <v>136800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64">
        <v>10</v>
      </c>
      <c r="C84" s="765" t="s">
        <v>247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7">
        <f>F74*1</f>
        <v>3</v>
      </c>
      <c r="G84" s="307">
        <f ca="1">IF(ISERROR(OFFSET('HARGA SATUAN'!$I$6,MATCH(RAB!C84,'HARGA SATUAN'!$C$7:$C$1495,0),0)),0,OFFSET('HARGA SATUAN'!$I$6,MATCH(RAB!C84,'HARGA SATUAN'!$C$7:$C$1495,0),0))</f>
        <v>57690</v>
      </c>
      <c r="H84" s="308">
        <f t="shared" ca="1" si="14"/>
        <v>0</v>
      </c>
      <c r="I84" s="308">
        <f t="shared" ca="1" si="15"/>
        <v>173070</v>
      </c>
      <c r="J84" s="308">
        <f t="shared" ca="1" si="16"/>
        <v>0</v>
      </c>
      <c r="K84" s="309">
        <f t="shared" ca="1" si="17"/>
        <v>173070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764">
        <v>11</v>
      </c>
      <c r="C85" s="765" t="s">
        <v>264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57">
        <f>F74*1</f>
        <v>3</v>
      </c>
      <c r="G85" s="307">
        <f ca="1">IF(ISERROR(OFFSET('HARGA SATUAN'!$I$6,MATCH(RAB!C85,'HARGA SATUAN'!$C$7:$C$1495,0),0)),0,OFFSET('HARGA SATUAN'!$I$6,MATCH(RAB!C85,'HARGA SATUAN'!$C$7:$C$1495,0),0))</f>
        <v>28000</v>
      </c>
      <c r="H85" s="308">
        <f t="shared" ca="1" si="14"/>
        <v>0</v>
      </c>
      <c r="I85" s="308">
        <f t="shared" ca="1" si="15"/>
        <v>84000</v>
      </c>
      <c r="J85" s="308">
        <f t="shared" ca="1" si="16"/>
        <v>0</v>
      </c>
      <c r="K85" s="309">
        <f t="shared" ca="1" si="17"/>
        <v>84000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64">
        <v>12</v>
      </c>
      <c r="C86" s="765" t="s">
        <v>38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Mtr</v>
      </c>
      <c r="F86" s="457">
        <f>6.2*F74</f>
        <v>18.600000000000001</v>
      </c>
      <c r="G86" s="307">
        <f ca="1">IF(ISERROR(OFFSET('HARGA SATUAN'!$I$6,MATCH(RAB!C86,'HARGA SATUAN'!$C$7:$C$1495,0),0)),0,OFFSET('HARGA SATUAN'!$I$6,MATCH(RAB!C86,'HARGA SATUAN'!$C$7:$C$1495,0),0))</f>
        <v>8550</v>
      </c>
      <c r="H86" s="308">
        <f t="shared" ca="1" si="14"/>
        <v>0</v>
      </c>
      <c r="I86" s="308">
        <f t="shared" ca="1" si="15"/>
        <v>159030</v>
      </c>
      <c r="J86" s="308">
        <f t="shared" ca="1" si="16"/>
        <v>0</v>
      </c>
      <c r="K86" s="309">
        <f t="shared" ca="1" si="17"/>
        <v>159030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764">
        <v>13</v>
      </c>
      <c r="C87" s="765" t="s">
        <v>26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57">
        <f>F74*5</f>
        <v>15</v>
      </c>
      <c r="G87" s="307">
        <f ca="1">IF(ISERROR(OFFSET('HARGA SATUAN'!$I$6,MATCH(RAB!C87,'HARGA SATUAN'!$C$7:$C$1495,0),0)),0,OFFSET('HARGA SATUAN'!$I$6,MATCH(RAB!C87,'HARGA SATUAN'!$C$7:$C$1495,0),0))</f>
        <v>2500</v>
      </c>
      <c r="H87" s="308">
        <f t="shared" ca="1" si="14"/>
        <v>0</v>
      </c>
      <c r="I87" s="308">
        <f t="shared" ca="1" si="15"/>
        <v>37500</v>
      </c>
      <c r="J87" s="308">
        <f t="shared" ca="1" si="16"/>
        <v>0</v>
      </c>
      <c r="K87" s="309">
        <f t="shared" ca="1" si="17"/>
        <v>37500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64">
        <v>14</v>
      </c>
      <c r="C88" s="765" t="s">
        <v>687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457">
        <f>F74*1</f>
        <v>3</v>
      </c>
      <c r="G88" s="307">
        <f ca="1">IF(ISERROR(OFFSET('HARGA SATUAN'!$I$6,MATCH(RAB!C88,'HARGA SATUAN'!$C$7:$C$1495,0),0)),0,OFFSET('HARGA SATUAN'!$I$6,MATCH(RAB!C88,'HARGA SATUAN'!$C$7:$C$1495,0),0))</f>
        <v>111000</v>
      </c>
      <c r="H88" s="308">
        <f t="shared" ca="1" si="14"/>
        <v>0</v>
      </c>
      <c r="I88" s="308">
        <f t="shared" ca="1" si="15"/>
        <v>0</v>
      </c>
      <c r="J88" s="308">
        <f t="shared" ca="1" si="16"/>
        <v>333000</v>
      </c>
      <c r="K88" s="309">
        <f t="shared" ca="1" si="17"/>
        <v>333000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50"/>
      <c r="C89" s="451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9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4"/>
        <v>0</v>
      </c>
      <c r="I89" s="308">
        <f t="shared" ca="1" si="15"/>
        <v>0</v>
      </c>
      <c r="J89" s="308">
        <f t="shared" ca="1" si="16"/>
        <v>0</v>
      </c>
      <c r="K89" s="309">
        <f t="shared" ca="1" si="17"/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64" t="s">
        <v>1035</v>
      </c>
      <c r="C90" s="766" t="s">
        <v>1642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768">
        <v>1</v>
      </c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14"/>
        <v>0</v>
      </c>
      <c r="I90" s="308">
        <f t="shared" ca="1" si="15"/>
        <v>0</v>
      </c>
      <c r="J90" s="308">
        <f t="shared" ca="1" si="16"/>
        <v>0</v>
      </c>
      <c r="K90" s="309">
        <f t="shared" ca="1" si="17"/>
        <v>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67">
        <v>1</v>
      </c>
      <c r="C91" s="766" t="s">
        <v>1608</v>
      </c>
      <c r="D91" s="305" t="str">
        <f ca="1">IF(ISERROR(OFFSET('HARGA SATUAN'!$D$6,MATCH(RAB!C91,'HARGA SATUAN'!$C$7:$C$1495,0),0)),"",OFFSET('HARGA SATUAN'!$D$6,MATCH(RAB!C91,'HARGA SATUAN'!$C$7:$C$1495,0),0))</f>
        <v>MDU-KD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768"/>
      <c r="G91" s="307">
        <f ca="1">IF(ISERROR(OFFSET('HARGA SATUAN'!$I$6,MATCH(RAB!C91,'HARGA SATUAN'!$C$7:$C$1495,0),0)),0,OFFSET('HARGA SATUAN'!$I$6,MATCH(RAB!C91,'HARGA SATUAN'!$C$7:$C$1495,0),0))</f>
        <v>176900</v>
      </c>
      <c r="H91" s="308">
        <f t="shared" ca="1" si="14"/>
        <v>0</v>
      </c>
      <c r="I91" s="308">
        <f t="shared" ca="1" si="15"/>
        <v>0</v>
      </c>
      <c r="J91" s="308">
        <f t="shared" ca="1" si="16"/>
        <v>0</v>
      </c>
      <c r="K91" s="309">
        <f t="shared" ca="1" si="17"/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67">
        <v>2</v>
      </c>
      <c r="C92" s="766" t="s">
        <v>1609</v>
      </c>
      <c r="D92" s="305" t="str">
        <f ca="1">IF(ISERROR(OFFSET('HARGA SATUAN'!$D$6,MATCH(RAB!C92,'HARGA SATUAN'!$C$7:$C$1495,0),0)),"",OFFSET('HARGA SATUAN'!$D$6,MATCH(RAB!C92,'HARGA SATUAN'!$C$7:$C$1495,0),0))</f>
        <v>MDU-KD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768"/>
      <c r="G92" s="307">
        <f ca="1">IF(ISERROR(OFFSET('HARGA SATUAN'!$I$6,MATCH(RAB!C92,'HARGA SATUAN'!$C$7:$C$1495,0),0)),0,OFFSET('HARGA SATUAN'!$I$6,MATCH(RAB!C92,'HARGA SATUAN'!$C$7:$C$1495,0),0))</f>
        <v>235900</v>
      </c>
      <c r="H92" s="308">
        <f t="shared" ca="1" si="14"/>
        <v>0</v>
      </c>
      <c r="I92" s="308">
        <f t="shared" ca="1" si="15"/>
        <v>0</v>
      </c>
      <c r="J92" s="308">
        <f t="shared" ca="1" si="16"/>
        <v>0</v>
      </c>
      <c r="K92" s="309">
        <f t="shared" ca="1" si="17"/>
        <v>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t="30">
      <c r="A93" s="283"/>
      <c r="B93" s="767">
        <v>3</v>
      </c>
      <c r="C93" s="766" t="s">
        <v>1659</v>
      </c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768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14"/>
        <v>0</v>
      </c>
      <c r="I93" s="308">
        <f t="shared" ca="1" si="15"/>
        <v>0</v>
      </c>
      <c r="J93" s="308">
        <f t="shared" ca="1" si="16"/>
        <v>0</v>
      </c>
      <c r="K93" s="309">
        <f t="shared" ca="1" si="17"/>
        <v>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767">
        <v>4</v>
      </c>
      <c r="C94" s="766" t="s">
        <v>152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Mtr</v>
      </c>
      <c r="F94" s="768">
        <f>F90*2</f>
        <v>2</v>
      </c>
      <c r="G94" s="307">
        <f ca="1">IF(ISERROR(OFFSET('HARGA SATUAN'!$I$6,MATCH(RAB!C94,'HARGA SATUAN'!$C$7:$C$1495,0),0)),0,OFFSET('HARGA SATUAN'!$I$6,MATCH(RAB!C94,'HARGA SATUAN'!$C$7:$C$1495,0),0))</f>
        <v>7789</v>
      </c>
      <c r="H94" s="308">
        <f t="shared" ca="1" si="14"/>
        <v>0</v>
      </c>
      <c r="I94" s="308">
        <f t="shared" ca="1" si="15"/>
        <v>15578</v>
      </c>
      <c r="J94" s="308">
        <f t="shared" ca="1" si="16"/>
        <v>0</v>
      </c>
      <c r="K94" s="309">
        <f t="shared" ca="1" si="17"/>
        <v>15578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767">
        <v>5</v>
      </c>
      <c r="C95" s="766" t="s">
        <v>157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768">
        <f>F90*4</f>
        <v>4</v>
      </c>
      <c r="G95" s="307">
        <f ca="1">IF(ISERROR(OFFSET('HARGA SATUAN'!$I$6,MATCH(RAB!C95,'HARGA SATUAN'!$C$7:$C$1495,0),0)),0,OFFSET('HARGA SATUAN'!$I$6,MATCH(RAB!C95,'HARGA SATUAN'!$C$7:$C$1495,0),0))</f>
        <v>40000</v>
      </c>
      <c r="H95" s="308">
        <f t="shared" ca="1" si="14"/>
        <v>0</v>
      </c>
      <c r="I95" s="308">
        <f t="shared" ca="1" si="15"/>
        <v>160000</v>
      </c>
      <c r="J95" s="308">
        <f t="shared" ca="1" si="16"/>
        <v>0</v>
      </c>
      <c r="K95" s="309">
        <f t="shared" ca="1" si="17"/>
        <v>160000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67">
        <v>6</v>
      </c>
      <c r="C96" s="766" t="s">
        <v>163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768">
        <f>F90*8</f>
        <v>8</v>
      </c>
      <c r="G96" s="307">
        <f ca="1">IF(ISERROR(OFFSET('HARGA SATUAN'!$I$6,MATCH(RAB!C96,'HARGA SATUAN'!$C$7:$C$1495,0),0)),0,OFFSET('HARGA SATUAN'!$I$6,MATCH(RAB!C96,'HARGA SATUAN'!$C$7:$C$1495,0),0))</f>
        <v>7938</v>
      </c>
      <c r="H96" s="308">
        <f t="shared" ca="1" si="14"/>
        <v>0</v>
      </c>
      <c r="I96" s="308">
        <f t="shared" ca="1" si="15"/>
        <v>63504</v>
      </c>
      <c r="J96" s="308">
        <f t="shared" ca="1" si="16"/>
        <v>0</v>
      </c>
      <c r="K96" s="309">
        <f t="shared" ca="1" si="17"/>
        <v>63504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67">
        <v>7</v>
      </c>
      <c r="C97" s="766" t="s">
        <v>28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768">
        <f>F90*1</f>
        <v>1</v>
      </c>
      <c r="G97" s="307">
        <f ca="1">IF(ISERROR(OFFSET('HARGA SATUAN'!$I$6,MATCH(RAB!C97,'HARGA SATUAN'!$C$7:$C$1495,0),0)),0,OFFSET('HARGA SATUAN'!$I$6,MATCH(RAB!C97,'HARGA SATUAN'!$C$7:$C$1495,0),0))</f>
        <v>26500</v>
      </c>
      <c r="H97" s="308">
        <f t="shared" ca="1" si="14"/>
        <v>0</v>
      </c>
      <c r="I97" s="308">
        <f t="shared" ca="1" si="15"/>
        <v>26500</v>
      </c>
      <c r="J97" s="308">
        <f t="shared" ca="1" si="16"/>
        <v>0</v>
      </c>
      <c r="K97" s="309">
        <f t="shared" ca="1" si="17"/>
        <v>26500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767">
        <v>8</v>
      </c>
      <c r="C98" s="766" t="s">
        <v>173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768">
        <f>F90*8</f>
        <v>8</v>
      </c>
      <c r="G98" s="307">
        <f ca="1">IF(ISERROR(OFFSET('HARGA SATUAN'!$I$6,MATCH(RAB!C98,'HARGA SATUAN'!$C$7:$C$1495,0),0)),0,OFFSET('HARGA SATUAN'!$I$6,MATCH(RAB!C98,'HARGA SATUAN'!$C$7:$C$1495,0),0))</f>
        <v>45000</v>
      </c>
      <c r="H98" s="308">
        <f t="shared" ca="1" si="14"/>
        <v>0</v>
      </c>
      <c r="I98" s="308">
        <f t="shared" ca="1" si="15"/>
        <v>360000</v>
      </c>
      <c r="J98" s="308">
        <f t="shared" ca="1" si="16"/>
        <v>0</v>
      </c>
      <c r="K98" s="309">
        <f t="shared" ca="1" si="17"/>
        <v>360000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67">
        <v>9</v>
      </c>
      <c r="C99" s="766" t="s">
        <v>179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768">
        <f>F90*2</f>
        <v>2</v>
      </c>
      <c r="G99" s="307">
        <f ca="1">IF(ISERROR(OFFSET('HARGA SATUAN'!$I$6,MATCH(RAB!C99,'HARGA SATUAN'!$C$7:$C$1495,0),0)),0,OFFSET('HARGA SATUAN'!$I$6,MATCH(RAB!C99,'HARGA SATUAN'!$C$7:$C$1495,0),0))</f>
        <v>15500</v>
      </c>
      <c r="H99" s="308">
        <f t="shared" ca="1" si="14"/>
        <v>0</v>
      </c>
      <c r="I99" s="308">
        <f t="shared" ca="1" si="15"/>
        <v>31000</v>
      </c>
      <c r="J99" s="308">
        <f t="shared" ca="1" si="16"/>
        <v>0</v>
      </c>
      <c r="K99" s="309">
        <f t="shared" ca="1" si="17"/>
        <v>31000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67">
        <v>10</v>
      </c>
      <c r="C100" s="766" t="s">
        <v>181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768">
        <f>F90*4</f>
        <v>4</v>
      </c>
      <c r="G100" s="307">
        <f ca="1">IF(ISERROR(OFFSET('HARGA SATUAN'!$I$6,MATCH(RAB!C100,'HARGA SATUAN'!$C$7:$C$1495,0),0)),0,OFFSET('HARGA SATUAN'!$I$6,MATCH(RAB!C100,'HARGA SATUAN'!$C$7:$C$1495,0),0))</f>
        <v>28100</v>
      </c>
      <c r="H100" s="308">
        <f t="shared" ca="1" si="14"/>
        <v>0</v>
      </c>
      <c r="I100" s="308">
        <f t="shared" ca="1" si="15"/>
        <v>112400</v>
      </c>
      <c r="J100" s="308">
        <f t="shared" ca="1" si="16"/>
        <v>0</v>
      </c>
      <c r="K100" s="309">
        <f t="shared" ca="1" si="17"/>
        <v>112400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67">
        <v>11</v>
      </c>
      <c r="C101" s="766" t="s">
        <v>593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768"/>
      <c r="G101" s="307">
        <f ca="1">IF(ISERROR(OFFSET('HARGA SATUAN'!$I$6,MATCH(RAB!C101,'HARGA SATUAN'!$C$7:$C$1495,0),0)),0,OFFSET('HARGA SATUAN'!$I$6,MATCH(RAB!C101,'HARGA SATUAN'!$C$7:$C$1495,0),0))</f>
        <v>380500</v>
      </c>
      <c r="H101" s="308">
        <f t="shared" ca="1" si="14"/>
        <v>0</v>
      </c>
      <c r="I101" s="308">
        <f t="shared" ca="1" si="15"/>
        <v>0</v>
      </c>
      <c r="J101" s="308">
        <f t="shared" ca="1" si="16"/>
        <v>0</v>
      </c>
      <c r="K101" s="309">
        <f t="shared" ca="1" si="17"/>
        <v>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767">
        <v>12</v>
      </c>
      <c r="C102" s="766" t="s">
        <v>218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68">
        <f>F90*4</f>
        <v>4</v>
      </c>
      <c r="G102" s="307">
        <f ca="1">IF(ISERROR(OFFSET('HARGA SATUAN'!$I$6,MATCH(RAB!C102,'HARGA SATUAN'!$C$7:$C$1495,0),0)),0,OFFSET('HARGA SATUAN'!$I$6,MATCH(RAB!C102,'HARGA SATUAN'!$C$7:$C$1495,0),0))</f>
        <v>29600</v>
      </c>
      <c r="H102" s="308">
        <f t="shared" ca="1" si="14"/>
        <v>0</v>
      </c>
      <c r="I102" s="308">
        <f t="shared" ca="1" si="15"/>
        <v>118400</v>
      </c>
      <c r="J102" s="308">
        <f t="shared" ca="1" si="16"/>
        <v>0</v>
      </c>
      <c r="K102" s="309">
        <f t="shared" ca="1" si="17"/>
        <v>118400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67">
        <v>13</v>
      </c>
      <c r="C103" s="766" t="s">
        <v>217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768">
        <f>F90*9</f>
        <v>9</v>
      </c>
      <c r="G103" s="307">
        <f ca="1">IF(ISERROR(OFFSET('HARGA SATUAN'!$I$6,MATCH(RAB!C103,'HARGA SATUAN'!$C$7:$C$1495,0),0)),0,OFFSET('HARGA SATUAN'!$I$6,MATCH(RAB!C103,'HARGA SATUAN'!$C$7:$C$1495,0),0))</f>
        <v>11400</v>
      </c>
      <c r="H103" s="308">
        <f t="shared" ca="1" si="14"/>
        <v>0</v>
      </c>
      <c r="I103" s="308">
        <f t="shared" ca="1" si="15"/>
        <v>102600</v>
      </c>
      <c r="J103" s="308">
        <f t="shared" ca="1" si="16"/>
        <v>0</v>
      </c>
      <c r="K103" s="309">
        <f t="shared" ca="1" si="17"/>
        <v>102600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767">
        <v>14</v>
      </c>
      <c r="C104" s="766" t="s">
        <v>223</v>
      </c>
      <c r="D104" s="305" t="str">
        <f ca="1">IF(ISERROR(OFFSET('HARGA SATUAN'!$D$6,MATCH(RAB!C104,'HARGA SATUAN'!$C$7:$C$1495,0),0)),"",OFFSET('HARGA SATUAN'!$D$6,MATCH(RAB!C104,'HARGA SATUAN'!$C$7:$C$1495,0),0))</f>
        <v>HDW</v>
      </c>
      <c r="E104" s="306" t="str">
        <f ca="1">IF(B104="+","Unit",IF(ISERROR(OFFSET('HARGA SATUAN'!$E$6,MATCH(RAB!C104,'HARGA SATUAN'!$C$7:$C$1495,0),0)),"",OFFSET('HARGA SATUAN'!$E$6,MATCH(RAB!C104,'HARGA SATUAN'!$C$7:$C$1495,0),0)))</f>
        <v>Bh</v>
      </c>
      <c r="F104" s="768">
        <f>F90*2</f>
        <v>2</v>
      </c>
      <c r="G104" s="307">
        <f ca="1">IF(ISERROR(OFFSET('HARGA SATUAN'!$I$6,MATCH(RAB!C104,'HARGA SATUAN'!$C$7:$C$1495,0),0)),0,OFFSET('HARGA SATUAN'!$I$6,MATCH(RAB!C104,'HARGA SATUAN'!$C$7:$C$1495,0),0))</f>
        <v>27815</v>
      </c>
      <c r="H104" s="308">
        <f t="shared" ca="1" si="14"/>
        <v>0</v>
      </c>
      <c r="I104" s="308">
        <f t="shared" ca="1" si="15"/>
        <v>55630</v>
      </c>
      <c r="J104" s="308">
        <f t="shared" ca="1" si="16"/>
        <v>0</v>
      </c>
      <c r="K104" s="309">
        <f t="shared" ca="1" si="17"/>
        <v>55630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767">
        <v>15</v>
      </c>
      <c r="C105" s="766" t="s">
        <v>25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768">
        <f>F90*6</f>
        <v>6</v>
      </c>
      <c r="G105" s="307">
        <f ca="1">IF(ISERROR(OFFSET('HARGA SATUAN'!$I$6,MATCH(RAB!C105,'HARGA SATUAN'!$C$7:$C$1495,0),0)),0,OFFSET('HARGA SATUAN'!$I$6,MATCH(RAB!C105,'HARGA SATUAN'!$C$7:$C$1495,0),0))</f>
        <v>23936</v>
      </c>
      <c r="H105" s="308">
        <f t="shared" ca="1" si="14"/>
        <v>0</v>
      </c>
      <c r="I105" s="308">
        <f t="shared" ca="1" si="15"/>
        <v>143616</v>
      </c>
      <c r="J105" s="308">
        <f t="shared" ca="1" si="16"/>
        <v>0</v>
      </c>
      <c r="K105" s="309">
        <f t="shared" ca="1" si="17"/>
        <v>143616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767">
        <v>16</v>
      </c>
      <c r="C106" s="766" t="s">
        <v>37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Bh</v>
      </c>
      <c r="F106" s="768">
        <f>F90*3</f>
        <v>3</v>
      </c>
      <c r="G106" s="307">
        <f ca="1">IF(ISERROR(OFFSET('HARGA SATUAN'!$I$6,MATCH(RAB!C106,'HARGA SATUAN'!$C$7:$C$1495,0),0)),0,OFFSET('HARGA SATUAN'!$I$6,MATCH(RAB!C106,'HARGA SATUAN'!$C$7:$C$1495,0),0))</f>
        <v>63500</v>
      </c>
      <c r="H106" s="308">
        <f t="shared" ca="1" si="14"/>
        <v>0</v>
      </c>
      <c r="I106" s="308">
        <f t="shared" ca="1" si="15"/>
        <v>190500</v>
      </c>
      <c r="J106" s="308">
        <f t="shared" ca="1" si="16"/>
        <v>0</v>
      </c>
      <c r="K106" s="309">
        <f t="shared" ca="1" si="17"/>
        <v>190500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767">
        <v>17</v>
      </c>
      <c r="C107" s="766" t="s">
        <v>247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768">
        <f>F90*3</f>
        <v>3</v>
      </c>
      <c r="G107" s="307">
        <f ca="1">IF(ISERROR(OFFSET('HARGA SATUAN'!$I$6,MATCH(RAB!C107,'HARGA SATUAN'!$C$7:$C$1495,0),0)),0,OFFSET('HARGA SATUAN'!$I$6,MATCH(RAB!C107,'HARGA SATUAN'!$C$7:$C$1495,0),0))</f>
        <v>57690</v>
      </c>
      <c r="H107" s="308">
        <f t="shared" ca="1" si="14"/>
        <v>0</v>
      </c>
      <c r="I107" s="308">
        <f t="shared" ca="1" si="15"/>
        <v>173070</v>
      </c>
      <c r="J107" s="308">
        <f t="shared" ca="1" si="16"/>
        <v>0</v>
      </c>
      <c r="K107" s="309">
        <f t="shared" ca="1" si="17"/>
        <v>173070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767">
        <v>18</v>
      </c>
      <c r="C108" s="766" t="s">
        <v>27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768">
        <f>F90*6</f>
        <v>6</v>
      </c>
      <c r="G108" s="307">
        <f ca="1">IF(ISERROR(OFFSET('HARGA SATUAN'!$I$6,MATCH(RAB!C108,'HARGA SATUAN'!$C$7:$C$1495,0),0)),0,OFFSET('HARGA SATUAN'!$I$6,MATCH(RAB!C108,'HARGA SATUAN'!$C$7:$C$1495,0),0))</f>
        <v>16000</v>
      </c>
      <c r="H108" s="308">
        <f t="shared" ca="1" si="14"/>
        <v>0</v>
      </c>
      <c r="I108" s="308">
        <f t="shared" ca="1" si="15"/>
        <v>96000</v>
      </c>
      <c r="J108" s="308">
        <f t="shared" ca="1" si="16"/>
        <v>0</v>
      </c>
      <c r="K108" s="309">
        <f t="shared" ca="1" si="17"/>
        <v>96000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767">
        <v>19</v>
      </c>
      <c r="C109" s="766" t="s">
        <v>265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Bh</v>
      </c>
      <c r="F109" s="768">
        <f>F90*2</f>
        <v>2</v>
      </c>
      <c r="G109" s="307">
        <f ca="1">IF(ISERROR(OFFSET('HARGA SATUAN'!$I$6,MATCH(RAB!C109,'HARGA SATUAN'!$C$7:$C$1495,0),0)),0,OFFSET('HARGA SATUAN'!$I$6,MATCH(RAB!C109,'HARGA SATUAN'!$C$7:$C$1495,0),0))</f>
        <v>33501.866666666669</v>
      </c>
      <c r="H109" s="308">
        <f t="shared" ca="1" si="14"/>
        <v>0</v>
      </c>
      <c r="I109" s="308">
        <f t="shared" ca="1" si="15"/>
        <v>67003.733333333337</v>
      </c>
      <c r="J109" s="308">
        <f t="shared" ca="1" si="16"/>
        <v>0</v>
      </c>
      <c r="K109" s="309">
        <f t="shared" ca="1" si="17"/>
        <v>67003.733333333337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767">
        <v>20</v>
      </c>
      <c r="C110" s="766" t="s">
        <v>38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Mtr</v>
      </c>
      <c r="F110" s="768">
        <f>3.6*F90</f>
        <v>3.6</v>
      </c>
      <c r="G110" s="307">
        <f ca="1">IF(ISERROR(OFFSET('HARGA SATUAN'!$I$6,MATCH(RAB!C110,'HARGA SATUAN'!$C$7:$C$1495,0),0)),0,OFFSET('HARGA SATUAN'!$I$6,MATCH(RAB!C110,'HARGA SATUAN'!$C$7:$C$1495,0),0))</f>
        <v>8550</v>
      </c>
      <c r="H110" s="308">
        <f t="shared" ca="1" si="14"/>
        <v>0</v>
      </c>
      <c r="I110" s="308">
        <f t="shared" ca="1" si="15"/>
        <v>30780</v>
      </c>
      <c r="J110" s="308">
        <f t="shared" ca="1" si="16"/>
        <v>0</v>
      </c>
      <c r="K110" s="309">
        <f t="shared" ca="1" si="17"/>
        <v>30780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767">
        <v>21</v>
      </c>
      <c r="C111" s="766" t="s">
        <v>26</v>
      </c>
      <c r="D111" s="305" t="str">
        <f ca="1">IF(ISERROR(OFFSET('HARGA SATUAN'!$D$6,MATCH(RAB!C111,'HARGA SATUAN'!$C$7:$C$1495,0),0)),"",OFFSET('HARGA SATUAN'!$D$6,MATCH(RAB!C111,'HARGA SATUAN'!$C$7:$C$1495,0),0))</f>
        <v>HDW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768">
        <f>F90*22</f>
        <v>22</v>
      </c>
      <c r="G111" s="307">
        <f ca="1">IF(ISERROR(OFFSET('HARGA SATUAN'!$I$6,MATCH(RAB!C111,'HARGA SATUAN'!$C$7:$C$1495,0),0)),0,OFFSET('HARGA SATUAN'!$I$6,MATCH(RAB!C111,'HARGA SATUAN'!$C$7:$C$1495,0),0))</f>
        <v>2500</v>
      </c>
      <c r="H111" s="308">
        <f t="shared" ca="1" si="14"/>
        <v>0</v>
      </c>
      <c r="I111" s="308">
        <f t="shared" ca="1" si="15"/>
        <v>55000</v>
      </c>
      <c r="J111" s="308">
        <f t="shared" ca="1" si="16"/>
        <v>0</v>
      </c>
      <c r="K111" s="309">
        <f t="shared" ca="1" si="17"/>
        <v>55000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767">
        <v>22</v>
      </c>
      <c r="C112" s="765" t="s">
        <v>709</v>
      </c>
      <c r="D112" s="305" t="str">
        <f ca="1">IF(ISERROR(OFFSET('HARGA SATUAN'!$D$6,MATCH(RAB!C112,'HARGA SATUAN'!$C$7:$C$1495,0),0)),"",OFFSET('HARGA SATUAN'!$D$6,MATCH(RAB!C112,'HARGA SATUAN'!$C$7:$C$1495,0),0))</f>
        <v>JASA</v>
      </c>
      <c r="E112" s="306" t="str">
        <f ca="1">IF(B112="+","Unit",IF(ISERROR(OFFSET('HARGA SATUAN'!$E$6,MATCH(RAB!C112,'HARGA SATUAN'!$C$7:$C$1495,0),0)),"",OFFSET('HARGA SATUAN'!$E$6,MATCH(RAB!C112,'HARGA SATUAN'!$C$7:$C$1495,0),0)))</f>
        <v>Unit</v>
      </c>
      <c r="F112" s="768">
        <f>F90*1</f>
        <v>1</v>
      </c>
      <c r="G112" s="307">
        <f ca="1">IF(ISERROR(OFFSET('HARGA SATUAN'!$I$6,MATCH(RAB!C112,'HARGA SATUAN'!$C$7:$C$1495,0),0)),0,OFFSET('HARGA SATUAN'!$I$6,MATCH(RAB!C112,'HARGA SATUAN'!$C$7:$C$1495,0),0))</f>
        <v>197500</v>
      </c>
      <c r="H112" s="308">
        <f t="shared" ca="1" si="14"/>
        <v>0</v>
      </c>
      <c r="I112" s="308">
        <f t="shared" ca="1" si="15"/>
        <v>0</v>
      </c>
      <c r="J112" s="308">
        <f t="shared" ca="1" si="16"/>
        <v>197500</v>
      </c>
      <c r="K112" s="309">
        <f t="shared" ca="1" si="17"/>
        <v>197500</v>
      </c>
      <c r="L112" s="316"/>
      <c r="M112" s="289" t="str">
        <f ca="1">IF(AND(F112&gt;0,F65=0),"",IF(AND(ISBLANK(F112)=FALSE,K112=0),"WARNING",""))</f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767"/>
      <c r="C113" s="765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768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14"/>
        <v>0</v>
      </c>
      <c r="I113" s="308">
        <f t="shared" ca="1" si="15"/>
        <v>0</v>
      </c>
      <c r="J113" s="308">
        <f t="shared" ca="1" si="16"/>
        <v>0</v>
      </c>
      <c r="K113" s="309">
        <f t="shared" ca="1" si="17"/>
        <v>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764" t="s">
        <v>1035</v>
      </c>
      <c r="C114" s="769" t="s">
        <v>1641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>Unit</v>
      </c>
      <c r="F114" s="770">
        <v>1</v>
      </c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14"/>
        <v>0</v>
      </c>
      <c r="I114" s="308">
        <f t="shared" ca="1" si="15"/>
        <v>0</v>
      </c>
      <c r="J114" s="308">
        <f t="shared" ca="1" si="16"/>
        <v>0</v>
      </c>
      <c r="K114" s="309">
        <f t="shared" ca="1" si="17"/>
        <v>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t="30">
      <c r="A115" s="283"/>
      <c r="B115" s="764">
        <v>1</v>
      </c>
      <c r="C115" s="769" t="s">
        <v>1616</v>
      </c>
      <c r="D115" s="305" t="str">
        <f ca="1">IF(ISERROR(OFFSET('HARGA SATUAN'!$D$6,MATCH(RAB!C115,'HARGA SATUAN'!$C$7:$C$1495,0),0)),"",OFFSET('HARGA SATUAN'!$D$6,MATCH(RAB!C115,'HARGA SATUAN'!$C$7:$C$1495,0),0))</f>
        <v>MDU-KD</v>
      </c>
      <c r="E115" s="306" t="str">
        <f ca="1">IF(B115="+","Unit",IF(ISERROR(OFFSET('HARGA SATUAN'!$E$6,MATCH(RAB!C115,'HARGA SATUAN'!$C$7:$C$1495,0),0)),"",OFFSET('HARGA SATUAN'!$E$6,MATCH(RAB!C115,'HARGA SATUAN'!$C$7:$C$1495,0),0)))</f>
        <v>Set</v>
      </c>
      <c r="F115" s="770"/>
      <c r="G115" s="307">
        <f ca="1">IF(ISERROR(OFFSET('HARGA SATUAN'!$I$6,MATCH(RAB!C115,'HARGA SATUAN'!$C$7:$C$1495,0),0)),0,OFFSET('HARGA SATUAN'!$I$6,MATCH(RAB!C115,'HARGA SATUAN'!$C$7:$C$1495,0),0))</f>
        <v>205700</v>
      </c>
      <c r="H115" s="308">
        <f t="shared" ca="1" si="14"/>
        <v>0</v>
      </c>
      <c r="I115" s="308">
        <f t="shared" ca="1" si="15"/>
        <v>0</v>
      </c>
      <c r="J115" s="308">
        <f t="shared" ca="1" si="16"/>
        <v>0</v>
      </c>
      <c r="K115" s="309">
        <f t="shared" ca="1" si="17"/>
        <v>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764">
        <v>2</v>
      </c>
      <c r="C116" s="769" t="s">
        <v>152</v>
      </c>
      <c r="D116" s="305" t="str">
        <f ca="1">IF(ISERROR(OFFSET('HARGA SATUAN'!$D$6,MATCH(RAB!C116,'HARGA SATUAN'!$C$7:$C$1495,0),0)),"",OFFSET('HARGA SATUAN'!$D$6,MATCH(RAB!C116,'HARGA SATUAN'!$C$7:$C$1495,0),0))</f>
        <v>HDW</v>
      </c>
      <c r="E116" s="306" t="str">
        <f ca="1">IF(B116="+","Unit",IF(ISERROR(OFFSET('HARGA SATUAN'!$E$6,MATCH(RAB!C116,'HARGA SATUAN'!$C$7:$C$1495,0),0)),"",OFFSET('HARGA SATUAN'!$E$6,MATCH(RAB!C116,'HARGA SATUAN'!$C$7:$C$1495,0),0)))</f>
        <v>Mtr</v>
      </c>
      <c r="F116" s="770">
        <f>F114*1</f>
        <v>1</v>
      </c>
      <c r="G116" s="307">
        <f ca="1">IF(ISERROR(OFFSET('HARGA SATUAN'!$I$6,MATCH(RAB!C116,'HARGA SATUAN'!$C$7:$C$1495,0),0)),0,OFFSET('HARGA SATUAN'!$I$6,MATCH(RAB!C116,'HARGA SATUAN'!$C$7:$C$1495,0),0))</f>
        <v>7789</v>
      </c>
      <c r="H116" s="308">
        <f t="shared" ca="1" si="14"/>
        <v>0</v>
      </c>
      <c r="I116" s="308">
        <f t="shared" ca="1" si="15"/>
        <v>7789</v>
      </c>
      <c r="J116" s="308">
        <f t="shared" ca="1" si="16"/>
        <v>0</v>
      </c>
      <c r="K116" s="309">
        <f t="shared" ca="1" si="17"/>
        <v>7789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764">
        <v>3</v>
      </c>
      <c r="C117" s="769" t="s">
        <v>179</v>
      </c>
      <c r="D117" s="305" t="str">
        <f ca="1">IF(ISERROR(OFFSET('HARGA SATUAN'!$D$6,MATCH(RAB!C117,'HARGA SATUAN'!$C$7:$C$1495,0),0)),"",OFFSET('HARGA SATUAN'!$D$6,MATCH(RAB!C117,'HARGA SATUAN'!$C$7:$C$1495,0),0))</f>
        <v>HDW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770">
        <f>F114*1</f>
        <v>1</v>
      </c>
      <c r="G117" s="307">
        <f ca="1">IF(ISERROR(OFFSET('HARGA SATUAN'!$I$6,MATCH(RAB!C117,'HARGA SATUAN'!$C$7:$C$1495,0),0)),0,OFFSET('HARGA SATUAN'!$I$6,MATCH(RAB!C117,'HARGA SATUAN'!$C$7:$C$1495,0),0))</f>
        <v>15500</v>
      </c>
      <c r="H117" s="308">
        <f t="shared" ca="1" si="14"/>
        <v>0</v>
      </c>
      <c r="I117" s="308">
        <f t="shared" ca="1" si="15"/>
        <v>15500</v>
      </c>
      <c r="J117" s="308">
        <f t="shared" ca="1" si="16"/>
        <v>0</v>
      </c>
      <c r="K117" s="309">
        <f t="shared" ca="1" si="17"/>
        <v>15500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764">
        <v>4</v>
      </c>
      <c r="C118" s="769" t="s">
        <v>217</v>
      </c>
      <c r="D118" s="305" t="str">
        <f ca="1">IF(ISERROR(OFFSET('HARGA SATUAN'!$D$6,MATCH(RAB!C118,'HARGA SATUAN'!$C$7:$C$1495,0),0)),"",OFFSET('HARGA SATUAN'!$D$6,MATCH(RAB!C118,'HARGA SATUAN'!$C$7:$C$1495,0),0))</f>
        <v>HDW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770">
        <f>F114*2</f>
        <v>2</v>
      </c>
      <c r="G118" s="307">
        <f ca="1">IF(ISERROR(OFFSET('HARGA SATUAN'!$I$6,MATCH(RAB!C118,'HARGA SATUAN'!$C$7:$C$1495,0),0)),0,OFFSET('HARGA SATUAN'!$I$6,MATCH(RAB!C118,'HARGA SATUAN'!$C$7:$C$1495,0),0))</f>
        <v>11400</v>
      </c>
      <c r="H118" s="308">
        <f t="shared" ca="1" si="14"/>
        <v>0</v>
      </c>
      <c r="I118" s="308">
        <f t="shared" ca="1" si="15"/>
        <v>22800</v>
      </c>
      <c r="J118" s="308">
        <f t="shared" ca="1" si="16"/>
        <v>0</v>
      </c>
      <c r="K118" s="309">
        <f t="shared" ca="1" si="17"/>
        <v>22800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764">
        <v>5</v>
      </c>
      <c r="C119" s="769" t="s">
        <v>218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Bh</v>
      </c>
      <c r="F119" s="770">
        <f>F114*2</f>
        <v>2</v>
      </c>
      <c r="G119" s="307">
        <f ca="1">IF(ISERROR(OFFSET('HARGA SATUAN'!$I$6,MATCH(RAB!C119,'HARGA SATUAN'!$C$7:$C$1495,0),0)),0,OFFSET('HARGA SATUAN'!$I$6,MATCH(RAB!C119,'HARGA SATUAN'!$C$7:$C$1495,0),0))</f>
        <v>29600</v>
      </c>
      <c r="H119" s="308">
        <f t="shared" ca="1" si="14"/>
        <v>0</v>
      </c>
      <c r="I119" s="308">
        <f t="shared" ca="1" si="15"/>
        <v>59200</v>
      </c>
      <c r="J119" s="308">
        <f t="shared" ca="1" si="16"/>
        <v>0</v>
      </c>
      <c r="K119" s="309">
        <f t="shared" ca="1" si="17"/>
        <v>59200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764">
        <v>6</v>
      </c>
      <c r="C120" s="769" t="s">
        <v>223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770">
        <f>F114*2</f>
        <v>2</v>
      </c>
      <c r="G120" s="307">
        <f ca="1">IF(ISERROR(OFFSET('HARGA SATUAN'!$I$6,MATCH(RAB!C120,'HARGA SATUAN'!$C$7:$C$1495,0),0)),0,OFFSET('HARGA SATUAN'!$I$6,MATCH(RAB!C120,'HARGA SATUAN'!$C$7:$C$1495,0),0))</f>
        <v>27815</v>
      </c>
      <c r="H120" s="308">
        <f t="shared" ca="1" si="14"/>
        <v>0</v>
      </c>
      <c r="I120" s="308">
        <f t="shared" ca="1" si="15"/>
        <v>55630</v>
      </c>
      <c r="J120" s="308">
        <f t="shared" ca="1" si="16"/>
        <v>0</v>
      </c>
      <c r="K120" s="309">
        <f t="shared" ca="1" si="17"/>
        <v>55630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64">
        <v>7</v>
      </c>
      <c r="C121" s="769" t="s">
        <v>27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770">
        <f>F114*1</f>
        <v>1</v>
      </c>
      <c r="G121" s="307">
        <f ca="1">IF(ISERROR(OFFSET('HARGA SATUAN'!$I$6,MATCH(RAB!C121,'HARGA SATUAN'!$C$7:$C$1495,0),0)),0,OFFSET('HARGA SATUAN'!$I$6,MATCH(RAB!C121,'HARGA SATUAN'!$C$7:$C$1495,0),0))</f>
        <v>16000</v>
      </c>
      <c r="H121" s="308">
        <f t="shared" ca="1" si="14"/>
        <v>0</v>
      </c>
      <c r="I121" s="308">
        <f t="shared" ca="1" si="15"/>
        <v>16000</v>
      </c>
      <c r="J121" s="308">
        <f t="shared" ca="1" si="16"/>
        <v>0</v>
      </c>
      <c r="K121" s="309">
        <f t="shared" ca="1" si="17"/>
        <v>16000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764">
        <v>8</v>
      </c>
      <c r="C122" s="769" t="s">
        <v>265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770">
        <f>F114*1</f>
        <v>1</v>
      </c>
      <c r="G122" s="307">
        <f ca="1">IF(ISERROR(OFFSET('HARGA SATUAN'!$I$6,MATCH(RAB!C122,'HARGA SATUAN'!$C$7:$C$1495,0),0)),0,OFFSET('HARGA SATUAN'!$I$6,MATCH(RAB!C122,'HARGA SATUAN'!$C$7:$C$1495,0),0))</f>
        <v>33501.866666666669</v>
      </c>
      <c r="H122" s="308">
        <f t="shared" ca="1" si="14"/>
        <v>0</v>
      </c>
      <c r="I122" s="308">
        <f t="shared" ca="1" si="15"/>
        <v>33501.866666666669</v>
      </c>
      <c r="J122" s="308">
        <f t="shared" ca="1" si="16"/>
        <v>0</v>
      </c>
      <c r="K122" s="309">
        <f t="shared" ca="1" si="17"/>
        <v>33501.866666666669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764">
        <v>9</v>
      </c>
      <c r="C123" s="769" t="s">
        <v>26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Bh</v>
      </c>
      <c r="F123" s="770">
        <f>F114*2</f>
        <v>2</v>
      </c>
      <c r="G123" s="307">
        <f ca="1">IF(ISERROR(OFFSET('HARGA SATUAN'!$I$6,MATCH(RAB!C123,'HARGA SATUAN'!$C$7:$C$1495,0),0)),0,OFFSET('HARGA SATUAN'!$I$6,MATCH(RAB!C123,'HARGA SATUAN'!$C$7:$C$1495,0),0))</f>
        <v>2500</v>
      </c>
      <c r="H123" s="308">
        <f t="shared" ca="1" si="14"/>
        <v>0</v>
      </c>
      <c r="I123" s="308">
        <f t="shared" ca="1" si="15"/>
        <v>5000</v>
      </c>
      <c r="J123" s="308">
        <f t="shared" ca="1" si="16"/>
        <v>0</v>
      </c>
      <c r="K123" s="309">
        <f t="shared" ca="1" si="17"/>
        <v>5000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764">
        <v>10</v>
      </c>
      <c r="C124" s="769" t="s">
        <v>655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770">
        <f>F114*1</f>
        <v>1</v>
      </c>
      <c r="G124" s="307">
        <f ca="1">IF(ISERROR(OFFSET('HARGA SATUAN'!$I$6,MATCH(RAB!C124,'HARGA SATUAN'!$C$7:$C$1495,0),0)),0,OFFSET('HARGA SATUAN'!$I$6,MATCH(RAB!C124,'HARGA SATUAN'!$C$7:$C$1495,0),0))</f>
        <v>50100</v>
      </c>
      <c r="H124" s="308">
        <f t="shared" ca="1" si="14"/>
        <v>0</v>
      </c>
      <c r="I124" s="308">
        <f t="shared" ca="1" si="15"/>
        <v>0</v>
      </c>
      <c r="J124" s="308">
        <f t="shared" ca="1" si="16"/>
        <v>50100</v>
      </c>
      <c r="K124" s="309">
        <f t="shared" ca="1" si="17"/>
        <v>50100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767"/>
      <c r="C125" s="765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768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14"/>
        <v>0</v>
      </c>
      <c r="I125" s="308">
        <f t="shared" ca="1" si="15"/>
        <v>0</v>
      </c>
      <c r="J125" s="308">
        <f t="shared" ca="1" si="16"/>
        <v>0</v>
      </c>
      <c r="K125" s="309">
        <f t="shared" ca="1" si="17"/>
        <v>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764" t="s">
        <v>1035</v>
      </c>
      <c r="C126" s="765" t="s">
        <v>1643</v>
      </c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>Unit</v>
      </c>
      <c r="F126" s="457">
        <v>1</v>
      </c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14"/>
        <v>0</v>
      </c>
      <c r="I126" s="308">
        <f t="shared" ca="1" si="15"/>
        <v>0</v>
      </c>
      <c r="J126" s="308">
        <f t="shared" ca="1" si="16"/>
        <v>0</v>
      </c>
      <c r="K126" s="309">
        <f t="shared" ca="1" si="17"/>
        <v>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764">
        <v>1</v>
      </c>
      <c r="C127" s="765" t="s">
        <v>28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457">
        <f>F126*1</f>
        <v>1</v>
      </c>
      <c r="G127" s="307">
        <f ca="1">IF(ISERROR(OFFSET('HARGA SATUAN'!$I$6,MATCH(RAB!C127,'HARGA SATUAN'!$C$7:$C$1495,0),0)),0,OFFSET('HARGA SATUAN'!$I$6,MATCH(RAB!C127,'HARGA SATUAN'!$C$7:$C$1495,0),0))</f>
        <v>26500</v>
      </c>
      <c r="H127" s="308">
        <f t="shared" ca="1" si="14"/>
        <v>0</v>
      </c>
      <c r="I127" s="308">
        <f t="shared" ca="1" si="15"/>
        <v>26500</v>
      </c>
      <c r="J127" s="308">
        <f t="shared" ca="1" si="16"/>
        <v>0</v>
      </c>
      <c r="K127" s="309">
        <f t="shared" ca="1" si="17"/>
        <v>26500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764">
        <v>2</v>
      </c>
      <c r="C128" s="765" t="s">
        <v>203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457">
        <f>F126*1</f>
        <v>1</v>
      </c>
      <c r="G128" s="307">
        <f ca="1">IF(ISERROR(OFFSET('HARGA SATUAN'!$I$6,MATCH(RAB!C128,'HARGA SATUAN'!$C$7:$C$1495,0),0)),0,OFFSET('HARGA SATUAN'!$I$6,MATCH(RAB!C128,'HARGA SATUAN'!$C$7:$C$1495,0),0))</f>
        <v>12500</v>
      </c>
      <c r="H128" s="308">
        <f t="shared" ca="1" si="14"/>
        <v>0</v>
      </c>
      <c r="I128" s="308">
        <f t="shared" ca="1" si="15"/>
        <v>12500</v>
      </c>
      <c r="J128" s="308">
        <f t="shared" ca="1" si="16"/>
        <v>0</v>
      </c>
      <c r="K128" s="309">
        <f t="shared" ca="1" si="17"/>
        <v>12500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764">
        <v>3</v>
      </c>
      <c r="C129" s="765" t="s">
        <v>206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Mtr</v>
      </c>
      <c r="F129" s="457">
        <f>F126*12</f>
        <v>12</v>
      </c>
      <c r="G129" s="307">
        <f ca="1">IF(ISERROR(OFFSET('HARGA SATUAN'!$I$6,MATCH(RAB!C129,'HARGA SATUAN'!$C$7:$C$1495,0),0)),0,OFFSET('HARGA SATUAN'!$I$6,MATCH(RAB!C129,'HARGA SATUAN'!$C$7:$C$1495,0),0))</f>
        <v>39204</v>
      </c>
      <c r="H129" s="308">
        <f t="shared" ca="1" si="14"/>
        <v>0</v>
      </c>
      <c r="I129" s="308">
        <f t="shared" ca="1" si="15"/>
        <v>470448</v>
      </c>
      <c r="J129" s="308">
        <f t="shared" ca="1" si="16"/>
        <v>0</v>
      </c>
      <c r="K129" s="309">
        <f t="shared" ca="1" si="17"/>
        <v>470448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764">
        <v>4</v>
      </c>
      <c r="C130" s="765" t="s">
        <v>287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Bh</v>
      </c>
      <c r="F130" s="457">
        <f>F126*2</f>
        <v>2</v>
      </c>
      <c r="G130" s="307">
        <f ca="1">IF(ISERROR(OFFSET('HARGA SATUAN'!$I$6,MATCH(RAB!C130,'HARGA SATUAN'!$C$7:$C$1495,0),0)),0,OFFSET('HARGA SATUAN'!$I$6,MATCH(RAB!C130,'HARGA SATUAN'!$C$7:$C$1495,0),0))</f>
        <v>40000</v>
      </c>
      <c r="H130" s="308">
        <f t="shared" ref="H130:H143" ca="1" si="18">IF(OR(D130="MDU",D130="MDU-KD"),(IF($O$3="RAB NON MDU","PLN KD",G130*F130)),0)</f>
        <v>0</v>
      </c>
      <c r="I130" s="308">
        <f t="shared" ref="I130:I143" ca="1" si="19">IF(D130="HDW",G130*F130,0)</f>
        <v>80000</v>
      </c>
      <c r="J130" s="308">
        <f t="shared" ref="J130:J143" ca="1" si="20">IF(D130="JASA",G130*F130,0)</f>
        <v>0</v>
      </c>
      <c r="K130" s="309">
        <f t="shared" ref="K130:K143" ca="1" si="21">SUM(H130:J130)</f>
        <v>80000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764">
        <v>5</v>
      </c>
      <c r="C131" s="765" t="s">
        <v>26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457">
        <f>F126*1</f>
        <v>1</v>
      </c>
      <c r="G131" s="307">
        <f ca="1">IF(ISERROR(OFFSET('HARGA SATUAN'!$I$6,MATCH(RAB!C131,'HARGA SATUAN'!$C$7:$C$1495,0),0)),0,OFFSET('HARGA SATUAN'!$I$6,MATCH(RAB!C131,'HARGA SATUAN'!$C$7:$C$1495,0),0))</f>
        <v>2500</v>
      </c>
      <c r="H131" s="308">
        <f t="shared" ca="1" si="18"/>
        <v>0</v>
      </c>
      <c r="I131" s="308">
        <f t="shared" ca="1" si="19"/>
        <v>2500</v>
      </c>
      <c r="J131" s="308">
        <f t="shared" ca="1" si="20"/>
        <v>0</v>
      </c>
      <c r="K131" s="309">
        <f t="shared" ca="1" si="21"/>
        <v>2500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764">
        <v>6</v>
      </c>
      <c r="C132" s="765" t="s">
        <v>760</v>
      </c>
      <c r="D132" s="305" t="str">
        <f ca="1">IF(ISERROR(OFFSET('HARGA SATUAN'!$D$6,MATCH(RAB!C132,'HARGA SATUAN'!$C$7:$C$1495,0),0)),"",OFFSET('HARGA SATUAN'!$D$6,MATCH(RAB!C132,'HARGA SATUAN'!$C$7:$C$1495,0),0))</f>
        <v>JASA</v>
      </c>
      <c r="E132" s="306" t="str">
        <f ca="1">IF(B132="+","Unit",IF(ISERROR(OFFSET('HARGA SATUAN'!$E$6,MATCH(RAB!C132,'HARGA SATUAN'!$C$7:$C$1495,0),0)),"",OFFSET('HARGA SATUAN'!$E$6,MATCH(RAB!C132,'HARGA SATUAN'!$C$7:$C$1495,0),0)))</f>
        <v>Unit</v>
      </c>
      <c r="F132" s="457">
        <f>F126*1</f>
        <v>1</v>
      </c>
      <c r="G132" s="307">
        <f ca="1">IF(ISERROR(OFFSET('HARGA SATUAN'!$I$6,MATCH(RAB!C132,'HARGA SATUAN'!$C$7:$C$1495,0),0)),0,OFFSET('HARGA SATUAN'!$I$6,MATCH(RAB!C132,'HARGA SATUAN'!$C$7:$C$1495,0),0))</f>
        <v>36600</v>
      </c>
      <c r="H132" s="308">
        <f t="shared" ca="1" si="18"/>
        <v>0</v>
      </c>
      <c r="I132" s="308">
        <f t="shared" ca="1" si="19"/>
        <v>0</v>
      </c>
      <c r="J132" s="308">
        <f t="shared" ca="1" si="20"/>
        <v>36600</v>
      </c>
      <c r="K132" s="309">
        <f t="shared" ca="1" si="21"/>
        <v>36600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767"/>
      <c r="C133" s="765"/>
      <c r="D133" s="305" t="str">
        <f ca="1">IF(ISERROR(OFFSET('HARGA SATUAN'!$D$6,MATCH(RAB!C133,'HARGA SATUAN'!$C$7:$C$1495,0),0)),"",OFFSET('HARGA SATUAN'!$D$6,MATCH(RAB!C133,'HARGA SATUAN'!$C$7:$C$1495,0),0))</f>
        <v/>
      </c>
      <c r="E133" s="306" t="str">
        <f ca="1">IF(B133="+","Unit",IF(ISERROR(OFFSET('HARGA SATUAN'!$E$6,MATCH(RAB!C133,'HARGA SATUAN'!$C$7:$C$1495,0),0)),"",OFFSET('HARGA SATUAN'!$E$6,MATCH(RAB!C133,'HARGA SATUAN'!$C$7:$C$1495,0),0)))</f>
        <v/>
      </c>
      <c r="F133" s="768"/>
      <c r="G133" s="307">
        <f ca="1">IF(ISERROR(OFFSET('HARGA SATUAN'!$I$6,MATCH(RAB!C133,'HARGA SATUAN'!$C$7:$C$1495,0),0)),0,OFFSET('HARGA SATUAN'!$I$6,MATCH(RAB!C133,'HARGA SATUAN'!$C$7:$C$1495,0),0))</f>
        <v>0</v>
      </c>
      <c r="H133" s="308">
        <f t="shared" ca="1" si="18"/>
        <v>0</v>
      </c>
      <c r="I133" s="308">
        <f t="shared" ca="1" si="19"/>
        <v>0</v>
      </c>
      <c r="J133" s="308">
        <f t="shared" ca="1" si="20"/>
        <v>0</v>
      </c>
      <c r="K133" s="309">
        <f t="shared" ca="1" si="21"/>
        <v>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764" t="s">
        <v>1035</v>
      </c>
      <c r="C134" s="765" t="s">
        <v>1644</v>
      </c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>Unit</v>
      </c>
      <c r="F134" s="457">
        <v>1</v>
      </c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18"/>
        <v>0</v>
      </c>
      <c r="I134" s="308">
        <f t="shared" ca="1" si="19"/>
        <v>0</v>
      </c>
      <c r="J134" s="308">
        <f t="shared" ca="1" si="20"/>
        <v>0</v>
      </c>
      <c r="K134" s="309">
        <f t="shared" ca="1" si="21"/>
        <v>0</v>
      </c>
      <c r="L134" s="316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452">
        <v>1</v>
      </c>
      <c r="C135" s="453" t="s">
        <v>597</v>
      </c>
      <c r="D135" s="305" t="str">
        <f ca="1">IF(ISERROR(OFFSET('HARGA SATUAN'!$D$6,MATCH(RAB!C135,'HARGA SATUAN'!$C$7:$C$1495,0),0)),"",OFFSET('HARGA SATUAN'!$D$6,MATCH(RAB!C135,'HARGA SATUAN'!$C$7:$C$1495,0),0))</f>
        <v>HDW</v>
      </c>
      <c r="E135" s="306" t="str">
        <f ca="1">IF(B135="+","Unit",IF(ISERROR(OFFSET('HARGA SATUAN'!$E$6,MATCH(RAB!C135,'HARGA SATUAN'!$C$7:$C$1495,0),0)),"",OFFSET('HARGA SATUAN'!$E$6,MATCH(RAB!C135,'HARGA SATUAN'!$C$7:$C$1495,0),0)))</f>
        <v>Bh</v>
      </c>
      <c r="F135" s="457">
        <f>F134*1</f>
        <v>1</v>
      </c>
      <c r="G135" s="307">
        <f ca="1">IF(ISERROR(OFFSET('HARGA SATUAN'!$I$6,MATCH(RAB!C135,'HARGA SATUAN'!$C$7:$C$1495,0),0)),0,OFFSET('HARGA SATUAN'!$I$6,MATCH(RAB!C135,'HARGA SATUAN'!$C$7:$C$1495,0),0))</f>
        <v>120900</v>
      </c>
      <c r="H135" s="308">
        <f t="shared" ca="1" si="18"/>
        <v>0</v>
      </c>
      <c r="I135" s="308">
        <f t="shared" ca="1" si="19"/>
        <v>120900</v>
      </c>
      <c r="J135" s="308">
        <f t="shared" ca="1" si="20"/>
        <v>0</v>
      </c>
      <c r="K135" s="309">
        <f t="shared" ca="1" si="21"/>
        <v>120900</v>
      </c>
      <c r="L135" s="316"/>
      <c r="M135" s="289"/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454">
        <v>2</v>
      </c>
      <c r="C136" s="455" t="s">
        <v>261</v>
      </c>
      <c r="D136" s="305" t="str">
        <f ca="1">IF(ISERROR(OFFSET('HARGA SATUAN'!$D$6,MATCH(RAB!C136,'HARGA SATUAN'!$C$7:$C$1495,0),0)),"",OFFSET('HARGA SATUAN'!$D$6,MATCH(RAB!C136,'HARGA SATUAN'!$C$7:$C$1495,0),0))</f>
        <v>HDW</v>
      </c>
      <c r="E136" s="306" t="str">
        <f ca="1">IF(B136="+","Unit",IF(ISERROR(OFFSET('HARGA SATUAN'!$E$6,MATCH(RAB!C136,'HARGA SATUAN'!$C$7:$C$1495,0),0)),"",OFFSET('HARGA SATUAN'!$E$6,MATCH(RAB!C136,'HARGA SATUAN'!$C$7:$C$1495,0),0)))</f>
        <v>Bh</v>
      </c>
      <c r="F136" s="457">
        <f>F134*1</f>
        <v>1</v>
      </c>
      <c r="G136" s="307">
        <f ca="1">IF(ISERROR(OFFSET('HARGA SATUAN'!$I$6,MATCH(RAB!C136,'HARGA SATUAN'!$C$7:$C$1495,0),0)),0,OFFSET('HARGA SATUAN'!$I$6,MATCH(RAB!C136,'HARGA SATUAN'!$C$7:$C$1495,0),0))</f>
        <v>135800</v>
      </c>
      <c r="H136" s="308">
        <f t="shared" ca="1" si="18"/>
        <v>0</v>
      </c>
      <c r="I136" s="308">
        <f t="shared" ca="1" si="19"/>
        <v>135800</v>
      </c>
      <c r="J136" s="308">
        <f t="shared" ca="1" si="20"/>
        <v>0</v>
      </c>
      <c r="K136" s="309">
        <f t="shared" ca="1" si="21"/>
        <v>135800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454">
        <v>3</v>
      </c>
      <c r="C137" s="769" t="s">
        <v>214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770">
        <f>F134*1</f>
        <v>1</v>
      </c>
      <c r="G137" s="307">
        <f ca="1">IF(ISERROR(OFFSET('HARGA SATUAN'!$I$6,MATCH(RAB!C137,'HARGA SATUAN'!$C$7:$C$1495,0),0)),0,OFFSET('HARGA SATUAN'!$I$6,MATCH(RAB!C137,'HARGA SATUAN'!$C$7:$C$1495,0),0))</f>
        <v>4500</v>
      </c>
      <c r="H137" s="308">
        <f t="shared" ca="1" si="18"/>
        <v>0</v>
      </c>
      <c r="I137" s="308">
        <f t="shared" ca="1" si="19"/>
        <v>4500</v>
      </c>
      <c r="J137" s="308">
        <f t="shared" ca="1" si="20"/>
        <v>0</v>
      </c>
      <c r="K137" s="309">
        <f t="shared" ca="1" si="21"/>
        <v>4500</v>
      </c>
      <c r="L137" s="316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764">
        <v>4</v>
      </c>
      <c r="C138" s="765" t="s">
        <v>768</v>
      </c>
      <c r="D138" s="305" t="str">
        <f ca="1">IF(ISERROR(OFFSET('HARGA SATUAN'!$D$6,MATCH(RAB!C138,'HARGA SATUAN'!$C$7:$C$1495,0),0)),"",OFFSET('HARGA SATUAN'!$D$6,MATCH(RAB!C138,'HARGA SATUAN'!$C$7:$C$1495,0),0))</f>
        <v>JASA</v>
      </c>
      <c r="E138" s="306" t="str">
        <f ca="1">IF(B138="+","Unit",IF(ISERROR(OFFSET('HARGA SATUAN'!$E$6,MATCH(RAB!C138,'HARGA SATUAN'!$C$7:$C$1495,0),0)),"",OFFSET('HARGA SATUAN'!$E$6,MATCH(RAB!C138,'HARGA SATUAN'!$C$7:$C$1495,0),0)))</f>
        <v>Unit</v>
      </c>
      <c r="F138" s="457">
        <f>F134*1</f>
        <v>1</v>
      </c>
      <c r="G138" s="307">
        <f ca="1">IF(ISERROR(OFFSET('HARGA SATUAN'!$I$6,MATCH(RAB!C138,'HARGA SATUAN'!$C$7:$C$1495,0),0)),0,OFFSET('HARGA SATUAN'!$I$6,MATCH(RAB!C138,'HARGA SATUAN'!$C$7:$C$1495,0),0))</f>
        <v>55500</v>
      </c>
      <c r="H138" s="308">
        <f t="shared" ca="1" si="18"/>
        <v>0</v>
      </c>
      <c r="I138" s="308">
        <f t="shared" ca="1" si="19"/>
        <v>0</v>
      </c>
      <c r="J138" s="308">
        <f t="shared" ca="1" si="20"/>
        <v>55500</v>
      </c>
      <c r="K138" s="309">
        <f t="shared" ca="1" si="21"/>
        <v>55500</v>
      </c>
      <c r="L138" s="316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767"/>
      <c r="C139" s="765"/>
      <c r="D139" s="305" t="str">
        <f ca="1">IF(ISERROR(OFFSET('HARGA SATUAN'!$D$6,MATCH(RAB!C139,'HARGA SATUAN'!$C$7:$C$1495,0),0)),"",OFFSET('HARGA SATUAN'!$D$6,MATCH(RAB!C139,'HARGA SATUAN'!$C$7:$C$1495,0),0))</f>
        <v/>
      </c>
      <c r="E139" s="306" t="str">
        <f ca="1">IF(B139="+","Unit",IF(ISERROR(OFFSET('HARGA SATUAN'!$E$6,MATCH(RAB!C139,'HARGA SATUAN'!$C$7:$C$1495,0),0)),"",OFFSET('HARGA SATUAN'!$E$6,MATCH(RAB!C139,'HARGA SATUAN'!$C$7:$C$1495,0),0)))</f>
        <v/>
      </c>
      <c r="F139" s="768"/>
      <c r="G139" s="307">
        <f ca="1">IF(ISERROR(OFFSET('HARGA SATUAN'!$I$6,MATCH(RAB!C139,'HARGA SATUAN'!$C$7:$C$1495,0),0)),0,OFFSET('HARGA SATUAN'!$I$6,MATCH(RAB!C139,'HARGA SATUAN'!$C$7:$C$1495,0),0))</f>
        <v>0</v>
      </c>
      <c r="H139" s="308">
        <f t="shared" ca="1" si="18"/>
        <v>0</v>
      </c>
      <c r="I139" s="308">
        <f t="shared" ca="1" si="19"/>
        <v>0</v>
      </c>
      <c r="J139" s="308">
        <f t="shared" ca="1" si="20"/>
        <v>0</v>
      </c>
      <c r="K139" s="309">
        <f t="shared" ca="1" si="21"/>
        <v>0</v>
      </c>
      <c r="L139" s="316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764" t="s">
        <v>1035</v>
      </c>
      <c r="C140" s="765" t="s">
        <v>1645</v>
      </c>
      <c r="D140" s="305" t="str">
        <f ca="1">IF(ISERROR(OFFSET('HARGA SATUAN'!$D$6,MATCH(RAB!C140,'HARGA SATUAN'!$C$7:$C$1495,0),0)),"",OFFSET('HARGA SATUAN'!$D$6,MATCH(RAB!C140,'HARGA SATUAN'!$C$7:$C$1495,0),0))</f>
        <v/>
      </c>
      <c r="E140" s="306" t="str">
        <f ca="1">IF(B140="+","Unit",IF(ISERROR(OFFSET('HARGA SATUAN'!$E$6,MATCH(RAB!C140,'HARGA SATUAN'!$C$7:$C$1495,0),0)),"",OFFSET('HARGA SATUAN'!$E$6,MATCH(RAB!C140,'HARGA SATUAN'!$C$7:$C$1495,0),0)))</f>
        <v>Unit</v>
      </c>
      <c r="F140" s="457">
        <v>1</v>
      </c>
      <c r="G140" s="307">
        <f ca="1">IF(ISERROR(OFFSET('HARGA SATUAN'!$I$6,MATCH(RAB!C140,'HARGA SATUAN'!$C$7:$C$1495,0),0)),0,OFFSET('HARGA SATUAN'!$I$6,MATCH(RAB!C140,'HARGA SATUAN'!$C$7:$C$1495,0),0))</f>
        <v>0</v>
      </c>
      <c r="H140" s="308">
        <f t="shared" ca="1" si="18"/>
        <v>0</v>
      </c>
      <c r="I140" s="308">
        <f t="shared" ca="1" si="19"/>
        <v>0</v>
      </c>
      <c r="J140" s="308">
        <f t="shared" ca="1" si="20"/>
        <v>0</v>
      </c>
      <c r="K140" s="309">
        <f t="shared" ca="1" si="21"/>
        <v>0</v>
      </c>
      <c r="L140" s="316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764">
        <v>1</v>
      </c>
      <c r="C141" s="765" t="s">
        <v>30</v>
      </c>
      <c r="D141" s="305" t="str">
        <f ca="1">IF(ISERROR(OFFSET('HARGA SATUAN'!$D$6,MATCH(RAB!C141,'HARGA SATUAN'!$C$7:$C$1495,0),0)),"",OFFSET('HARGA SATUAN'!$D$6,MATCH(RAB!C141,'HARGA SATUAN'!$C$7:$C$1495,0),0))</f>
        <v>HDW</v>
      </c>
      <c r="E141" s="306" t="str">
        <f ca="1">IF(B141="+","Unit",IF(ISERROR(OFFSET('HARGA SATUAN'!$E$6,MATCH(RAB!C141,'HARGA SATUAN'!$C$7:$C$1495,0),0)),"",OFFSET('HARGA SATUAN'!$E$6,MATCH(RAB!C141,'HARGA SATUAN'!$C$7:$C$1495,0),0)))</f>
        <v>Bh</v>
      </c>
      <c r="F141" s="457">
        <f>F140*1</f>
        <v>1</v>
      </c>
      <c r="G141" s="307">
        <f ca="1">IF(ISERROR(OFFSET('HARGA SATUAN'!$I$6,MATCH(RAB!C141,'HARGA SATUAN'!$C$7:$C$1495,0),0)),0,OFFSET('HARGA SATUAN'!$I$6,MATCH(RAB!C141,'HARGA SATUAN'!$C$7:$C$1495,0),0))</f>
        <v>47459</v>
      </c>
      <c r="H141" s="308">
        <f t="shared" ca="1" si="18"/>
        <v>0</v>
      </c>
      <c r="I141" s="308">
        <f t="shared" ca="1" si="19"/>
        <v>47459</v>
      </c>
      <c r="J141" s="308">
        <f t="shared" ca="1" si="20"/>
        <v>0</v>
      </c>
      <c r="K141" s="309">
        <f t="shared" ca="1" si="21"/>
        <v>47459</v>
      </c>
      <c r="L141" s="316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764">
        <v>2</v>
      </c>
      <c r="C142" s="765" t="s">
        <v>32</v>
      </c>
      <c r="D142" s="305" t="str">
        <f ca="1">IF(ISERROR(OFFSET('HARGA SATUAN'!$D$6,MATCH(RAB!C142,'HARGA SATUAN'!$C$7:$C$1495,0),0)),"",OFFSET('HARGA SATUAN'!$D$6,MATCH(RAB!C142,'HARGA SATUAN'!$C$7:$C$1495,0),0))</f>
        <v>HDW</v>
      </c>
      <c r="E142" s="306" t="str">
        <f ca="1">IF(B142="+","Unit",IF(ISERROR(OFFSET('HARGA SATUAN'!$E$6,MATCH(RAB!C142,'HARGA SATUAN'!$C$7:$C$1495,0),0)),"",OFFSET('HARGA SATUAN'!$E$6,MATCH(RAB!C142,'HARGA SATUAN'!$C$7:$C$1495,0),0)))</f>
        <v>Mtr</v>
      </c>
      <c r="F142" s="457">
        <f>F140*1</f>
        <v>1</v>
      </c>
      <c r="G142" s="307">
        <f ca="1">IF(ISERROR(OFFSET('HARGA SATUAN'!$I$6,MATCH(RAB!C142,'HARGA SATUAN'!$C$7:$C$1495,0),0)),0,OFFSET('HARGA SATUAN'!$I$6,MATCH(RAB!C142,'HARGA SATUAN'!$C$7:$C$1495,0),0))</f>
        <v>30000</v>
      </c>
      <c r="H142" s="308">
        <f t="shared" ca="1" si="18"/>
        <v>0</v>
      </c>
      <c r="I142" s="308">
        <f t="shared" ca="1" si="19"/>
        <v>30000</v>
      </c>
      <c r="J142" s="308">
        <f t="shared" ca="1" si="20"/>
        <v>0</v>
      </c>
      <c r="K142" s="309">
        <f t="shared" ca="1" si="21"/>
        <v>30000</v>
      </c>
      <c r="L142" s="316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64">
        <v>3</v>
      </c>
      <c r="C143" s="765" t="s">
        <v>33</v>
      </c>
      <c r="D143" s="305" t="str">
        <f ca="1">IF(ISERROR(OFFSET('HARGA SATUAN'!$D$6,MATCH(RAB!C143,'HARGA SATUAN'!$C$7:$C$1495,0),0)),"",OFFSET('HARGA SATUAN'!$D$6,MATCH(RAB!C143,'HARGA SATUAN'!$C$7:$C$1495,0),0))</f>
        <v>HDW</v>
      </c>
      <c r="E143" s="306" t="str">
        <f ca="1">IF(B143="+","Unit",IF(ISERROR(OFFSET('HARGA SATUAN'!$E$6,MATCH(RAB!C143,'HARGA SATUAN'!$C$7:$C$1495,0),0)),"",OFFSET('HARGA SATUAN'!$E$6,MATCH(RAB!C143,'HARGA SATUAN'!$C$7:$C$1495,0),0)))</f>
        <v>Bh</v>
      </c>
      <c r="F143" s="457">
        <f>F140*1</f>
        <v>1</v>
      </c>
      <c r="G143" s="307">
        <f ca="1">IF(ISERROR(OFFSET('HARGA SATUAN'!$I$6,MATCH(RAB!C143,'HARGA SATUAN'!$C$7:$C$1495,0),0)),0,OFFSET('HARGA SATUAN'!$I$6,MATCH(RAB!C143,'HARGA SATUAN'!$C$7:$C$1495,0),0))</f>
        <v>9500</v>
      </c>
      <c r="H143" s="308">
        <f t="shared" ca="1" si="18"/>
        <v>0</v>
      </c>
      <c r="I143" s="308">
        <f t="shared" ca="1" si="19"/>
        <v>9500</v>
      </c>
      <c r="J143" s="308">
        <f t="shared" ca="1" si="20"/>
        <v>0</v>
      </c>
      <c r="K143" s="309">
        <f t="shared" ca="1" si="21"/>
        <v>9500</v>
      </c>
      <c r="L143" s="316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764">
        <v>4</v>
      </c>
      <c r="C144" s="765" t="s">
        <v>738</v>
      </c>
      <c r="D144" s="305" t="str">
        <f ca="1">IF(ISERROR(OFFSET('HARGA SATUAN'!$D$6,MATCH(RAB!C144,'HARGA SATUAN'!$C$7:$C$1495,0),0)),"",OFFSET('HARGA SATUAN'!$D$6,MATCH(RAB!C144,'HARGA SATUAN'!$C$7:$C$1495,0),0))</f>
        <v>JASA</v>
      </c>
      <c r="E144" s="306" t="str">
        <f ca="1">IF(B144="+","Unit",IF(ISERROR(OFFSET('HARGA SATUAN'!$E$6,MATCH(RAB!C144,'HARGA SATUAN'!$C$7:$C$1495,0),0)),"",OFFSET('HARGA SATUAN'!$E$6,MATCH(RAB!C144,'HARGA SATUAN'!$C$7:$C$1495,0),0)))</f>
        <v>Unit</v>
      </c>
      <c r="F144" s="457">
        <f>F140*1</f>
        <v>1</v>
      </c>
      <c r="G144" s="307">
        <f ca="1">IF(ISERROR(OFFSET('HARGA SATUAN'!$I$6,MATCH(RAB!C144,'HARGA SATUAN'!$C$7:$C$1495,0),0)),0,OFFSET('HARGA SATUAN'!$I$6,MATCH(RAB!C144,'HARGA SATUAN'!$C$7:$C$1495,0),0))</f>
        <v>21200</v>
      </c>
      <c r="H144" s="308">
        <f t="shared" ca="1" si="9"/>
        <v>0</v>
      </c>
      <c r="I144" s="308">
        <f t="shared" ca="1" si="10"/>
        <v>0</v>
      </c>
      <c r="J144" s="308">
        <f t="shared" ca="1" si="11"/>
        <v>21200</v>
      </c>
      <c r="K144" s="309">
        <f t="shared" ca="1" si="12"/>
        <v>21200</v>
      </c>
      <c r="L144" s="316"/>
      <c r="M144" s="289" t="e">
        <f>IF(AND(F144&gt;0,#REF!=0),"",IF(AND(ISBLANK(F144)=FALSE,K144=0),"WARNING",""))</f>
        <v>#REF!</v>
      </c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 hidden="1">
      <c r="A145" s="283"/>
      <c r="B145" s="450"/>
      <c r="C145" s="451"/>
      <c r="D145" s="305" t="str">
        <f ca="1">IF(ISERROR(OFFSET('HARGA SATUAN'!$D$6,MATCH(RAB!C145,'HARGA SATUAN'!$C$7:$C$1495,0),0)),"",OFFSET('HARGA SATUAN'!$D$6,MATCH(RAB!C145,'HARGA SATUAN'!$C$7:$C$1495,0),0))</f>
        <v/>
      </c>
      <c r="E145" s="306" t="str">
        <f ca="1">IF(B145="+","Unit",IF(ISERROR(OFFSET('HARGA SATUAN'!$E$6,MATCH(RAB!C145,'HARGA SATUAN'!$C$7:$C$1495,0),0)),"",OFFSET('HARGA SATUAN'!$E$6,MATCH(RAB!C145,'HARGA SATUAN'!$C$7:$C$1495,0),0)))</f>
        <v/>
      </c>
      <c r="F145" s="459"/>
      <c r="G145" s="307">
        <f ca="1">IF(ISERROR(OFFSET('HARGA SATUAN'!$I$6,MATCH(RAB!C145,'HARGA SATUAN'!$C$7:$C$1495,0),0)),0,OFFSET('HARGA SATUAN'!$I$6,MATCH(RAB!C145,'HARGA SATUAN'!$C$7:$C$1495,0),0))</f>
        <v>0</v>
      </c>
      <c r="H145" s="308">
        <f t="shared" ref="H145:H165" ca="1" si="22">IF(OR(D145="MDU",D145="MDU-KD"),(IF($O$3="RAB NON MDU","PLN KD",G145*F145)),0)</f>
        <v>0</v>
      </c>
      <c r="I145" s="308">
        <f t="shared" ref="I145:I165" ca="1" si="23">IF(D145="HDW",G145*F145,0)</f>
        <v>0</v>
      </c>
      <c r="J145" s="308">
        <f t="shared" ref="J145:J165" ca="1" si="24">IF(D145="JASA",G145*F145,0)</f>
        <v>0</v>
      </c>
      <c r="K145" s="309">
        <f t="shared" ref="K145:K165" ca="1" si="25">SUM(H145:J145)</f>
        <v>0</v>
      </c>
      <c r="L145" s="316"/>
      <c r="M145" s="289" t="str">
        <f t="shared" ref="M145:M184" ca="1" si="26">IF(AND(F145&gt;0,F144=0),"",IF(AND(ISBLANK(F145)=FALSE,K145=0),"WARNING",""))</f>
        <v/>
      </c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 hidden="1">
      <c r="A146" s="283"/>
      <c r="B146" s="450"/>
      <c r="C146" s="451"/>
      <c r="D146" s="305" t="str">
        <f ca="1">IF(ISERROR(OFFSET('HARGA SATUAN'!$D$6,MATCH(RAB!C146,'HARGA SATUAN'!$C$7:$C$1495,0),0)),"",OFFSET('HARGA SATUAN'!$D$6,MATCH(RAB!C146,'HARGA SATUAN'!$C$7:$C$1495,0),0))</f>
        <v/>
      </c>
      <c r="E146" s="306" t="str">
        <f ca="1">IF(B146="+","Unit",IF(ISERROR(OFFSET('HARGA SATUAN'!$E$6,MATCH(RAB!C146,'HARGA SATUAN'!$C$7:$C$1495,0),0)),"",OFFSET('HARGA SATUAN'!$E$6,MATCH(RAB!C146,'HARGA SATUAN'!$C$7:$C$1495,0),0)))</f>
        <v/>
      </c>
      <c r="F146" s="459"/>
      <c r="G146" s="307">
        <f ca="1">IF(ISERROR(OFFSET('HARGA SATUAN'!$I$6,MATCH(RAB!C146,'HARGA SATUAN'!$C$7:$C$1495,0),0)),0,OFFSET('HARGA SATUAN'!$I$6,MATCH(RAB!C146,'HARGA SATUAN'!$C$7:$C$1495,0),0))</f>
        <v>0</v>
      </c>
      <c r="H146" s="308">
        <f t="shared" ca="1" si="22"/>
        <v>0</v>
      </c>
      <c r="I146" s="308">
        <f t="shared" ca="1" si="23"/>
        <v>0</v>
      </c>
      <c r="J146" s="308">
        <f t="shared" ca="1" si="24"/>
        <v>0</v>
      </c>
      <c r="K146" s="309">
        <f t="shared" ca="1" si="25"/>
        <v>0</v>
      </c>
      <c r="L146" s="316"/>
      <c r="M146" s="289" t="str">
        <f t="shared" ca="1" si="26"/>
        <v/>
      </c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 hidden="1">
      <c r="A147" s="283"/>
      <c r="B147" s="450"/>
      <c r="C147" s="451"/>
      <c r="D147" s="305" t="str">
        <f ca="1">IF(ISERROR(OFFSET('HARGA SATUAN'!$D$6,MATCH(RAB!C147,'HARGA SATUAN'!$C$7:$C$1495,0),0)),"",OFFSET('HARGA SATUAN'!$D$6,MATCH(RAB!C147,'HARGA SATUAN'!$C$7:$C$1495,0),0))</f>
        <v/>
      </c>
      <c r="E147" s="306" t="str">
        <f ca="1">IF(B147="+","Unit",IF(ISERROR(OFFSET('HARGA SATUAN'!$E$6,MATCH(RAB!C147,'HARGA SATUAN'!$C$7:$C$1495,0),0)),"",OFFSET('HARGA SATUAN'!$E$6,MATCH(RAB!C147,'HARGA SATUAN'!$C$7:$C$1495,0),0)))</f>
        <v/>
      </c>
      <c r="F147" s="459"/>
      <c r="G147" s="307">
        <f ca="1">IF(ISERROR(OFFSET('HARGA SATUAN'!$I$6,MATCH(RAB!C147,'HARGA SATUAN'!$C$7:$C$1495,0),0)),0,OFFSET('HARGA SATUAN'!$I$6,MATCH(RAB!C147,'HARGA SATUAN'!$C$7:$C$1495,0),0))</f>
        <v>0</v>
      </c>
      <c r="H147" s="308">
        <f t="shared" ca="1" si="22"/>
        <v>0</v>
      </c>
      <c r="I147" s="308">
        <f t="shared" ca="1" si="23"/>
        <v>0</v>
      </c>
      <c r="J147" s="308">
        <f t="shared" ca="1" si="24"/>
        <v>0</v>
      </c>
      <c r="K147" s="309">
        <f t="shared" ca="1" si="25"/>
        <v>0</v>
      </c>
      <c r="L147" s="316"/>
      <c r="M147" s="289" t="str">
        <f t="shared" ca="1" si="26"/>
        <v/>
      </c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 hidden="1">
      <c r="A148" s="283"/>
      <c r="B148" s="450"/>
      <c r="C148" s="451"/>
      <c r="D148" s="305" t="str">
        <f ca="1">IF(ISERROR(OFFSET('HARGA SATUAN'!$D$6,MATCH(RAB!C148,'HARGA SATUAN'!$C$7:$C$1495,0),0)),"",OFFSET('HARGA SATUAN'!$D$6,MATCH(RAB!C148,'HARGA SATUAN'!$C$7:$C$1495,0),0))</f>
        <v/>
      </c>
      <c r="E148" s="306" t="str">
        <f ca="1">IF(B148="+","Unit",IF(ISERROR(OFFSET('HARGA SATUAN'!$E$6,MATCH(RAB!C148,'HARGA SATUAN'!$C$7:$C$1495,0),0)),"",OFFSET('HARGA SATUAN'!$E$6,MATCH(RAB!C148,'HARGA SATUAN'!$C$7:$C$1495,0),0)))</f>
        <v/>
      </c>
      <c r="F148" s="459"/>
      <c r="G148" s="307">
        <f ca="1">IF(ISERROR(OFFSET('HARGA SATUAN'!$I$6,MATCH(RAB!C148,'HARGA SATUAN'!$C$7:$C$1495,0),0)),0,OFFSET('HARGA SATUAN'!$I$6,MATCH(RAB!C148,'HARGA SATUAN'!$C$7:$C$1495,0),0))</f>
        <v>0</v>
      </c>
      <c r="H148" s="308">
        <f t="shared" ca="1" si="22"/>
        <v>0</v>
      </c>
      <c r="I148" s="308">
        <f t="shared" ca="1" si="23"/>
        <v>0</v>
      </c>
      <c r="J148" s="308">
        <f t="shared" ca="1" si="24"/>
        <v>0</v>
      </c>
      <c r="K148" s="309">
        <f t="shared" ca="1" si="25"/>
        <v>0</v>
      </c>
      <c r="L148" s="316"/>
      <c r="M148" s="289" t="str">
        <f t="shared" ca="1" si="26"/>
        <v/>
      </c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 hidden="1">
      <c r="A149" s="283"/>
      <c r="B149" s="450"/>
      <c r="C149" s="451"/>
      <c r="D149" s="305" t="str">
        <f ca="1">IF(ISERROR(OFFSET('HARGA SATUAN'!$D$6,MATCH(RAB!C149,'HARGA SATUAN'!$C$7:$C$1495,0),0)),"",OFFSET('HARGA SATUAN'!$D$6,MATCH(RAB!C149,'HARGA SATUAN'!$C$7:$C$1495,0),0))</f>
        <v/>
      </c>
      <c r="E149" s="306" t="str">
        <f ca="1">IF(B149="+","Unit",IF(ISERROR(OFFSET('HARGA SATUAN'!$E$6,MATCH(RAB!C149,'HARGA SATUAN'!$C$7:$C$1495,0),0)),"",OFFSET('HARGA SATUAN'!$E$6,MATCH(RAB!C149,'HARGA SATUAN'!$C$7:$C$1495,0),0)))</f>
        <v/>
      </c>
      <c r="F149" s="459"/>
      <c r="G149" s="307">
        <f ca="1">IF(ISERROR(OFFSET('HARGA SATUAN'!$I$6,MATCH(RAB!C149,'HARGA SATUAN'!$C$7:$C$1495,0),0)),0,OFFSET('HARGA SATUAN'!$I$6,MATCH(RAB!C149,'HARGA SATUAN'!$C$7:$C$1495,0),0))</f>
        <v>0</v>
      </c>
      <c r="H149" s="308">
        <f t="shared" ca="1" si="22"/>
        <v>0</v>
      </c>
      <c r="I149" s="308">
        <f t="shared" ca="1" si="23"/>
        <v>0</v>
      </c>
      <c r="J149" s="308">
        <f t="shared" ca="1" si="24"/>
        <v>0</v>
      </c>
      <c r="K149" s="309">
        <f t="shared" ca="1" si="25"/>
        <v>0</v>
      </c>
      <c r="L149" s="316"/>
      <c r="M149" s="289" t="str">
        <f t="shared" ca="1" si="26"/>
        <v/>
      </c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 hidden="1">
      <c r="A150" s="283"/>
      <c r="B150" s="450"/>
      <c r="C150" s="451"/>
      <c r="D150" s="305" t="str">
        <f ca="1">IF(ISERROR(OFFSET('HARGA SATUAN'!$D$6,MATCH(RAB!C150,'HARGA SATUAN'!$C$7:$C$1495,0),0)),"",OFFSET('HARGA SATUAN'!$D$6,MATCH(RAB!C150,'HARGA SATUAN'!$C$7:$C$1495,0),0))</f>
        <v/>
      </c>
      <c r="E150" s="306" t="str">
        <f ca="1">IF(B150="+","Unit",IF(ISERROR(OFFSET('HARGA SATUAN'!$E$6,MATCH(RAB!C150,'HARGA SATUAN'!$C$7:$C$1495,0),0)),"",OFFSET('HARGA SATUAN'!$E$6,MATCH(RAB!C150,'HARGA SATUAN'!$C$7:$C$1495,0),0)))</f>
        <v/>
      </c>
      <c r="F150" s="459"/>
      <c r="G150" s="307">
        <f ca="1">IF(ISERROR(OFFSET('HARGA SATUAN'!$I$6,MATCH(RAB!C150,'HARGA SATUAN'!$C$7:$C$1495,0),0)),0,OFFSET('HARGA SATUAN'!$I$6,MATCH(RAB!C150,'HARGA SATUAN'!$C$7:$C$1495,0),0))</f>
        <v>0</v>
      </c>
      <c r="H150" s="308">
        <f t="shared" ca="1" si="22"/>
        <v>0</v>
      </c>
      <c r="I150" s="308">
        <f t="shared" ca="1" si="23"/>
        <v>0</v>
      </c>
      <c r="J150" s="308">
        <f t="shared" ca="1" si="24"/>
        <v>0</v>
      </c>
      <c r="K150" s="309">
        <f t="shared" ca="1" si="25"/>
        <v>0</v>
      </c>
      <c r="L150" s="316"/>
      <c r="M150" s="289" t="str">
        <f t="shared" ca="1" si="26"/>
        <v/>
      </c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 hidden="1">
      <c r="A151" s="283"/>
      <c r="B151" s="450"/>
      <c r="C151" s="451"/>
      <c r="D151" s="305" t="str">
        <f ca="1">IF(ISERROR(OFFSET('HARGA SATUAN'!$D$6,MATCH(RAB!C151,'HARGA SATUAN'!$C$7:$C$1495,0),0)),"",OFFSET('HARGA SATUAN'!$D$6,MATCH(RAB!C151,'HARGA SATUAN'!$C$7:$C$1495,0),0))</f>
        <v/>
      </c>
      <c r="E151" s="306" t="str">
        <f ca="1">IF(B151="+","Unit",IF(ISERROR(OFFSET('HARGA SATUAN'!$E$6,MATCH(RAB!C151,'HARGA SATUAN'!$C$7:$C$1495,0),0)),"",OFFSET('HARGA SATUAN'!$E$6,MATCH(RAB!C151,'HARGA SATUAN'!$C$7:$C$1495,0),0)))</f>
        <v/>
      </c>
      <c r="F151" s="459"/>
      <c r="G151" s="307">
        <f ca="1">IF(ISERROR(OFFSET('HARGA SATUAN'!$I$6,MATCH(RAB!C151,'HARGA SATUAN'!$C$7:$C$1495,0),0)),0,OFFSET('HARGA SATUAN'!$I$6,MATCH(RAB!C151,'HARGA SATUAN'!$C$7:$C$1495,0),0))</f>
        <v>0</v>
      </c>
      <c r="H151" s="308">
        <f t="shared" ca="1" si="22"/>
        <v>0</v>
      </c>
      <c r="I151" s="308">
        <f t="shared" ca="1" si="23"/>
        <v>0</v>
      </c>
      <c r="J151" s="308">
        <f t="shared" ca="1" si="24"/>
        <v>0</v>
      </c>
      <c r="K151" s="309">
        <f t="shared" ca="1" si="25"/>
        <v>0</v>
      </c>
      <c r="L151" s="316"/>
      <c r="M151" s="289" t="str">
        <f t="shared" ca="1" si="26"/>
        <v/>
      </c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 hidden="1">
      <c r="A152" s="283"/>
      <c r="B152" s="450"/>
      <c r="C152" s="451"/>
      <c r="D152" s="305" t="str">
        <f ca="1">IF(ISERROR(OFFSET('HARGA SATUAN'!$D$6,MATCH(RAB!C152,'HARGA SATUAN'!$C$7:$C$1495,0),0)),"",OFFSET('HARGA SATUAN'!$D$6,MATCH(RAB!C152,'HARGA SATUAN'!$C$7:$C$1495,0),0))</f>
        <v/>
      </c>
      <c r="E152" s="306" t="str">
        <f ca="1">IF(B152="+","Unit",IF(ISERROR(OFFSET('HARGA SATUAN'!$E$6,MATCH(RAB!C152,'HARGA SATUAN'!$C$7:$C$1495,0),0)),"",OFFSET('HARGA SATUAN'!$E$6,MATCH(RAB!C152,'HARGA SATUAN'!$C$7:$C$1495,0),0)))</f>
        <v/>
      </c>
      <c r="F152" s="459"/>
      <c r="G152" s="307">
        <f ca="1">IF(ISERROR(OFFSET('HARGA SATUAN'!$I$6,MATCH(RAB!C152,'HARGA SATUAN'!$C$7:$C$1495,0),0)),0,OFFSET('HARGA SATUAN'!$I$6,MATCH(RAB!C152,'HARGA SATUAN'!$C$7:$C$1495,0),0))</f>
        <v>0</v>
      </c>
      <c r="H152" s="308">
        <f t="shared" ca="1" si="22"/>
        <v>0</v>
      </c>
      <c r="I152" s="308">
        <f t="shared" ca="1" si="23"/>
        <v>0</v>
      </c>
      <c r="J152" s="308">
        <f t="shared" ca="1" si="24"/>
        <v>0</v>
      </c>
      <c r="K152" s="309">
        <f t="shared" ca="1" si="25"/>
        <v>0</v>
      </c>
      <c r="L152" s="316"/>
      <c r="M152" s="289" t="str">
        <f t="shared" ca="1" si="26"/>
        <v/>
      </c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 hidden="1">
      <c r="A153" s="283"/>
      <c r="B153" s="450"/>
      <c r="C153" s="451"/>
      <c r="D153" s="305" t="str">
        <f ca="1">IF(ISERROR(OFFSET('HARGA SATUAN'!$D$6,MATCH(RAB!C153,'HARGA SATUAN'!$C$7:$C$1495,0),0)),"",OFFSET('HARGA SATUAN'!$D$6,MATCH(RAB!C153,'HARGA SATUAN'!$C$7:$C$1495,0),0))</f>
        <v/>
      </c>
      <c r="E153" s="306" t="str">
        <f ca="1">IF(B153="+","Unit",IF(ISERROR(OFFSET('HARGA SATUAN'!$E$6,MATCH(RAB!C153,'HARGA SATUAN'!$C$7:$C$1495,0),0)),"",OFFSET('HARGA SATUAN'!$E$6,MATCH(RAB!C153,'HARGA SATUAN'!$C$7:$C$1495,0),0)))</f>
        <v/>
      </c>
      <c r="F153" s="459"/>
      <c r="G153" s="307">
        <f ca="1">IF(ISERROR(OFFSET('HARGA SATUAN'!$I$6,MATCH(RAB!C153,'HARGA SATUAN'!$C$7:$C$1495,0),0)),0,OFFSET('HARGA SATUAN'!$I$6,MATCH(RAB!C153,'HARGA SATUAN'!$C$7:$C$1495,0),0))</f>
        <v>0</v>
      </c>
      <c r="H153" s="308">
        <f t="shared" ca="1" si="22"/>
        <v>0</v>
      </c>
      <c r="I153" s="308">
        <f t="shared" ca="1" si="23"/>
        <v>0</v>
      </c>
      <c r="J153" s="308">
        <f t="shared" ca="1" si="24"/>
        <v>0</v>
      </c>
      <c r="K153" s="309">
        <f t="shared" ca="1" si="25"/>
        <v>0</v>
      </c>
      <c r="L153" s="316"/>
      <c r="M153" s="289" t="str">
        <f t="shared" ca="1" si="26"/>
        <v/>
      </c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 hidden="1">
      <c r="A154" s="283"/>
      <c r="B154" s="450"/>
      <c r="C154" s="451"/>
      <c r="D154" s="305" t="str">
        <f ca="1">IF(ISERROR(OFFSET('HARGA SATUAN'!$D$6,MATCH(RAB!C154,'HARGA SATUAN'!$C$7:$C$1495,0),0)),"",OFFSET('HARGA SATUAN'!$D$6,MATCH(RAB!C154,'HARGA SATUAN'!$C$7:$C$1495,0),0))</f>
        <v/>
      </c>
      <c r="E154" s="306" t="str">
        <f ca="1">IF(B154="+","Unit",IF(ISERROR(OFFSET('HARGA SATUAN'!$E$6,MATCH(RAB!C154,'HARGA SATUAN'!$C$7:$C$1495,0),0)),"",OFFSET('HARGA SATUAN'!$E$6,MATCH(RAB!C154,'HARGA SATUAN'!$C$7:$C$1495,0),0)))</f>
        <v/>
      </c>
      <c r="F154" s="459"/>
      <c r="G154" s="307">
        <f ca="1">IF(ISERROR(OFFSET('HARGA SATUAN'!$I$6,MATCH(RAB!C154,'HARGA SATUAN'!$C$7:$C$1495,0),0)),0,OFFSET('HARGA SATUAN'!$I$6,MATCH(RAB!C154,'HARGA SATUAN'!$C$7:$C$1495,0),0))</f>
        <v>0</v>
      </c>
      <c r="H154" s="308">
        <f t="shared" ca="1" si="22"/>
        <v>0</v>
      </c>
      <c r="I154" s="308">
        <f t="shared" ca="1" si="23"/>
        <v>0</v>
      </c>
      <c r="J154" s="308">
        <f t="shared" ca="1" si="24"/>
        <v>0</v>
      </c>
      <c r="K154" s="309">
        <f t="shared" ca="1" si="25"/>
        <v>0</v>
      </c>
      <c r="L154" s="316"/>
      <c r="M154" s="289" t="str">
        <f t="shared" ca="1" si="26"/>
        <v/>
      </c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 hidden="1">
      <c r="A155" s="283"/>
      <c r="B155" s="450"/>
      <c r="C155" s="451"/>
      <c r="D155" s="305" t="str">
        <f ca="1">IF(ISERROR(OFFSET('HARGA SATUAN'!$D$6,MATCH(RAB!C155,'HARGA SATUAN'!$C$7:$C$1495,0),0)),"",OFFSET('HARGA SATUAN'!$D$6,MATCH(RAB!C155,'HARGA SATUAN'!$C$7:$C$1495,0),0))</f>
        <v/>
      </c>
      <c r="E155" s="306" t="str">
        <f ca="1">IF(B155="+","Unit",IF(ISERROR(OFFSET('HARGA SATUAN'!$E$6,MATCH(RAB!C155,'HARGA SATUAN'!$C$7:$C$1495,0),0)),"",OFFSET('HARGA SATUAN'!$E$6,MATCH(RAB!C155,'HARGA SATUAN'!$C$7:$C$1495,0),0)))</f>
        <v/>
      </c>
      <c r="F155" s="459"/>
      <c r="G155" s="307">
        <f ca="1">IF(ISERROR(OFFSET('HARGA SATUAN'!$I$6,MATCH(RAB!C155,'HARGA SATUAN'!$C$7:$C$1495,0),0)),0,OFFSET('HARGA SATUAN'!$I$6,MATCH(RAB!C155,'HARGA SATUAN'!$C$7:$C$1495,0),0))</f>
        <v>0</v>
      </c>
      <c r="H155" s="308">
        <f t="shared" ca="1" si="22"/>
        <v>0</v>
      </c>
      <c r="I155" s="308">
        <f t="shared" ca="1" si="23"/>
        <v>0</v>
      </c>
      <c r="J155" s="308">
        <f t="shared" ca="1" si="24"/>
        <v>0</v>
      </c>
      <c r="K155" s="309">
        <f t="shared" ca="1" si="25"/>
        <v>0</v>
      </c>
      <c r="L155" s="316"/>
      <c r="M155" s="289" t="str">
        <f t="shared" ca="1" si="26"/>
        <v/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 hidden="1">
      <c r="A156" s="283"/>
      <c r="B156" s="450"/>
      <c r="C156" s="451"/>
      <c r="D156" s="305" t="str">
        <f ca="1">IF(ISERROR(OFFSET('HARGA SATUAN'!$D$6,MATCH(RAB!C156,'HARGA SATUAN'!$C$7:$C$1495,0),0)),"",OFFSET('HARGA SATUAN'!$D$6,MATCH(RAB!C156,'HARGA SATUAN'!$C$7:$C$1495,0),0))</f>
        <v/>
      </c>
      <c r="E156" s="306" t="str">
        <f ca="1">IF(B156="+","Unit",IF(ISERROR(OFFSET('HARGA SATUAN'!$E$6,MATCH(RAB!C156,'HARGA SATUAN'!$C$7:$C$1495,0),0)),"",OFFSET('HARGA SATUAN'!$E$6,MATCH(RAB!C156,'HARGA SATUAN'!$C$7:$C$1495,0),0)))</f>
        <v/>
      </c>
      <c r="F156" s="459"/>
      <c r="G156" s="307">
        <f ca="1">IF(ISERROR(OFFSET('HARGA SATUAN'!$I$6,MATCH(RAB!C156,'HARGA SATUAN'!$C$7:$C$1495,0),0)),0,OFFSET('HARGA SATUAN'!$I$6,MATCH(RAB!C156,'HARGA SATUAN'!$C$7:$C$1495,0),0))</f>
        <v>0</v>
      </c>
      <c r="H156" s="308">
        <f t="shared" ca="1" si="22"/>
        <v>0</v>
      </c>
      <c r="I156" s="308">
        <f t="shared" ca="1" si="23"/>
        <v>0</v>
      </c>
      <c r="J156" s="308">
        <f t="shared" ca="1" si="24"/>
        <v>0</v>
      </c>
      <c r="K156" s="309">
        <f t="shared" ca="1" si="25"/>
        <v>0</v>
      </c>
      <c r="L156" s="316"/>
      <c r="M156" s="289" t="str">
        <f t="shared" ca="1" si="26"/>
        <v/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 hidden="1">
      <c r="A157" s="283"/>
      <c r="B157" s="450"/>
      <c r="C157" s="451"/>
      <c r="D157" s="305" t="str">
        <f ca="1">IF(ISERROR(OFFSET('HARGA SATUAN'!$D$6,MATCH(RAB!C157,'HARGA SATUAN'!$C$7:$C$1495,0),0)),"",OFFSET('HARGA SATUAN'!$D$6,MATCH(RAB!C157,'HARGA SATUAN'!$C$7:$C$1495,0),0))</f>
        <v/>
      </c>
      <c r="E157" s="306" t="str">
        <f ca="1">IF(B157="+","Unit",IF(ISERROR(OFFSET('HARGA SATUAN'!$E$6,MATCH(RAB!C157,'HARGA SATUAN'!$C$7:$C$1495,0),0)),"",OFFSET('HARGA SATUAN'!$E$6,MATCH(RAB!C157,'HARGA SATUAN'!$C$7:$C$1495,0),0)))</f>
        <v/>
      </c>
      <c r="F157" s="459"/>
      <c r="G157" s="307">
        <f ca="1">IF(ISERROR(OFFSET('HARGA SATUAN'!$I$6,MATCH(RAB!C157,'HARGA SATUAN'!$C$7:$C$1495,0),0)),0,OFFSET('HARGA SATUAN'!$I$6,MATCH(RAB!C157,'HARGA SATUAN'!$C$7:$C$1495,0),0))</f>
        <v>0</v>
      </c>
      <c r="H157" s="308">
        <f t="shared" ca="1" si="22"/>
        <v>0</v>
      </c>
      <c r="I157" s="308">
        <f t="shared" ca="1" si="23"/>
        <v>0</v>
      </c>
      <c r="J157" s="308">
        <f t="shared" ca="1" si="24"/>
        <v>0</v>
      </c>
      <c r="K157" s="309">
        <f t="shared" ca="1" si="25"/>
        <v>0</v>
      </c>
      <c r="L157" s="316"/>
      <c r="M157" s="289" t="str">
        <f t="shared" ca="1" si="26"/>
        <v/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 hidden="1">
      <c r="A158" s="283"/>
      <c r="B158" s="450"/>
      <c r="C158" s="451"/>
      <c r="D158" s="305" t="str">
        <f ca="1">IF(ISERROR(OFFSET('HARGA SATUAN'!$D$6,MATCH(RAB!C158,'HARGA SATUAN'!$C$7:$C$1495,0),0)),"",OFFSET('HARGA SATUAN'!$D$6,MATCH(RAB!C158,'HARGA SATUAN'!$C$7:$C$1495,0),0))</f>
        <v/>
      </c>
      <c r="E158" s="306" t="str">
        <f ca="1">IF(B158="+","Unit",IF(ISERROR(OFFSET('HARGA SATUAN'!$E$6,MATCH(RAB!C158,'HARGA SATUAN'!$C$7:$C$1495,0),0)),"",OFFSET('HARGA SATUAN'!$E$6,MATCH(RAB!C158,'HARGA SATUAN'!$C$7:$C$1495,0),0)))</f>
        <v/>
      </c>
      <c r="F158" s="459"/>
      <c r="G158" s="307">
        <f ca="1">IF(ISERROR(OFFSET('HARGA SATUAN'!$I$6,MATCH(RAB!C158,'HARGA SATUAN'!$C$7:$C$1495,0),0)),0,OFFSET('HARGA SATUAN'!$I$6,MATCH(RAB!C158,'HARGA SATUAN'!$C$7:$C$1495,0),0))</f>
        <v>0</v>
      </c>
      <c r="H158" s="308">
        <f t="shared" ca="1" si="22"/>
        <v>0</v>
      </c>
      <c r="I158" s="308">
        <f t="shared" ca="1" si="23"/>
        <v>0</v>
      </c>
      <c r="J158" s="308">
        <f t="shared" ca="1" si="24"/>
        <v>0</v>
      </c>
      <c r="K158" s="309">
        <f t="shared" ca="1" si="25"/>
        <v>0</v>
      </c>
      <c r="L158" s="316"/>
      <c r="M158" s="289" t="str">
        <f t="shared" ca="1" si="26"/>
        <v/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 hidden="1">
      <c r="A159" s="283"/>
      <c r="B159" s="450"/>
      <c r="C159" s="451"/>
      <c r="D159" s="305" t="str">
        <f ca="1">IF(ISERROR(OFFSET('HARGA SATUAN'!$D$6,MATCH(RAB!C159,'HARGA SATUAN'!$C$7:$C$1495,0),0)),"",OFFSET('HARGA SATUAN'!$D$6,MATCH(RAB!C159,'HARGA SATUAN'!$C$7:$C$1495,0),0))</f>
        <v/>
      </c>
      <c r="E159" s="306" t="str">
        <f ca="1">IF(B159="+","Unit",IF(ISERROR(OFFSET('HARGA SATUAN'!$E$6,MATCH(RAB!C159,'HARGA SATUAN'!$C$7:$C$1495,0),0)),"",OFFSET('HARGA SATUAN'!$E$6,MATCH(RAB!C159,'HARGA SATUAN'!$C$7:$C$1495,0),0)))</f>
        <v/>
      </c>
      <c r="F159" s="459"/>
      <c r="G159" s="307">
        <f ca="1">IF(ISERROR(OFFSET('HARGA SATUAN'!$I$6,MATCH(RAB!C159,'HARGA SATUAN'!$C$7:$C$1495,0),0)),0,OFFSET('HARGA SATUAN'!$I$6,MATCH(RAB!C159,'HARGA SATUAN'!$C$7:$C$1495,0),0))</f>
        <v>0</v>
      </c>
      <c r="H159" s="308">
        <f t="shared" ca="1" si="22"/>
        <v>0</v>
      </c>
      <c r="I159" s="308">
        <f t="shared" ca="1" si="23"/>
        <v>0</v>
      </c>
      <c r="J159" s="308">
        <f t="shared" ca="1" si="24"/>
        <v>0</v>
      </c>
      <c r="K159" s="309">
        <f t="shared" ca="1" si="25"/>
        <v>0</v>
      </c>
      <c r="L159" s="316"/>
      <c r="M159" s="289" t="str">
        <f t="shared" ca="1" si="26"/>
        <v/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 hidden="1">
      <c r="A160" s="283"/>
      <c r="B160" s="450"/>
      <c r="C160" s="451"/>
      <c r="D160" s="305" t="str">
        <f ca="1">IF(ISERROR(OFFSET('HARGA SATUAN'!$D$6,MATCH(RAB!C160,'HARGA SATUAN'!$C$7:$C$1495,0),0)),"",OFFSET('HARGA SATUAN'!$D$6,MATCH(RAB!C160,'HARGA SATUAN'!$C$7:$C$1495,0),0))</f>
        <v/>
      </c>
      <c r="E160" s="306" t="str">
        <f ca="1">IF(B160="+","Unit",IF(ISERROR(OFFSET('HARGA SATUAN'!$E$6,MATCH(RAB!C160,'HARGA SATUAN'!$C$7:$C$1495,0),0)),"",OFFSET('HARGA SATUAN'!$E$6,MATCH(RAB!C160,'HARGA SATUAN'!$C$7:$C$1495,0),0)))</f>
        <v/>
      </c>
      <c r="F160" s="459"/>
      <c r="G160" s="307">
        <f ca="1">IF(ISERROR(OFFSET('HARGA SATUAN'!$I$6,MATCH(RAB!C160,'HARGA SATUAN'!$C$7:$C$1495,0),0)),0,OFFSET('HARGA SATUAN'!$I$6,MATCH(RAB!C160,'HARGA SATUAN'!$C$7:$C$1495,0),0))</f>
        <v>0</v>
      </c>
      <c r="H160" s="308">
        <f t="shared" ca="1" si="22"/>
        <v>0</v>
      </c>
      <c r="I160" s="308">
        <f t="shared" ca="1" si="23"/>
        <v>0</v>
      </c>
      <c r="J160" s="308">
        <f t="shared" ca="1" si="24"/>
        <v>0</v>
      </c>
      <c r="K160" s="309">
        <f t="shared" ca="1" si="25"/>
        <v>0</v>
      </c>
      <c r="L160" s="316"/>
      <c r="M160" s="289" t="str">
        <f t="shared" ca="1" si="26"/>
        <v/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 hidden="1">
      <c r="A161" s="283"/>
      <c r="B161" s="450"/>
      <c r="C161" s="451"/>
      <c r="D161" s="305" t="str">
        <f ca="1">IF(ISERROR(OFFSET('HARGA SATUAN'!$D$6,MATCH(RAB!C161,'HARGA SATUAN'!$C$7:$C$1495,0),0)),"",OFFSET('HARGA SATUAN'!$D$6,MATCH(RAB!C161,'HARGA SATUAN'!$C$7:$C$1495,0),0))</f>
        <v/>
      </c>
      <c r="E161" s="306" t="str">
        <f ca="1">IF(B161="+","Unit",IF(ISERROR(OFFSET('HARGA SATUAN'!$E$6,MATCH(RAB!C161,'HARGA SATUAN'!$C$7:$C$1495,0),0)),"",OFFSET('HARGA SATUAN'!$E$6,MATCH(RAB!C161,'HARGA SATUAN'!$C$7:$C$1495,0),0)))</f>
        <v/>
      </c>
      <c r="F161" s="459"/>
      <c r="G161" s="307">
        <f ca="1">IF(ISERROR(OFFSET('HARGA SATUAN'!$I$6,MATCH(RAB!C161,'HARGA SATUAN'!$C$7:$C$1495,0),0)),0,OFFSET('HARGA SATUAN'!$I$6,MATCH(RAB!C161,'HARGA SATUAN'!$C$7:$C$1495,0),0))</f>
        <v>0</v>
      </c>
      <c r="H161" s="308">
        <f t="shared" ca="1" si="22"/>
        <v>0</v>
      </c>
      <c r="I161" s="308">
        <f t="shared" ca="1" si="23"/>
        <v>0</v>
      </c>
      <c r="J161" s="308">
        <f t="shared" ca="1" si="24"/>
        <v>0</v>
      </c>
      <c r="K161" s="309">
        <f t="shared" ca="1" si="25"/>
        <v>0</v>
      </c>
      <c r="L161" s="316"/>
      <c r="M161" s="289" t="str">
        <f t="shared" ca="1" si="26"/>
        <v/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 hidden="1">
      <c r="A162" s="283"/>
      <c r="B162" s="450"/>
      <c r="C162" s="451"/>
      <c r="D162" s="305" t="str">
        <f ca="1">IF(ISERROR(OFFSET('HARGA SATUAN'!$D$6,MATCH(RAB!C162,'HARGA SATUAN'!$C$7:$C$1495,0),0)),"",OFFSET('HARGA SATUAN'!$D$6,MATCH(RAB!C162,'HARGA SATUAN'!$C$7:$C$1495,0),0))</f>
        <v/>
      </c>
      <c r="E162" s="306" t="str">
        <f ca="1">IF(B162="+","Unit",IF(ISERROR(OFFSET('HARGA SATUAN'!$E$6,MATCH(RAB!C162,'HARGA SATUAN'!$C$7:$C$1495,0),0)),"",OFFSET('HARGA SATUAN'!$E$6,MATCH(RAB!C162,'HARGA SATUAN'!$C$7:$C$1495,0),0)))</f>
        <v/>
      </c>
      <c r="F162" s="459"/>
      <c r="G162" s="307">
        <f ca="1">IF(ISERROR(OFFSET('HARGA SATUAN'!$I$6,MATCH(RAB!C162,'HARGA SATUAN'!$C$7:$C$1495,0),0)),0,OFFSET('HARGA SATUAN'!$I$6,MATCH(RAB!C162,'HARGA SATUAN'!$C$7:$C$1495,0),0))</f>
        <v>0</v>
      </c>
      <c r="H162" s="308">
        <f t="shared" ca="1" si="22"/>
        <v>0</v>
      </c>
      <c r="I162" s="308">
        <f t="shared" ca="1" si="23"/>
        <v>0</v>
      </c>
      <c r="J162" s="308">
        <f t="shared" ca="1" si="24"/>
        <v>0</v>
      </c>
      <c r="K162" s="309">
        <f t="shared" ca="1" si="25"/>
        <v>0</v>
      </c>
      <c r="L162" s="316"/>
      <c r="M162" s="289" t="str">
        <f t="shared" ca="1" si="26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 hidden="1">
      <c r="A163" s="283"/>
      <c r="B163" s="450"/>
      <c r="C163" s="451"/>
      <c r="D163" s="305" t="str">
        <f ca="1">IF(ISERROR(OFFSET('HARGA SATUAN'!$D$6,MATCH(RAB!C163,'HARGA SATUAN'!$C$7:$C$1495,0),0)),"",OFFSET('HARGA SATUAN'!$D$6,MATCH(RAB!C163,'HARGA SATUAN'!$C$7:$C$1495,0),0))</f>
        <v/>
      </c>
      <c r="E163" s="306" t="str">
        <f ca="1">IF(B163="+","Unit",IF(ISERROR(OFFSET('HARGA SATUAN'!$E$6,MATCH(RAB!C163,'HARGA SATUAN'!$C$7:$C$1495,0),0)),"",OFFSET('HARGA SATUAN'!$E$6,MATCH(RAB!C163,'HARGA SATUAN'!$C$7:$C$1495,0),0)))</f>
        <v/>
      </c>
      <c r="F163" s="459"/>
      <c r="G163" s="307">
        <f ca="1">IF(ISERROR(OFFSET('HARGA SATUAN'!$I$6,MATCH(RAB!C163,'HARGA SATUAN'!$C$7:$C$1495,0),0)),0,OFFSET('HARGA SATUAN'!$I$6,MATCH(RAB!C163,'HARGA SATUAN'!$C$7:$C$1495,0),0))</f>
        <v>0</v>
      </c>
      <c r="H163" s="308">
        <f t="shared" ca="1" si="22"/>
        <v>0</v>
      </c>
      <c r="I163" s="308">
        <f t="shared" ca="1" si="23"/>
        <v>0</v>
      </c>
      <c r="J163" s="308">
        <f t="shared" ca="1" si="24"/>
        <v>0</v>
      </c>
      <c r="K163" s="309">
        <f t="shared" ca="1" si="25"/>
        <v>0</v>
      </c>
      <c r="L163" s="316"/>
      <c r="M163" s="289" t="str">
        <f t="shared" ca="1" si="26"/>
        <v/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 hidden="1">
      <c r="A164" s="283"/>
      <c r="B164" s="450"/>
      <c r="C164" s="451"/>
      <c r="D164" s="305" t="str">
        <f ca="1">IF(ISERROR(OFFSET('HARGA SATUAN'!$D$6,MATCH(RAB!C164,'HARGA SATUAN'!$C$7:$C$1495,0),0)),"",OFFSET('HARGA SATUAN'!$D$6,MATCH(RAB!C164,'HARGA SATUAN'!$C$7:$C$1495,0),0))</f>
        <v/>
      </c>
      <c r="E164" s="306" t="str">
        <f ca="1">IF(B164="+","Unit",IF(ISERROR(OFFSET('HARGA SATUAN'!$E$6,MATCH(RAB!C164,'HARGA SATUAN'!$C$7:$C$1495,0),0)),"",OFFSET('HARGA SATUAN'!$E$6,MATCH(RAB!C164,'HARGA SATUAN'!$C$7:$C$1495,0),0)))</f>
        <v/>
      </c>
      <c r="F164" s="459"/>
      <c r="G164" s="307">
        <f ca="1">IF(ISERROR(OFFSET('HARGA SATUAN'!$I$6,MATCH(RAB!C164,'HARGA SATUAN'!$C$7:$C$1495,0),0)),0,OFFSET('HARGA SATUAN'!$I$6,MATCH(RAB!C164,'HARGA SATUAN'!$C$7:$C$1495,0),0))</f>
        <v>0</v>
      </c>
      <c r="H164" s="308">
        <f t="shared" ca="1" si="22"/>
        <v>0</v>
      </c>
      <c r="I164" s="308">
        <f t="shared" ca="1" si="23"/>
        <v>0</v>
      </c>
      <c r="J164" s="308">
        <f t="shared" ca="1" si="24"/>
        <v>0</v>
      </c>
      <c r="K164" s="309">
        <f t="shared" ca="1" si="25"/>
        <v>0</v>
      </c>
      <c r="L164" s="316"/>
      <c r="M164" s="289" t="str">
        <f t="shared" ca="1" si="26"/>
        <v/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 hidden="1">
      <c r="A165" s="283"/>
      <c r="B165" s="450"/>
      <c r="C165" s="451"/>
      <c r="D165" s="305" t="str">
        <f ca="1">IF(ISERROR(OFFSET('HARGA SATUAN'!$D$6,MATCH(RAB!C165,'HARGA SATUAN'!$C$7:$C$1495,0),0)),"",OFFSET('HARGA SATUAN'!$D$6,MATCH(RAB!C165,'HARGA SATUAN'!$C$7:$C$1495,0),0))</f>
        <v/>
      </c>
      <c r="E165" s="306" t="str">
        <f ca="1">IF(B165="+","Unit",IF(ISERROR(OFFSET('HARGA SATUAN'!$E$6,MATCH(RAB!C165,'HARGA SATUAN'!$C$7:$C$1495,0),0)),"",OFFSET('HARGA SATUAN'!$E$6,MATCH(RAB!C165,'HARGA SATUAN'!$C$7:$C$1495,0),0)))</f>
        <v/>
      </c>
      <c r="F165" s="459"/>
      <c r="G165" s="307">
        <f ca="1">IF(ISERROR(OFFSET('HARGA SATUAN'!$I$6,MATCH(RAB!C165,'HARGA SATUAN'!$C$7:$C$1495,0),0)),0,OFFSET('HARGA SATUAN'!$I$6,MATCH(RAB!C165,'HARGA SATUAN'!$C$7:$C$1495,0),0))</f>
        <v>0</v>
      </c>
      <c r="H165" s="308">
        <f t="shared" ca="1" si="22"/>
        <v>0</v>
      </c>
      <c r="I165" s="308">
        <f t="shared" ca="1" si="23"/>
        <v>0</v>
      </c>
      <c r="J165" s="308">
        <f t="shared" ca="1" si="24"/>
        <v>0</v>
      </c>
      <c r="K165" s="309">
        <f t="shared" ca="1" si="25"/>
        <v>0</v>
      </c>
      <c r="L165" s="316"/>
      <c r="M165" s="289" t="str">
        <f t="shared" ca="1" si="26"/>
        <v/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>
      <c r="A166" s="283"/>
      <c r="B166" s="419" t="s">
        <v>1602</v>
      </c>
      <c r="C166" s="422" t="s">
        <v>1604</v>
      </c>
      <c r="D166" s="305" t="str">
        <f ca="1">IF(ISERROR(OFFSET('HARGA SATUAN'!$D$6,MATCH(RAB!C166,'HARGA SATUAN'!$C$7:$C$1495,0),0)),"",OFFSET('HARGA SATUAN'!$D$6,MATCH(RAB!C166,'HARGA SATUAN'!$C$7:$C$1495,0),0))</f>
        <v/>
      </c>
      <c r="E166" s="306" t="str">
        <f ca="1">IF(B166="+","Unit",IF(ISERROR(OFFSET('HARGA SATUAN'!$E$6,MATCH(RAB!C166,'HARGA SATUAN'!$C$7:$C$1495,0),0)),"",OFFSET('HARGA SATUAN'!$E$6,MATCH(RAB!C166,'HARGA SATUAN'!$C$7:$C$1495,0),0)))</f>
        <v/>
      </c>
      <c r="F166" s="460"/>
      <c r="G166" s="307">
        <f ca="1">IF(ISERROR(OFFSET('HARGA SATUAN'!$I$6,MATCH(RAB!C166,'HARGA SATUAN'!$C$7:$C$1495,0),0)),0,OFFSET('HARGA SATUAN'!$I$6,MATCH(RAB!C166,'HARGA SATUAN'!$C$7:$C$1495,0),0))</f>
        <v>0</v>
      </c>
      <c r="H166" s="308">
        <f t="shared" ref="H166:H169" ca="1" si="27">IF(OR(D166="MDU",D166="MDU-KD"),(IF($O$3="RAB NON MDU","PLN KD",G166*F166)),0)</f>
        <v>0</v>
      </c>
      <c r="I166" s="308">
        <f t="shared" ref="I166:I169" ca="1" si="28">IF(D166="HDW",G166*F166,0)</f>
        <v>0</v>
      </c>
      <c r="J166" s="308">
        <f t="shared" ref="J166:J169" ca="1" si="29">IF(D166="JASA",G166*F166,0)</f>
        <v>0</v>
      </c>
      <c r="K166" s="309">
        <f t="shared" ref="K166:K169" ca="1" si="30">SUM(H166:J166)</f>
        <v>0</v>
      </c>
      <c r="L166" s="316"/>
      <c r="M166" s="289" t="str">
        <f t="shared" ca="1" si="26"/>
        <v/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>
      <c r="A167" s="283"/>
      <c r="B167" s="318">
        <v>1</v>
      </c>
      <c r="C167" s="109" t="s">
        <v>1457</v>
      </c>
      <c r="D167" s="305" t="str">
        <f ca="1">IF(ISERROR(OFFSET('HARGA SATUAN'!$D$6,MATCH(RAB!C167,'HARGA SATUAN'!$C$7:$C$1495,0),0)),"",OFFSET('HARGA SATUAN'!$D$6,MATCH(RAB!C167,'HARGA SATUAN'!$C$7:$C$1495,0),0))</f>
        <v>MDU-KD</v>
      </c>
      <c r="E167" s="306" t="str">
        <f ca="1">IF(B167="+","Unit",IF(ISERROR(OFFSET('HARGA SATUAN'!$E$6,MATCH(RAB!C167,'HARGA SATUAN'!$C$7:$C$1495,0),0)),"",OFFSET('HARGA SATUAN'!$E$6,MATCH(RAB!C167,'HARGA SATUAN'!$C$7:$C$1495,0),0)))</f>
        <v>Mtr</v>
      </c>
      <c r="F167" s="458">
        <v>180</v>
      </c>
      <c r="G167" s="307">
        <f ca="1">IF(ISERROR(OFFSET('HARGA SATUAN'!$I$6,MATCH(RAB!C167,'HARGA SATUAN'!$C$7:$C$1495,0),0)),0,OFFSET('HARGA SATUAN'!$I$6,MATCH(RAB!C167,'HARGA SATUAN'!$C$7:$C$1495,0),0))</f>
        <v>54500</v>
      </c>
      <c r="H167" s="308">
        <f t="shared" ca="1" si="27"/>
        <v>9810000</v>
      </c>
      <c r="I167" s="308">
        <f t="shared" ca="1" si="28"/>
        <v>0</v>
      </c>
      <c r="J167" s="308">
        <f t="shared" ca="1" si="29"/>
        <v>0</v>
      </c>
      <c r="K167" s="309">
        <f t="shared" ca="1" si="30"/>
        <v>9810000</v>
      </c>
      <c r="L167" s="316"/>
      <c r="M167" s="289" t="str">
        <f t="shared" si="26"/>
        <v/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>
      <c r="A168" s="283"/>
      <c r="B168" s="318">
        <v>2</v>
      </c>
      <c r="C168" s="109" t="s">
        <v>346</v>
      </c>
      <c r="D168" s="305" t="str">
        <f ca="1">IF(ISERROR(OFFSET('HARGA SATUAN'!$D$6,MATCH(RAB!C168,'HARGA SATUAN'!$C$7:$C$1495,0),0)),"",OFFSET('HARGA SATUAN'!$D$6,MATCH(RAB!C168,'HARGA SATUAN'!$C$7:$C$1495,0),0))</f>
        <v>JASA</v>
      </c>
      <c r="E168" s="306" t="str">
        <f ca="1">IF(B168="+","Unit",IF(ISERROR(OFFSET('HARGA SATUAN'!$E$6,MATCH(RAB!C168,'HARGA SATUAN'!$C$7:$C$1495,0),0)),"",OFFSET('HARGA SATUAN'!$E$6,MATCH(RAB!C168,'HARGA SATUAN'!$C$7:$C$1495,0),0)))</f>
        <v>Per 50 m</v>
      </c>
      <c r="F168" s="464">
        <v>3.6</v>
      </c>
      <c r="G168" s="307">
        <f ca="1">IF(ISERROR(OFFSET('HARGA SATUAN'!$I$6,MATCH(RAB!C168,'HARGA SATUAN'!$C$7:$C$1495,0),0)),0,OFFSET('HARGA SATUAN'!$I$6,MATCH(RAB!C168,'HARGA SATUAN'!$C$7:$C$1495,0),0))</f>
        <v>223500</v>
      </c>
      <c r="H168" s="308">
        <f t="shared" ca="1" si="27"/>
        <v>0</v>
      </c>
      <c r="I168" s="308">
        <f t="shared" ca="1" si="28"/>
        <v>0</v>
      </c>
      <c r="J168" s="308">
        <f t="shared" ca="1" si="29"/>
        <v>804600</v>
      </c>
      <c r="K168" s="309">
        <f t="shared" ca="1" si="30"/>
        <v>804600</v>
      </c>
      <c r="L168" s="316"/>
      <c r="M168" s="289" t="str">
        <f t="shared" ca="1" si="26"/>
        <v/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>
      <c r="A169" s="283"/>
      <c r="B169" s="318">
        <v>3</v>
      </c>
      <c r="C169" s="109" t="s">
        <v>65</v>
      </c>
      <c r="D169" s="305" t="str">
        <f ca="1">IF(ISERROR(OFFSET('HARGA SATUAN'!$D$6,MATCH(RAB!C169,'HARGA SATUAN'!$C$7:$C$1495,0),0)),"",OFFSET('HARGA SATUAN'!$D$6,MATCH(RAB!C169,'HARGA SATUAN'!$C$7:$C$1495,0),0))</f>
        <v>MDU-KD</v>
      </c>
      <c r="E169" s="306" t="str">
        <f ca="1">IF(B169="+","Unit",IF(ISERROR(OFFSET('HARGA SATUAN'!$E$6,MATCH(RAB!C169,'HARGA SATUAN'!$C$7:$C$1495,0),0)),"",OFFSET('HARGA SATUAN'!$E$6,MATCH(RAB!C169,'HARGA SATUAN'!$C$7:$C$1495,0),0)))</f>
        <v>Mtr</v>
      </c>
      <c r="F169" s="771" t="s">
        <v>1660</v>
      </c>
      <c r="G169" s="307">
        <f ca="1">IF(ISERROR(OFFSET('HARGA SATUAN'!$I$6,MATCH(RAB!C169,'HARGA SATUAN'!$C$7:$C$1495,0),0)),0,OFFSET('HARGA SATUAN'!$I$6,MATCH(RAB!C169,'HARGA SATUAN'!$C$7:$C$1495,0),0))</f>
        <v>14200</v>
      </c>
      <c r="H169" s="308">
        <f t="shared" ca="1" si="27"/>
        <v>1420000</v>
      </c>
      <c r="I169" s="308">
        <f t="shared" ca="1" si="28"/>
        <v>0</v>
      </c>
      <c r="J169" s="308">
        <f t="shared" ca="1" si="29"/>
        <v>0</v>
      </c>
      <c r="K169" s="309">
        <f t="shared" ca="1" si="30"/>
        <v>1420000</v>
      </c>
      <c r="L169" s="316"/>
      <c r="M169" s="289"/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>
      <c r="A170" s="283"/>
      <c r="B170" s="318">
        <v>4</v>
      </c>
      <c r="C170" s="109" t="s">
        <v>301</v>
      </c>
      <c r="D170" s="305" t="str">
        <f ca="1">IF(ISERROR(OFFSET('HARGA SATUAN'!$D$6,MATCH(RAB!C170,'HARGA SATUAN'!$C$7:$C$1495,0),0)),"",OFFSET('HARGA SATUAN'!$D$6,MATCH(RAB!C170,'HARGA SATUAN'!$C$7:$C$1495,0),0))</f>
        <v>JASA</v>
      </c>
      <c r="E170" s="306" t="str">
        <f ca="1">IF(B170="+","Unit",IF(ISERROR(OFFSET('HARGA SATUAN'!$E$6,MATCH(RAB!C170,'HARGA SATUAN'!$C$7:$C$1495,0),0)),"",OFFSET('HARGA SATUAN'!$E$6,MATCH(RAB!C170,'HARGA SATUAN'!$C$7:$C$1495,0),0)))</f>
        <v>Per 50 m</v>
      </c>
      <c r="F170" s="458">
        <v>2</v>
      </c>
      <c r="G170" s="307">
        <f ca="1">IF(ISERROR(OFFSET('HARGA SATUAN'!$I$6,MATCH(RAB!C170,'HARGA SATUAN'!$C$7:$C$1495,0),0)),0,OFFSET('HARGA SATUAN'!$I$6,MATCH(RAB!C170,'HARGA SATUAN'!$C$7:$C$1495,0),0))</f>
        <v>300100</v>
      </c>
      <c r="H170" s="308">
        <f t="shared" ref="H170" ca="1" si="31">IF(OR(D170="MDU",D170="MDU-KD"),(IF($O$3="RAB NON MDU","PLN KD",G170*F170)),0)</f>
        <v>0</v>
      </c>
      <c r="I170" s="308">
        <f t="shared" ref="I170" ca="1" si="32">IF(D170="HDW",G170*F170,0)</f>
        <v>0</v>
      </c>
      <c r="J170" s="308">
        <f t="shared" ref="J170" ca="1" si="33">IF(D170="JASA",G170*F170,0)</f>
        <v>600200</v>
      </c>
      <c r="K170" s="309">
        <f t="shared" ref="K170" ca="1" si="34">SUM(H170:J170)</f>
        <v>600200</v>
      </c>
      <c r="L170" s="316"/>
      <c r="M170" s="289" t="e">
        <f>IF(AND(F170&gt;0,#REF!=0),"",IF(AND(ISBLANK(F170)=FALSE,K170=0),"WARNING",""))</f>
        <v>#REF!</v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>
      <c r="A171" s="283"/>
      <c r="B171" s="419" t="s">
        <v>1610</v>
      </c>
      <c r="C171" s="422" t="s">
        <v>1606</v>
      </c>
      <c r="D171" s="305" t="str">
        <f ca="1">IF(ISERROR(OFFSET('HARGA SATUAN'!$D$6,MATCH(RAB!C171,'HARGA SATUAN'!$C$7:$C$1495,0),0)),"",OFFSET('HARGA SATUAN'!$D$6,MATCH(RAB!C171,'HARGA SATUAN'!$C$7:$C$1495,0),0))</f>
        <v/>
      </c>
      <c r="E171" s="306" t="str">
        <f ca="1">IF(B171="+","Unit",IF(ISERROR(OFFSET('HARGA SATUAN'!$E$6,MATCH(RAB!C171,'HARGA SATUAN'!$C$7:$C$1495,0),0)),"",OFFSET('HARGA SATUAN'!$E$6,MATCH(RAB!C171,'HARGA SATUAN'!$C$7:$C$1495,0),0)))</f>
        <v/>
      </c>
      <c r="F171" s="461"/>
      <c r="G171" s="307">
        <f ca="1">IF(ISERROR(OFFSET('HARGA SATUAN'!$I$6,MATCH(RAB!C171,'HARGA SATUAN'!$C$7:$C$1495,0),0)),0,OFFSET('HARGA SATUAN'!$I$6,MATCH(RAB!C171,'HARGA SATUAN'!$C$7:$C$1495,0),0))</f>
        <v>0</v>
      </c>
      <c r="H171" s="308">
        <f t="shared" ref="H171:H197" ca="1" si="35">IF(OR(D171="MDU",D171="MDU-KD"),(IF($O$3="RAB NON MDU","PLN KD",G171*F171)),0)</f>
        <v>0</v>
      </c>
      <c r="I171" s="308">
        <f t="shared" ref="I171:I197" ca="1" si="36">IF(D171="HDW",G171*F171,0)</f>
        <v>0</v>
      </c>
      <c r="J171" s="308">
        <f t="shared" ref="J171:J197" ca="1" si="37">IF(D171="JASA",G171*F171,0)</f>
        <v>0</v>
      </c>
      <c r="K171" s="309">
        <f t="shared" ref="K171:K197" ca="1" si="38">SUM(H171:J171)</f>
        <v>0</v>
      </c>
      <c r="L171" s="316"/>
      <c r="M171" s="289" t="str">
        <f t="shared" ca="1" si="26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>
      <c r="A172" s="283"/>
      <c r="B172" s="456" t="s">
        <v>1035</v>
      </c>
      <c r="C172" s="473" t="s">
        <v>1635</v>
      </c>
      <c r="D172" s="305" t="str">
        <f ca="1">IF(ISERROR(OFFSET('HARGA SATUAN'!$D$6,MATCH(RAB!C172,'HARGA SATUAN'!$C$7:$C$1495,0),0)),"",OFFSET('HARGA SATUAN'!$D$6,MATCH(RAB!C172,'HARGA SATUAN'!$C$7:$C$1495,0),0))</f>
        <v/>
      </c>
      <c r="E172" s="306" t="str">
        <f ca="1">IF(B172="+","Unit",IF(ISERROR(OFFSET('HARGA SATUAN'!$E$6,MATCH(RAB!C172,'HARGA SATUAN'!$C$7:$C$1495,0),0)),"",OFFSET('HARGA SATUAN'!$E$6,MATCH(RAB!C172,'HARGA SATUAN'!$C$7:$C$1495,0),0)))</f>
        <v>Unit</v>
      </c>
      <c r="F172" s="475">
        <v>1</v>
      </c>
      <c r="G172" s="307">
        <f ca="1">IF(ISERROR(OFFSET('HARGA SATUAN'!$I$6,MATCH(RAB!C172,'HARGA SATUAN'!$C$7:$C$1495,0),0)),0,OFFSET('HARGA SATUAN'!$I$6,MATCH(RAB!C172,'HARGA SATUAN'!$C$7:$C$1495,0),0))</f>
        <v>0</v>
      </c>
      <c r="H172" s="308">
        <f t="shared" ca="1" si="35"/>
        <v>0</v>
      </c>
      <c r="I172" s="308">
        <f t="shared" ca="1" si="36"/>
        <v>0</v>
      </c>
      <c r="J172" s="308">
        <f t="shared" ca="1" si="37"/>
        <v>0</v>
      </c>
      <c r="K172" s="309">
        <f t="shared" ca="1" si="38"/>
        <v>0</v>
      </c>
      <c r="L172" s="316"/>
      <c r="M172" s="289"/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t="30">
      <c r="A173" s="283"/>
      <c r="B173" s="470">
        <v>1</v>
      </c>
      <c r="C173" s="109" t="s">
        <v>1196</v>
      </c>
      <c r="D173" s="305" t="str">
        <f ca="1">IF(ISERROR(OFFSET('HARGA SATUAN'!$D$6,MATCH(RAB!C173,'HARGA SATUAN'!$C$7:$C$1495,0),0)),"",OFFSET('HARGA SATUAN'!$D$6,MATCH(RAB!C173,'HARGA SATUAN'!$C$7:$C$1495,0),0))</f>
        <v>MDU-KD</v>
      </c>
      <c r="E173" s="306" t="str">
        <f ca="1">IF(B173="+","Unit",IF(ISERROR(OFFSET('HARGA SATUAN'!$E$6,MATCH(RAB!C173,'HARGA SATUAN'!$C$7:$C$1495,0),0)),"",OFFSET('HARGA SATUAN'!$E$6,MATCH(RAB!C173,'HARGA SATUAN'!$C$7:$C$1495,0),0)))</f>
        <v>Bh</v>
      </c>
      <c r="F173" s="475">
        <f>F172*1</f>
        <v>1</v>
      </c>
      <c r="G173" s="307">
        <f ca="1">IF(ISERROR(OFFSET('HARGA SATUAN'!$I$6,MATCH(RAB!C173,'HARGA SATUAN'!$C$7:$C$1495,0),0)),0,OFFSET('HARGA SATUAN'!$I$6,MATCH(RAB!C173,'HARGA SATUAN'!$C$7:$C$1495,0),0))</f>
        <v>1427400</v>
      </c>
      <c r="H173" s="308">
        <f t="shared" ca="1" si="35"/>
        <v>1427400</v>
      </c>
      <c r="I173" s="308">
        <f t="shared" ca="1" si="36"/>
        <v>0</v>
      </c>
      <c r="J173" s="308">
        <f t="shared" ca="1" si="37"/>
        <v>0</v>
      </c>
      <c r="K173" s="309">
        <f t="shared" ca="1" si="38"/>
        <v>1427400</v>
      </c>
      <c r="L173" s="316"/>
      <c r="M173" s="289"/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>
      <c r="A174" s="283"/>
      <c r="B174" s="470">
        <v>2</v>
      </c>
      <c r="C174" s="474" t="s">
        <v>514</v>
      </c>
      <c r="D174" s="305" t="str">
        <f ca="1">IF(ISERROR(OFFSET('HARGA SATUAN'!$D$6,MATCH(RAB!C174,'HARGA SATUAN'!$C$7:$C$1495,0),0)),"",OFFSET('HARGA SATUAN'!$D$6,MATCH(RAB!C174,'HARGA SATUAN'!$C$7:$C$1495,0),0))</f>
        <v>MDU-KD</v>
      </c>
      <c r="E174" s="306" t="str">
        <f ca="1">IF(B174="+","Unit",IF(ISERROR(OFFSET('HARGA SATUAN'!$E$6,MATCH(RAB!C174,'HARGA SATUAN'!$C$7:$C$1495,0),0)),"",OFFSET('HARGA SATUAN'!$E$6,MATCH(RAB!C174,'HARGA SATUAN'!$C$7:$C$1495,0),0)))</f>
        <v>Unit</v>
      </c>
      <c r="F174" s="475">
        <f>F172*1</f>
        <v>1</v>
      </c>
      <c r="G174" s="307">
        <f ca="1">IF(ISERROR(OFFSET('HARGA SATUAN'!$I$6,MATCH(RAB!C174,'HARGA SATUAN'!$C$7:$C$1495,0),0)),0,OFFSET('HARGA SATUAN'!$I$6,MATCH(RAB!C174,'HARGA SATUAN'!$C$7:$C$1495,0),0))</f>
        <v>3564900</v>
      </c>
      <c r="H174" s="308">
        <f t="shared" ca="1" si="35"/>
        <v>3564900</v>
      </c>
      <c r="I174" s="308">
        <f t="shared" ca="1" si="36"/>
        <v>0</v>
      </c>
      <c r="J174" s="308">
        <f t="shared" ca="1" si="37"/>
        <v>0</v>
      </c>
      <c r="K174" s="309">
        <f t="shared" ca="1" si="38"/>
        <v>3564900</v>
      </c>
      <c r="L174" s="316"/>
      <c r="M174" s="289"/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>
      <c r="A175" s="283"/>
      <c r="B175" s="470">
        <v>3</v>
      </c>
      <c r="C175" s="474" t="s">
        <v>1141</v>
      </c>
      <c r="D175" s="305" t="str">
        <f ca="1">IF(ISERROR(OFFSET('HARGA SATUAN'!$D$6,MATCH(RAB!C175,'HARGA SATUAN'!$C$7:$C$1495,0),0)),"",OFFSET('HARGA SATUAN'!$D$6,MATCH(RAB!C175,'HARGA SATUAN'!$C$7:$C$1495,0),0))</f>
        <v>HDW</v>
      </c>
      <c r="E175" s="306" t="str">
        <f ca="1">IF(B175="+","Unit",IF(ISERROR(OFFSET('HARGA SATUAN'!$E$6,MATCH(RAB!C175,'HARGA SATUAN'!$C$7:$C$1495,0),0)),"",OFFSET('HARGA SATUAN'!$E$6,MATCH(RAB!C175,'HARGA SATUAN'!$C$7:$C$1495,0),0)))</f>
        <v>Unit</v>
      </c>
      <c r="F175" s="475">
        <f>F172*1</f>
        <v>1</v>
      </c>
      <c r="G175" s="307">
        <f ca="1">IF(ISERROR(OFFSET('HARGA SATUAN'!$I$6,MATCH(RAB!C175,'HARGA SATUAN'!$C$7:$C$1495,0),0)),0,OFFSET('HARGA SATUAN'!$I$6,MATCH(RAB!C175,'HARGA SATUAN'!$C$7:$C$1495,0),0))</f>
        <v>1113900</v>
      </c>
      <c r="H175" s="308">
        <f t="shared" ca="1" si="35"/>
        <v>0</v>
      </c>
      <c r="I175" s="308">
        <f t="shared" ca="1" si="36"/>
        <v>1113900</v>
      </c>
      <c r="J175" s="308">
        <f t="shared" ca="1" si="37"/>
        <v>0</v>
      </c>
      <c r="K175" s="309">
        <f t="shared" ca="1" si="38"/>
        <v>1113900</v>
      </c>
      <c r="L175" s="316"/>
      <c r="M175" s="289"/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>
      <c r="A176" s="283"/>
      <c r="B176" s="470">
        <v>4</v>
      </c>
      <c r="C176" s="109" t="s">
        <v>1402</v>
      </c>
      <c r="D176" s="305" t="str">
        <f ca="1">IF(ISERROR(OFFSET('HARGA SATUAN'!$D$6,MATCH(RAB!C176,'HARGA SATUAN'!$C$7:$C$1495,0),0)),"",OFFSET('HARGA SATUAN'!$D$6,MATCH(RAB!C176,'HARGA SATUAN'!$C$7:$C$1495,0),0))</f>
        <v>MDU-KD</v>
      </c>
      <c r="E176" s="306" t="str">
        <f ca="1">IF(B176="+","Unit",IF(ISERROR(OFFSET('HARGA SATUAN'!$E$6,MATCH(RAB!C176,'HARGA SATUAN'!$C$7:$C$1495,0),0)),"",OFFSET('HARGA SATUAN'!$E$6,MATCH(RAB!C176,'HARGA SATUAN'!$C$7:$C$1495,0),0)))</f>
        <v>Mtr</v>
      </c>
      <c r="F176" s="475">
        <v>40</v>
      </c>
      <c r="G176" s="307">
        <f ca="1">IF(ISERROR(OFFSET('HARGA SATUAN'!$I$6,MATCH(RAB!C176,'HARGA SATUAN'!$C$7:$C$1495,0),0)),0,OFFSET('HARGA SATUAN'!$I$6,MATCH(RAB!C176,'HARGA SATUAN'!$C$7:$C$1495,0),0))</f>
        <v>30400</v>
      </c>
      <c r="H176" s="308">
        <f t="shared" ca="1" si="35"/>
        <v>1216000</v>
      </c>
      <c r="I176" s="308">
        <f t="shared" ca="1" si="36"/>
        <v>0</v>
      </c>
      <c r="J176" s="308">
        <f t="shared" ca="1" si="37"/>
        <v>0</v>
      </c>
      <c r="K176" s="309">
        <f t="shared" ca="1" si="38"/>
        <v>1216000</v>
      </c>
      <c r="L176" s="316"/>
      <c r="M176" s="289"/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>
      <c r="A177" s="283"/>
      <c r="B177" s="470">
        <v>5</v>
      </c>
      <c r="C177" s="474" t="s">
        <v>799</v>
      </c>
      <c r="D177" s="305" t="str">
        <f ca="1">IF(ISERROR(OFFSET('HARGA SATUAN'!$D$6,MATCH(RAB!C177,'HARGA SATUAN'!$C$7:$C$1495,0),0)),"",OFFSET('HARGA SATUAN'!$D$6,MATCH(RAB!C177,'HARGA SATUAN'!$C$7:$C$1495,0),0))</f>
        <v>JASA</v>
      </c>
      <c r="E177" s="306" t="str">
        <f ca="1">IF(B177="+","Unit",IF(ISERROR(OFFSET('HARGA SATUAN'!$E$6,MATCH(RAB!C177,'HARGA SATUAN'!$C$7:$C$1495,0),0)),"",OFFSET('HARGA SATUAN'!$E$6,MATCH(RAB!C177,'HARGA SATUAN'!$C$7:$C$1495,0),0)))</f>
        <v>Unit</v>
      </c>
      <c r="F177" s="475">
        <f>F172*1</f>
        <v>1</v>
      </c>
      <c r="G177" s="307">
        <f ca="1">IF(ISERROR(OFFSET('HARGA SATUAN'!$I$6,MATCH(RAB!C177,'HARGA SATUAN'!$C$7:$C$1495,0),0)),0,OFFSET('HARGA SATUAN'!$I$6,MATCH(RAB!C177,'HARGA SATUAN'!$C$7:$C$1495,0),0))</f>
        <v>106400</v>
      </c>
      <c r="H177" s="308">
        <f t="shared" ca="1" si="35"/>
        <v>0</v>
      </c>
      <c r="I177" s="308">
        <f t="shared" ca="1" si="36"/>
        <v>0</v>
      </c>
      <c r="J177" s="308">
        <f t="shared" ca="1" si="37"/>
        <v>106400</v>
      </c>
      <c r="K177" s="309">
        <f t="shared" ca="1" si="38"/>
        <v>106400</v>
      </c>
      <c r="L177" s="316"/>
      <c r="M177" s="289" t="str">
        <f>IF(AND(F177&gt;0,F171=0),"",IF(AND(ISBLANK(F177)=FALSE,K177=0),"WARNING",""))</f>
        <v/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>
      <c r="A178" s="283"/>
      <c r="B178" s="470"/>
      <c r="C178" s="474"/>
      <c r="D178" s="305" t="str">
        <f ca="1">IF(ISERROR(OFFSET('HARGA SATUAN'!$D$6,MATCH(RAB!C178,'HARGA SATUAN'!$C$7:$C$1495,0),0)),"",OFFSET('HARGA SATUAN'!$D$6,MATCH(RAB!C178,'HARGA SATUAN'!$C$7:$C$1495,0),0))</f>
        <v/>
      </c>
      <c r="E178" s="306" t="str">
        <f ca="1">IF(B178="+","Unit",IF(ISERROR(OFFSET('HARGA SATUAN'!$E$6,MATCH(RAB!C178,'HARGA SATUAN'!$C$7:$C$1495,0),0)),"",OFFSET('HARGA SATUAN'!$E$6,MATCH(RAB!C178,'HARGA SATUAN'!$C$7:$C$1495,0),0)))</f>
        <v/>
      </c>
      <c r="F178" s="475"/>
      <c r="G178" s="307"/>
      <c r="H178" s="308"/>
      <c r="I178" s="308"/>
      <c r="J178" s="308"/>
      <c r="K178" s="309"/>
      <c r="L178" s="316"/>
      <c r="M178" s="289"/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>
      <c r="A179" s="283"/>
      <c r="B179" s="762" t="s">
        <v>1035</v>
      </c>
      <c r="C179" s="465" t="s">
        <v>1624</v>
      </c>
      <c r="D179" s="305" t="str">
        <f ca="1">IF(ISERROR(OFFSET('HARGA SATUAN'!$D$6,MATCH(RAB!C179,'HARGA SATUAN'!$C$7:$C$1495,0),0)),"",OFFSET('HARGA SATUAN'!$D$6,MATCH(RAB!C179,'HARGA SATUAN'!$C$7:$C$1495,0),0))</f>
        <v/>
      </c>
      <c r="E179" s="306" t="str">
        <f ca="1">IF(B179="+","Unit",IF(ISERROR(OFFSET('HARGA SATUAN'!$E$6,MATCH(RAB!C179,'HARGA SATUAN'!$C$7:$C$1495,0),0)),"",OFFSET('HARGA SATUAN'!$E$6,MATCH(RAB!C179,'HARGA SATUAN'!$C$7:$C$1495,0),0)))</f>
        <v>Unit</v>
      </c>
      <c r="F179" s="476">
        <v>1</v>
      </c>
      <c r="G179" s="307">
        <f ca="1">IF(ISERROR(OFFSET('HARGA SATUAN'!$I$6,MATCH(RAB!C179,'HARGA SATUAN'!$C$7:$C$1495,0),0)),0,OFFSET('HARGA SATUAN'!$I$6,MATCH(RAB!C179,'HARGA SATUAN'!$C$7:$C$1495,0),0))</f>
        <v>0</v>
      </c>
      <c r="H179" s="308">
        <f t="shared" ca="1" si="35"/>
        <v>0</v>
      </c>
      <c r="I179" s="308">
        <f t="shared" ca="1" si="36"/>
        <v>0</v>
      </c>
      <c r="J179" s="308">
        <f t="shared" ca="1" si="37"/>
        <v>0</v>
      </c>
      <c r="K179" s="309">
        <f t="shared" ca="1" si="38"/>
        <v>0</v>
      </c>
      <c r="L179" s="316"/>
      <c r="M179" s="289" t="str">
        <f ca="1">IF(AND(F179&gt;0,F177=0),"",IF(AND(ISBLANK(F179)=FALSE,K179=0),"WARNING",""))</f>
        <v>WARNING</v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>
      <c r="A180" s="283"/>
      <c r="B180" s="763">
        <v>1</v>
      </c>
      <c r="C180" s="465" t="s">
        <v>29</v>
      </c>
      <c r="D180" s="305" t="str">
        <f ca="1">IF(ISERROR(OFFSET('HARGA SATUAN'!$D$6,MATCH(RAB!C180,'HARGA SATUAN'!$C$7:$C$1495,0),0)),"",OFFSET('HARGA SATUAN'!$D$6,MATCH(RAB!C180,'HARGA SATUAN'!$C$7:$C$1495,0),0))</f>
        <v>HDW</v>
      </c>
      <c r="E180" s="306" t="str">
        <f ca="1">IF(B180="+","Unit",IF(ISERROR(OFFSET('HARGA SATUAN'!$E$6,MATCH(RAB!C180,'HARGA SATUAN'!$C$7:$C$1495,0),0)),"",OFFSET('HARGA SATUAN'!$E$6,MATCH(RAB!C180,'HARGA SATUAN'!$C$7:$C$1495,0),0)))</f>
        <v>Bh</v>
      </c>
      <c r="F180" s="476">
        <f>F179*1</f>
        <v>1</v>
      </c>
      <c r="G180" s="307">
        <f ca="1">IF(ISERROR(OFFSET('HARGA SATUAN'!$I$6,MATCH(RAB!C180,'HARGA SATUAN'!$C$7:$C$1495,0),0)),0,OFFSET('HARGA SATUAN'!$I$6,MATCH(RAB!C180,'HARGA SATUAN'!$C$7:$C$1495,0),0))</f>
        <v>185200</v>
      </c>
      <c r="H180" s="308">
        <f t="shared" ca="1" si="35"/>
        <v>0</v>
      </c>
      <c r="I180" s="308">
        <f t="shared" ca="1" si="36"/>
        <v>185200</v>
      </c>
      <c r="J180" s="308">
        <f t="shared" ca="1" si="37"/>
        <v>0</v>
      </c>
      <c r="K180" s="309">
        <f t="shared" ca="1" si="38"/>
        <v>185200</v>
      </c>
      <c r="L180" s="316"/>
      <c r="M180" s="289" t="str">
        <f t="shared" ca="1" si="26"/>
        <v/>
      </c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>
      <c r="A181" s="283"/>
      <c r="B181" s="763">
        <v>2</v>
      </c>
      <c r="C181" s="465" t="s">
        <v>30</v>
      </c>
      <c r="D181" s="305" t="str">
        <f ca="1">IF(ISERROR(OFFSET('HARGA SATUAN'!$D$6,MATCH(RAB!C181,'HARGA SATUAN'!$C$7:$C$1495,0),0)),"",OFFSET('HARGA SATUAN'!$D$6,MATCH(RAB!C181,'HARGA SATUAN'!$C$7:$C$1495,0),0))</f>
        <v>HDW</v>
      </c>
      <c r="E181" s="306" t="str">
        <f ca="1">IF(B181="+","Unit",IF(ISERROR(OFFSET('HARGA SATUAN'!$E$6,MATCH(RAB!C181,'HARGA SATUAN'!$C$7:$C$1495,0),0)),"",OFFSET('HARGA SATUAN'!$E$6,MATCH(RAB!C181,'HARGA SATUAN'!$C$7:$C$1495,0),0)))</f>
        <v>Bh</v>
      </c>
      <c r="F181" s="476">
        <f>F179*1</f>
        <v>1</v>
      </c>
      <c r="G181" s="307">
        <f ca="1">IF(ISERROR(OFFSET('HARGA SATUAN'!$I$6,MATCH(RAB!C181,'HARGA SATUAN'!$C$7:$C$1495,0),0)),0,OFFSET('HARGA SATUAN'!$I$6,MATCH(RAB!C181,'HARGA SATUAN'!$C$7:$C$1495,0),0))</f>
        <v>47459</v>
      </c>
      <c r="H181" s="308">
        <f t="shared" ca="1" si="35"/>
        <v>0</v>
      </c>
      <c r="I181" s="308">
        <f t="shared" ca="1" si="36"/>
        <v>47459</v>
      </c>
      <c r="J181" s="308">
        <f t="shared" ca="1" si="37"/>
        <v>0</v>
      </c>
      <c r="K181" s="309">
        <f t="shared" ca="1" si="38"/>
        <v>47459</v>
      </c>
      <c r="L181" s="316"/>
      <c r="M181" s="289" t="str">
        <f t="shared" ca="1" si="26"/>
        <v/>
      </c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>
      <c r="A182" s="283"/>
      <c r="B182" s="763">
        <v>3</v>
      </c>
      <c r="C182" s="465" t="s">
        <v>32</v>
      </c>
      <c r="D182" s="305" t="str">
        <f ca="1">IF(ISERROR(OFFSET('HARGA SATUAN'!$D$6,MATCH(RAB!C182,'HARGA SATUAN'!$C$7:$C$1495,0),0)),"",OFFSET('HARGA SATUAN'!$D$6,MATCH(RAB!C182,'HARGA SATUAN'!$C$7:$C$1495,0),0))</f>
        <v>HDW</v>
      </c>
      <c r="E182" s="306" t="str">
        <f ca="1">IF(B182="+","Unit",IF(ISERROR(OFFSET('HARGA SATUAN'!$E$6,MATCH(RAB!C182,'HARGA SATUAN'!$C$7:$C$1495,0),0)),"",OFFSET('HARGA SATUAN'!$E$6,MATCH(RAB!C182,'HARGA SATUAN'!$C$7:$C$1495,0),0)))</f>
        <v>Mtr</v>
      </c>
      <c r="F182" s="476">
        <f>F179*1.5</f>
        <v>1.5</v>
      </c>
      <c r="G182" s="307">
        <f ca="1">IF(ISERROR(OFFSET('HARGA SATUAN'!$I$6,MATCH(RAB!C182,'HARGA SATUAN'!$C$7:$C$1495,0),0)),0,OFFSET('HARGA SATUAN'!$I$6,MATCH(RAB!C182,'HARGA SATUAN'!$C$7:$C$1495,0),0))</f>
        <v>30000</v>
      </c>
      <c r="H182" s="308">
        <f t="shared" ca="1" si="35"/>
        <v>0</v>
      </c>
      <c r="I182" s="308">
        <f t="shared" ca="1" si="36"/>
        <v>45000</v>
      </c>
      <c r="J182" s="308">
        <f t="shared" ca="1" si="37"/>
        <v>0</v>
      </c>
      <c r="K182" s="309">
        <f t="shared" ca="1" si="38"/>
        <v>45000</v>
      </c>
      <c r="L182" s="316"/>
      <c r="M182" s="289" t="str">
        <f t="shared" ca="1" si="26"/>
        <v/>
      </c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>
      <c r="A183" s="283"/>
      <c r="B183" s="763">
        <v>4</v>
      </c>
      <c r="C183" s="465" t="s">
        <v>33</v>
      </c>
      <c r="D183" s="305" t="str">
        <f ca="1">IF(ISERROR(OFFSET('HARGA SATUAN'!$D$6,MATCH(RAB!C183,'HARGA SATUAN'!$C$7:$C$1495,0),0)),"",OFFSET('HARGA SATUAN'!$D$6,MATCH(RAB!C183,'HARGA SATUAN'!$C$7:$C$1495,0),0))</f>
        <v>HDW</v>
      </c>
      <c r="E183" s="306" t="str">
        <f ca="1">IF(B183="+","Unit",IF(ISERROR(OFFSET('HARGA SATUAN'!$E$6,MATCH(RAB!C183,'HARGA SATUAN'!$C$7:$C$1495,0),0)),"",OFFSET('HARGA SATUAN'!$E$6,MATCH(RAB!C183,'HARGA SATUAN'!$C$7:$C$1495,0),0)))</f>
        <v>Bh</v>
      </c>
      <c r="F183" s="476">
        <f>F179*2</f>
        <v>2</v>
      </c>
      <c r="G183" s="307">
        <f ca="1">IF(ISERROR(OFFSET('HARGA SATUAN'!$I$6,MATCH(RAB!C183,'HARGA SATUAN'!$C$7:$C$1495,0),0)),0,OFFSET('HARGA SATUAN'!$I$6,MATCH(RAB!C183,'HARGA SATUAN'!$C$7:$C$1495,0),0))</f>
        <v>9500</v>
      </c>
      <c r="H183" s="308">
        <f t="shared" ca="1" si="35"/>
        <v>0</v>
      </c>
      <c r="I183" s="308">
        <f t="shared" ca="1" si="36"/>
        <v>19000</v>
      </c>
      <c r="J183" s="308">
        <f t="shared" ca="1" si="37"/>
        <v>0</v>
      </c>
      <c r="K183" s="309">
        <f t="shared" ca="1" si="38"/>
        <v>19000</v>
      </c>
      <c r="L183" s="316"/>
      <c r="M183" s="289" t="str">
        <f t="shared" ca="1" si="26"/>
        <v/>
      </c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>
      <c r="A184" s="283"/>
      <c r="B184" s="763">
        <v>5</v>
      </c>
      <c r="C184" s="465" t="s">
        <v>735</v>
      </c>
      <c r="D184" s="305" t="str">
        <f ca="1">IF(ISERROR(OFFSET('HARGA SATUAN'!$D$6,MATCH(RAB!C184,'HARGA SATUAN'!$C$7:$C$1495,0),0)),"",OFFSET('HARGA SATUAN'!$D$6,MATCH(RAB!C184,'HARGA SATUAN'!$C$7:$C$1495,0),0))</f>
        <v>JASA</v>
      </c>
      <c r="E184" s="306" t="str">
        <f ca="1">IF(B184="+","Unit",IF(ISERROR(OFFSET('HARGA SATUAN'!$E$6,MATCH(RAB!C184,'HARGA SATUAN'!$C$7:$C$1495,0),0)),"",OFFSET('HARGA SATUAN'!$E$6,MATCH(RAB!C184,'HARGA SATUAN'!$C$7:$C$1495,0),0)))</f>
        <v>Unit</v>
      </c>
      <c r="F184" s="476">
        <f>F179*1</f>
        <v>1</v>
      </c>
      <c r="G184" s="307">
        <f ca="1">IF(ISERROR(OFFSET('HARGA SATUAN'!$I$6,MATCH(RAB!C184,'HARGA SATUAN'!$C$7:$C$1495,0),0)),0,OFFSET('HARGA SATUAN'!$I$6,MATCH(RAB!C184,'HARGA SATUAN'!$C$7:$C$1495,0),0))</f>
        <v>56400</v>
      </c>
      <c r="H184" s="308">
        <f t="shared" ca="1" si="35"/>
        <v>0</v>
      </c>
      <c r="I184" s="308">
        <f t="shared" ca="1" si="36"/>
        <v>0</v>
      </c>
      <c r="J184" s="308">
        <f t="shared" ca="1" si="37"/>
        <v>56400</v>
      </c>
      <c r="K184" s="309">
        <f t="shared" ca="1" si="38"/>
        <v>56400</v>
      </c>
      <c r="L184" s="316"/>
      <c r="M184" s="289" t="str">
        <f t="shared" ca="1" si="26"/>
        <v/>
      </c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>
      <c r="A185" s="283"/>
      <c r="B185" s="772" t="s">
        <v>22</v>
      </c>
      <c r="C185" s="773" t="s">
        <v>802</v>
      </c>
      <c r="D185" s="305" t="str">
        <f ca="1">IF(ISERROR(OFFSET('HARGA SATUAN'!$D$6,MATCH(RAB!C185,'HARGA SATUAN'!$C$7:$C$1495,0),0)),"",OFFSET('HARGA SATUAN'!$D$6,MATCH(RAB!C185,'HARGA SATUAN'!$C$7:$C$1495,0),0))</f>
        <v/>
      </c>
      <c r="E185" s="306">
        <f ca="1">IF(B185="+","Unit",IF(ISERROR(OFFSET('HARGA SATUAN'!$E$6,MATCH(RAB!C185,'HARGA SATUAN'!$C$7:$C$1495,0),0)),"",OFFSET('HARGA SATUAN'!$E$6,MATCH(RAB!C185,'HARGA SATUAN'!$C$7:$C$1495,0),0)))</f>
        <v>0</v>
      </c>
      <c r="F185" s="476"/>
      <c r="G185" s="307">
        <f ca="1">IF(ISERROR(OFFSET('HARGA SATUAN'!$I$6,MATCH(RAB!C185,'HARGA SATUAN'!$C$7:$C$1495,0),0)),0,OFFSET('HARGA SATUAN'!$I$6,MATCH(RAB!C185,'HARGA SATUAN'!$C$7:$C$1495,0),0))</f>
        <v>0</v>
      </c>
      <c r="H185" s="308">
        <f t="shared" ref="H185:H195" ca="1" si="39">IF(OR(D185="MDU",D185="MDU-KD"),(IF($O$3="RAB NON MDU","PLN KD",G185*F185)),0)</f>
        <v>0</v>
      </c>
      <c r="I185" s="308">
        <f t="shared" ref="I185:I195" ca="1" si="40">IF(D185="HDW",G185*F185,0)</f>
        <v>0</v>
      </c>
      <c r="J185" s="308">
        <f t="shared" ref="J185:J195" ca="1" si="41">IF(D185="JASA",G185*F185,0)</f>
        <v>0</v>
      </c>
      <c r="K185" s="309">
        <f t="shared" ref="K185:K195" ca="1" si="42">SUM(H185:J185)</f>
        <v>0</v>
      </c>
      <c r="L185" s="316"/>
      <c r="M185" s="289"/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>
      <c r="A186" s="283"/>
      <c r="B186" s="763">
        <v>1</v>
      </c>
      <c r="C186" s="109" t="s">
        <v>813</v>
      </c>
      <c r="D186" s="305" t="str">
        <f ca="1">IF(ISERROR(OFFSET('HARGA SATUAN'!$D$6,MATCH(RAB!C186,'HARGA SATUAN'!$C$7:$C$1495,0),0)),"",OFFSET('HARGA SATUAN'!$D$6,MATCH(RAB!C186,'HARGA SATUAN'!$C$7:$C$1495,0),0))</f>
        <v>JASA</v>
      </c>
      <c r="E186" s="306" t="str">
        <f ca="1">IF(B186="+","Unit",IF(ISERROR(OFFSET('HARGA SATUAN'!$E$6,MATCH(RAB!C186,'HARGA SATUAN'!$C$7:$C$1495,0),0)),"",OFFSET('HARGA SATUAN'!$E$6,MATCH(RAB!C186,'HARGA SATUAN'!$C$7:$C$1495,0),0)))</f>
        <v>Unit</v>
      </c>
      <c r="F186" s="476">
        <v>4</v>
      </c>
      <c r="G186" s="307">
        <f ca="1">IF(ISERROR(OFFSET('HARGA SATUAN'!$I$6,MATCH(RAB!C186,'HARGA SATUAN'!$C$7:$C$1495,0),0)),0,OFFSET('HARGA SATUAN'!$I$6,MATCH(RAB!C186,'HARGA SATUAN'!$C$7:$C$1495,0),0))</f>
        <v>13320</v>
      </c>
      <c r="H186" s="308">
        <f t="shared" ca="1" si="39"/>
        <v>0</v>
      </c>
      <c r="I186" s="308">
        <f t="shared" ca="1" si="40"/>
        <v>0</v>
      </c>
      <c r="J186" s="308">
        <f t="shared" ca="1" si="41"/>
        <v>53280</v>
      </c>
      <c r="K186" s="309">
        <f t="shared" ca="1" si="42"/>
        <v>53280</v>
      </c>
      <c r="L186" s="316"/>
      <c r="M186" s="289"/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>
      <c r="A187" s="283"/>
      <c r="B187" s="763">
        <v>2</v>
      </c>
      <c r="C187" s="109" t="s">
        <v>814</v>
      </c>
      <c r="D187" s="305" t="str">
        <f ca="1">IF(ISERROR(OFFSET('HARGA SATUAN'!$D$6,MATCH(RAB!C187,'HARGA SATUAN'!$C$7:$C$1495,0),0)),"",OFFSET('HARGA SATUAN'!$D$6,MATCH(RAB!C187,'HARGA SATUAN'!$C$7:$C$1495,0),0))</f>
        <v>JASA</v>
      </c>
      <c r="E187" s="306" t="str">
        <f ca="1">IF(B187="+","Unit",IF(ISERROR(OFFSET('HARGA SATUAN'!$E$6,MATCH(RAB!C187,'HARGA SATUAN'!$C$7:$C$1495,0),0)),"",OFFSET('HARGA SATUAN'!$E$6,MATCH(RAB!C187,'HARGA SATUAN'!$C$7:$C$1495,0),0)))</f>
        <v>Unit</v>
      </c>
      <c r="F187" s="476">
        <v>1</v>
      </c>
      <c r="G187" s="307">
        <f ca="1">IF(ISERROR(OFFSET('HARGA SATUAN'!$I$6,MATCH(RAB!C187,'HARGA SATUAN'!$C$7:$C$1495,0),0)),0,OFFSET('HARGA SATUAN'!$I$6,MATCH(RAB!C187,'HARGA SATUAN'!$C$7:$C$1495,0),0))</f>
        <v>18180</v>
      </c>
      <c r="H187" s="308">
        <f t="shared" ca="1" si="39"/>
        <v>0</v>
      </c>
      <c r="I187" s="308">
        <f t="shared" ca="1" si="40"/>
        <v>0</v>
      </c>
      <c r="J187" s="308">
        <f t="shared" ca="1" si="41"/>
        <v>18180</v>
      </c>
      <c r="K187" s="309">
        <f t="shared" ca="1" si="42"/>
        <v>18180</v>
      </c>
      <c r="L187" s="316"/>
      <c r="M187" s="289"/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>
      <c r="A188" s="283"/>
      <c r="B188" s="763">
        <v>3</v>
      </c>
      <c r="C188" s="109" t="s">
        <v>838</v>
      </c>
      <c r="D188" s="305" t="str">
        <f ca="1">IF(ISERROR(OFFSET('HARGA SATUAN'!$D$6,MATCH(RAB!C188,'HARGA SATUAN'!$C$7:$C$1495,0),0)),"",OFFSET('HARGA SATUAN'!$D$6,MATCH(RAB!C188,'HARGA SATUAN'!$C$7:$C$1495,0),0))</f>
        <v>JASA</v>
      </c>
      <c r="E188" s="306" t="str">
        <f ca="1">IF(B188="+","Unit",IF(ISERROR(OFFSET('HARGA SATUAN'!$E$6,MATCH(RAB!C188,'HARGA SATUAN'!$C$7:$C$1495,0),0)),"",OFFSET('HARGA SATUAN'!$E$6,MATCH(RAB!C188,'HARGA SATUAN'!$C$7:$C$1495,0),0)))</f>
        <v>Unit</v>
      </c>
      <c r="F188" s="476">
        <v>1</v>
      </c>
      <c r="G188" s="307">
        <f ca="1">IF(ISERROR(OFFSET('HARGA SATUAN'!$I$6,MATCH(RAB!C188,'HARGA SATUAN'!$C$7:$C$1495,0),0)),0,OFFSET('HARGA SATUAN'!$I$6,MATCH(RAB!C188,'HARGA SATUAN'!$C$7:$C$1495,0),0))</f>
        <v>22740</v>
      </c>
      <c r="H188" s="308">
        <f t="shared" ca="1" si="39"/>
        <v>0</v>
      </c>
      <c r="I188" s="308">
        <f t="shared" ca="1" si="40"/>
        <v>0</v>
      </c>
      <c r="J188" s="308">
        <f t="shared" ca="1" si="41"/>
        <v>22740</v>
      </c>
      <c r="K188" s="309">
        <f t="shared" ca="1" si="42"/>
        <v>22740</v>
      </c>
      <c r="L188" s="316"/>
      <c r="M188" s="289"/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>
      <c r="A189" s="283"/>
      <c r="B189" s="763">
        <v>4</v>
      </c>
      <c r="C189" s="109" t="s">
        <v>868</v>
      </c>
      <c r="D189" s="305" t="str">
        <f ca="1">IF(ISERROR(OFFSET('HARGA SATUAN'!$D$6,MATCH(RAB!C189,'HARGA SATUAN'!$C$7:$C$1495,0),0)),"",OFFSET('HARGA SATUAN'!$D$6,MATCH(RAB!C189,'HARGA SATUAN'!$C$7:$C$1495,0),0))</f>
        <v>JASA</v>
      </c>
      <c r="E189" s="306" t="str">
        <f ca="1">IF(B189="+","Unit",IF(ISERROR(OFFSET('HARGA SATUAN'!$E$6,MATCH(RAB!C189,'HARGA SATUAN'!$C$7:$C$1495,0),0)),"",OFFSET('HARGA SATUAN'!$E$6,MATCH(RAB!C189,'HARGA SATUAN'!$C$7:$C$1495,0),0)))</f>
        <v>Unit</v>
      </c>
      <c r="F189" s="476">
        <v>3</v>
      </c>
      <c r="G189" s="307">
        <f ca="1">IF(ISERROR(OFFSET('HARGA SATUAN'!$I$6,MATCH(RAB!C189,'HARGA SATUAN'!$C$7:$C$1495,0),0)),0,OFFSET('HARGA SATUAN'!$I$6,MATCH(RAB!C189,'HARGA SATUAN'!$C$7:$C$1495,0),0))</f>
        <v>50340</v>
      </c>
      <c r="H189" s="308">
        <f t="shared" ca="1" si="39"/>
        <v>0</v>
      </c>
      <c r="I189" s="308">
        <f t="shared" ca="1" si="40"/>
        <v>0</v>
      </c>
      <c r="J189" s="308">
        <f t="shared" ca="1" si="41"/>
        <v>151020</v>
      </c>
      <c r="K189" s="309">
        <f t="shared" ca="1" si="42"/>
        <v>151020</v>
      </c>
      <c r="L189" s="316"/>
      <c r="M189" s="289"/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>
      <c r="A190" s="283"/>
      <c r="B190" s="763">
        <v>5</v>
      </c>
      <c r="C190" s="109" t="s">
        <v>890</v>
      </c>
      <c r="D190" s="305" t="str">
        <f ca="1">IF(ISERROR(OFFSET('HARGA SATUAN'!$D$6,MATCH(RAB!C190,'HARGA SATUAN'!$C$7:$C$1495,0),0)),"",OFFSET('HARGA SATUAN'!$D$6,MATCH(RAB!C190,'HARGA SATUAN'!$C$7:$C$1495,0),0))</f>
        <v>JASA</v>
      </c>
      <c r="E190" s="306" t="str">
        <f ca="1">IF(B190="+","Unit",IF(ISERROR(OFFSET('HARGA SATUAN'!$E$6,MATCH(RAB!C190,'HARGA SATUAN'!$C$7:$C$1495,0),0)),"",OFFSET('HARGA SATUAN'!$E$6,MATCH(RAB!C190,'HARGA SATUAN'!$C$7:$C$1495,0),0)))</f>
        <v>Unit</v>
      </c>
      <c r="F190" s="476">
        <v>1</v>
      </c>
      <c r="G190" s="307">
        <f ca="1">IF(ISERROR(OFFSET('HARGA SATUAN'!$I$6,MATCH(RAB!C190,'HARGA SATUAN'!$C$7:$C$1495,0),0)),0,OFFSET('HARGA SATUAN'!$I$6,MATCH(RAB!C190,'HARGA SATUAN'!$C$7:$C$1495,0),0))</f>
        <v>118500</v>
      </c>
      <c r="H190" s="308">
        <f t="shared" ca="1" si="39"/>
        <v>0</v>
      </c>
      <c r="I190" s="308">
        <f t="shared" ca="1" si="40"/>
        <v>0</v>
      </c>
      <c r="J190" s="308">
        <f t="shared" ca="1" si="41"/>
        <v>118500</v>
      </c>
      <c r="K190" s="309">
        <f t="shared" ca="1" si="42"/>
        <v>118500</v>
      </c>
      <c r="L190" s="316"/>
      <c r="M190" s="289"/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>
      <c r="A191" s="283"/>
      <c r="B191" s="763">
        <v>6</v>
      </c>
      <c r="C191" s="109" t="s">
        <v>935</v>
      </c>
      <c r="D191" s="305" t="str">
        <f ca="1">IF(ISERROR(OFFSET('HARGA SATUAN'!$D$6,MATCH(RAB!C191,'HARGA SATUAN'!$C$7:$C$1495,0),0)),"",OFFSET('HARGA SATUAN'!$D$6,MATCH(RAB!C191,'HARGA SATUAN'!$C$7:$C$1495,0),0))</f>
        <v>JASA</v>
      </c>
      <c r="E191" s="306" t="str">
        <f ca="1">IF(B191="+","Unit",IF(ISERROR(OFFSET('HARGA SATUAN'!$E$6,MATCH(RAB!C191,'HARGA SATUAN'!$C$7:$C$1495,0),0)),"",OFFSET('HARGA SATUAN'!$E$6,MATCH(RAB!C191,'HARGA SATUAN'!$C$7:$C$1495,0),0)))</f>
        <v>Unit</v>
      </c>
      <c r="F191" s="476">
        <v>4</v>
      </c>
      <c r="G191" s="307">
        <f ca="1">IF(ISERROR(OFFSET('HARGA SATUAN'!$I$6,MATCH(RAB!C191,'HARGA SATUAN'!$C$7:$C$1495,0),0)),0,OFFSET('HARGA SATUAN'!$I$6,MATCH(RAB!C191,'HARGA SATUAN'!$C$7:$C$1495,0),0))</f>
        <v>27360</v>
      </c>
      <c r="H191" s="308">
        <f t="shared" ca="1" si="39"/>
        <v>0</v>
      </c>
      <c r="I191" s="308">
        <f t="shared" ca="1" si="40"/>
        <v>0</v>
      </c>
      <c r="J191" s="308">
        <f t="shared" ca="1" si="41"/>
        <v>109440</v>
      </c>
      <c r="K191" s="309">
        <f t="shared" ca="1" si="42"/>
        <v>109440</v>
      </c>
      <c r="L191" s="316"/>
      <c r="M191" s="289"/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>
      <c r="A192" s="283"/>
      <c r="B192" s="763">
        <v>7</v>
      </c>
      <c r="C192" s="109" t="s">
        <v>940</v>
      </c>
      <c r="D192" s="305" t="str">
        <f ca="1">IF(ISERROR(OFFSET('HARGA SATUAN'!$D$6,MATCH(RAB!C192,'HARGA SATUAN'!$C$7:$C$1495,0),0)),"",OFFSET('HARGA SATUAN'!$D$6,MATCH(RAB!C192,'HARGA SATUAN'!$C$7:$C$1495,0),0))</f>
        <v>JASA</v>
      </c>
      <c r="E192" s="306" t="str">
        <f ca="1">IF(B192="+","Unit",IF(ISERROR(OFFSET('HARGA SATUAN'!$E$6,MATCH(RAB!C192,'HARGA SATUAN'!$C$7:$C$1495,0),0)),"",OFFSET('HARGA SATUAN'!$E$6,MATCH(RAB!C192,'HARGA SATUAN'!$C$7:$C$1495,0),0)))</f>
        <v>Unit</v>
      </c>
      <c r="F192" s="476">
        <v>2</v>
      </c>
      <c r="G192" s="307">
        <f ca="1">IF(ISERROR(OFFSET('HARGA SATUAN'!$I$6,MATCH(RAB!C192,'HARGA SATUAN'!$C$7:$C$1495,0),0)),0,OFFSET('HARGA SATUAN'!$I$6,MATCH(RAB!C192,'HARGA SATUAN'!$C$7:$C$1495,0),0))</f>
        <v>18720</v>
      </c>
      <c r="H192" s="308">
        <f t="shared" ca="1" si="39"/>
        <v>0</v>
      </c>
      <c r="I192" s="308">
        <f t="shared" ca="1" si="40"/>
        <v>0</v>
      </c>
      <c r="J192" s="308">
        <f t="shared" ca="1" si="41"/>
        <v>37440</v>
      </c>
      <c r="K192" s="309">
        <f t="shared" ca="1" si="42"/>
        <v>37440</v>
      </c>
      <c r="L192" s="316"/>
      <c r="M192" s="289"/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>
      <c r="A193" s="283"/>
      <c r="B193" s="763">
        <v>8</v>
      </c>
      <c r="C193" s="109" t="s">
        <v>948</v>
      </c>
      <c r="D193" s="305" t="str">
        <f ca="1">IF(ISERROR(OFFSET('HARGA SATUAN'!$D$6,MATCH(RAB!C193,'HARGA SATUAN'!$C$7:$C$1495,0),0)),"",OFFSET('HARGA SATUAN'!$D$6,MATCH(RAB!C193,'HARGA SATUAN'!$C$7:$C$1495,0),0))</f>
        <v>JASA</v>
      </c>
      <c r="E193" s="306" t="str">
        <f ca="1">IF(B193="+","Unit",IF(ISERROR(OFFSET('HARGA SATUAN'!$E$6,MATCH(RAB!C193,'HARGA SATUAN'!$C$7:$C$1495,0),0)),"",OFFSET('HARGA SATUAN'!$E$6,MATCH(RAB!C193,'HARGA SATUAN'!$C$7:$C$1495,0),0)))</f>
        <v>Unit</v>
      </c>
      <c r="F193" s="476">
        <v>2</v>
      </c>
      <c r="G193" s="307">
        <f ca="1">IF(ISERROR(OFFSET('HARGA SATUAN'!$I$6,MATCH(RAB!C193,'HARGA SATUAN'!$C$7:$C$1495,0),0)),0,OFFSET('HARGA SATUAN'!$I$6,MATCH(RAB!C193,'HARGA SATUAN'!$C$7:$C$1495,0),0))</f>
        <v>25560</v>
      </c>
      <c r="H193" s="308">
        <f t="shared" ca="1" si="39"/>
        <v>0</v>
      </c>
      <c r="I193" s="308">
        <f t="shared" ca="1" si="40"/>
        <v>0</v>
      </c>
      <c r="J193" s="308">
        <f t="shared" ca="1" si="41"/>
        <v>51120</v>
      </c>
      <c r="K193" s="309">
        <f t="shared" ca="1" si="42"/>
        <v>51120</v>
      </c>
      <c r="L193" s="316"/>
      <c r="M193" s="289"/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>
      <c r="A194" s="283"/>
      <c r="B194" s="763">
        <v>9</v>
      </c>
      <c r="C194" s="109" t="s">
        <v>435</v>
      </c>
      <c r="D194" s="305" t="str">
        <f ca="1">IF(ISERROR(OFFSET('HARGA SATUAN'!$D$6,MATCH(RAB!C194,'HARGA SATUAN'!$C$7:$C$1495,0),0)),"",OFFSET('HARGA SATUAN'!$D$6,MATCH(RAB!C194,'HARGA SATUAN'!$C$7:$C$1495,0),0))</f>
        <v>JASA</v>
      </c>
      <c r="E194" s="306" t="str">
        <f ca="1">IF(B194="+","Unit",IF(ISERROR(OFFSET('HARGA SATUAN'!$E$6,MATCH(RAB!C194,'HARGA SATUAN'!$C$7:$C$1495,0),0)),"",OFFSET('HARGA SATUAN'!$E$6,MATCH(RAB!C194,'HARGA SATUAN'!$C$7:$C$1495,0),0)))</f>
        <v>Btg</v>
      </c>
      <c r="F194" s="476">
        <v>4</v>
      </c>
      <c r="G194" s="307">
        <f ca="1">IF(ISERROR(OFFSET('HARGA SATUAN'!$I$6,MATCH(RAB!C194,'HARGA SATUAN'!$C$7:$C$1495,0),0)),0,OFFSET('HARGA SATUAN'!$I$6,MATCH(RAB!C194,'HARGA SATUAN'!$C$7:$C$1495,0),0))</f>
        <v>384600</v>
      </c>
      <c r="H194" s="308">
        <f t="shared" ca="1" si="39"/>
        <v>0</v>
      </c>
      <c r="I194" s="308">
        <f t="shared" ca="1" si="40"/>
        <v>0</v>
      </c>
      <c r="J194" s="308">
        <f t="shared" ca="1" si="41"/>
        <v>1538400</v>
      </c>
      <c r="K194" s="309">
        <f t="shared" ca="1" si="42"/>
        <v>1538400</v>
      </c>
      <c r="L194" s="316"/>
      <c r="M194" s="289"/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>
      <c r="A195" s="283"/>
      <c r="B195" s="466"/>
      <c r="C195" s="465"/>
      <c r="D195" s="305" t="str">
        <f ca="1">IF(ISERROR(OFFSET('HARGA SATUAN'!$D$6,MATCH(RAB!C195,'HARGA SATUAN'!$C$7:$C$1495,0),0)),"",OFFSET('HARGA SATUAN'!$D$6,MATCH(RAB!C195,'HARGA SATUAN'!$C$7:$C$1495,0),0))</f>
        <v/>
      </c>
      <c r="E195" s="306" t="str">
        <f ca="1">IF(B195="+","Unit",IF(ISERROR(OFFSET('HARGA SATUAN'!$E$6,MATCH(RAB!C195,'HARGA SATUAN'!$C$7:$C$1495,0),0)),"",OFFSET('HARGA SATUAN'!$E$6,MATCH(RAB!C195,'HARGA SATUAN'!$C$7:$C$1495,0),0)))</f>
        <v/>
      </c>
      <c r="F195" s="476"/>
      <c r="G195" s="307">
        <f ca="1">IF(ISERROR(OFFSET('HARGA SATUAN'!$I$6,MATCH(RAB!C195,'HARGA SATUAN'!$C$7:$C$1495,0),0)),0,OFFSET('HARGA SATUAN'!$I$6,MATCH(RAB!C195,'HARGA SATUAN'!$C$7:$C$1495,0),0))</f>
        <v>0</v>
      </c>
      <c r="H195" s="308">
        <f t="shared" ca="1" si="39"/>
        <v>0</v>
      </c>
      <c r="I195" s="308">
        <f t="shared" ca="1" si="40"/>
        <v>0</v>
      </c>
      <c r="J195" s="308">
        <f t="shared" ca="1" si="41"/>
        <v>0</v>
      </c>
      <c r="K195" s="309">
        <f t="shared" ca="1" si="42"/>
        <v>0</v>
      </c>
      <c r="L195" s="316"/>
      <c r="M195" s="289"/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>
      <c r="B196" s="321"/>
      <c r="C196" s="320"/>
      <c r="D196" s="305" t="str">
        <f ca="1">IF(ISERROR(OFFSET('HARGA SATUAN'!$D$6,MATCH(RAB!C196,'HARGA SATUAN'!$C$7:$C$1495,0),0)),"",OFFSET('HARGA SATUAN'!$D$6,MATCH(RAB!C196,'HARGA SATUAN'!$C$7:$C$1495,0),0))</f>
        <v/>
      </c>
      <c r="E196" s="306" t="str">
        <f ca="1">IF(B196="+","Unit",IF(ISERROR(OFFSET('HARGA SATUAN'!$E$6,MATCH(RAB!C196,'HARGA SATUAN'!$C$7:$C$1495,0),0)),"",OFFSET('HARGA SATUAN'!$E$6,MATCH(RAB!C196,'HARGA SATUAN'!$C$7:$C$1495,0),0)))</f>
        <v/>
      </c>
      <c r="F196" s="315"/>
      <c r="G196" s="307">
        <f ca="1">IF(ISERROR(OFFSET('HARGA SATUAN'!$I$6,MATCH(RAB!C196,'HARGA SATUAN'!$C$7:$C$1495,0),0)),0,OFFSET('HARGA SATUAN'!$I$6,MATCH(RAB!C196,'HARGA SATUAN'!$C$7:$C$1495,0),0))</f>
        <v>0</v>
      </c>
      <c r="H196" s="308">
        <f t="shared" ca="1" si="35"/>
        <v>0</v>
      </c>
      <c r="I196" s="308">
        <f t="shared" ca="1" si="36"/>
        <v>0</v>
      </c>
      <c r="J196" s="308">
        <f t="shared" ca="1" si="37"/>
        <v>0</v>
      </c>
      <c r="K196" s="309">
        <f t="shared" ca="1" si="38"/>
        <v>0</v>
      </c>
      <c r="M196" s="289" t="str">
        <f ca="1">IF(AND(F196&gt;0,F184=0),"",IF(AND(ISBLANK(F196)=FALSE,K196=0),"WARNING",""))</f>
        <v/>
      </c>
    </row>
    <row r="197" spans="1:22">
      <c r="B197" s="322"/>
      <c r="C197" s="323" t="s">
        <v>475</v>
      </c>
      <c r="D197" s="305" t="str">
        <f ca="1">IF(ISERROR(OFFSET('HARGA SATUAN'!$D$6,MATCH(RAB!C197,'HARGA SATUAN'!$C$7:$C$1495,0),0)),"",OFFSET('HARGA SATUAN'!$D$6,MATCH(RAB!C197,'HARGA SATUAN'!$C$7:$C$1495,0),0))</f>
        <v/>
      </c>
      <c r="E197" s="306" t="str">
        <f ca="1">IF(B197="+","Unit",IF(ISERROR(OFFSET('HARGA SATUAN'!$E$6,MATCH(RAB!C197,'HARGA SATUAN'!$C$7:$C$1495,0),0)),"",OFFSET('HARGA SATUAN'!$E$6,MATCH(RAB!C197,'HARGA SATUAN'!$C$7:$C$1495,0),0)))</f>
        <v/>
      </c>
      <c r="F197" s="315"/>
      <c r="G197" s="307">
        <f ca="1">IF(ISERROR(OFFSET('HARGA SATUAN'!$I$6,MATCH(RAB!C197,'HARGA SATUAN'!$C$7:$C$1495,0),0)),0,OFFSET('HARGA SATUAN'!$I$6,MATCH(RAB!C197,'HARGA SATUAN'!$C$7:$C$1495,0),0))</f>
        <v>0</v>
      </c>
      <c r="H197" s="308">
        <f t="shared" ca="1" si="35"/>
        <v>0</v>
      </c>
      <c r="I197" s="308">
        <f t="shared" ca="1" si="36"/>
        <v>0</v>
      </c>
      <c r="J197" s="308">
        <f t="shared" ca="1" si="37"/>
        <v>0</v>
      </c>
      <c r="K197" s="309">
        <f t="shared" ca="1" si="38"/>
        <v>0</v>
      </c>
      <c r="M197" s="289" t="e">
        <f>IF(AND(F197&gt;0,#REF!=0),"",IF(AND(ISBLANK(F197)=FALSE,K197=0),"WARNING",""))</f>
        <v>#REF!</v>
      </c>
    </row>
    <row r="198" spans="1:22">
      <c r="B198" s="325">
        <v>1</v>
      </c>
      <c r="C198" s="326" t="s">
        <v>1091</v>
      </c>
      <c r="D198" s="327" t="str">
        <f ca="1">IF(ISERROR(OFFSET('HARGA SATUAN'!$D$6,MATCH(RAB!C198,'HARGA SATUAN'!$C$7:$C$1495,0),0)),"",OFFSET('HARGA SATUAN'!$D$6,MATCH(RAB!C198,'HARGA SATUAN'!$C$7:$C$1495,0),0))</f>
        <v>JASA</v>
      </c>
      <c r="E198" s="328" t="str">
        <f ca="1">IF(ISERROR(OFFSET('HARGA SATUAN'!$E$6,MATCH(RAB!C198,'HARGA SATUAN'!$C$7:$C$1495,0),0)),"",OFFSET('HARGA SATUAN'!$E$6,MATCH(RAB!C198,'HARGA SATUAN'!$C$7:$C$1495,0),0))</f>
        <v>Lot</v>
      </c>
      <c r="F198" s="329">
        <v>1</v>
      </c>
      <c r="G198" s="330">
        <f ca="1">IF(ISERROR(OFFSET('HARGA SATUAN'!$I$6,MATCH(RAB!C198,'HARGA SATUAN'!$C$7:$C$1495,0),0)),0,OFFSET('HARGA SATUAN'!$I$6,MATCH(RAB!C198,'HARGA SATUAN'!$C$7:$C$1495,0),0))</f>
        <v>2.5000000000000001E-2</v>
      </c>
      <c r="H198" s="331">
        <f ca="1">SUM(H14:H197)*G198</f>
        <v>1626143.75</v>
      </c>
      <c r="I198" s="331">
        <f ca="1">SUM(I14:I197)*G198</f>
        <v>946133.31500000006</v>
      </c>
      <c r="J198" s="331">
        <f ca="1">SUM(J14:J197)*G198</f>
        <v>152644.66666666669</v>
      </c>
      <c r="K198" s="331">
        <f ca="1">SUM(K14:K197)*G198</f>
        <v>2724921.7316666669</v>
      </c>
      <c r="M198" s="289" t="str">
        <f t="shared" ref="M198" si="43">IF(AND(F198&gt;0,F197=0),"",IF(AND(ISBLANK(F198)=FALSE,K198=0),"WARNING",""))</f>
        <v/>
      </c>
    </row>
    <row r="199" spans="1:22">
      <c r="B199" s="332"/>
      <c r="C199" s="333"/>
      <c r="D199" s="305" t="str">
        <f ca="1">IF(ISERROR(OFFSET('HARGA SATUAN'!$D$6,MATCH(RAB!C199,'HARGA SATUAN'!$C$7:$C$1495,0),0)),"",OFFSET('HARGA SATUAN'!$D$6,MATCH(RAB!C199,'HARGA SATUAN'!$C$7:$C$1495,0),0))</f>
        <v/>
      </c>
      <c r="E199" s="306" t="str">
        <f ca="1">IF(ISERROR(OFFSET('HARGA SATUAN'!$E$6,MATCH(RAB!C199,'HARGA SATUAN'!$C$7:$C$1495,0),0)),"",OFFSET('HARGA SATUAN'!$E$6,MATCH(RAB!C199,'HARGA SATUAN'!$C$7:$C$1495,0),0))</f>
        <v/>
      </c>
      <c r="F199" s="324"/>
      <c r="G199" s="307" t="str">
        <f ca="1">IF(ISERROR(OFFSET('HARGA SATUAN'!$I$6,MATCH(RAB!C199,'HARGA SATUAN'!$C$7:$C$1495,0),0)),"",OFFSET('HARGA SATUAN'!$I$6,MATCH(RAB!C199,'HARGA SATUAN'!$C$7:$C$1495,0),0))</f>
        <v/>
      </c>
      <c r="H199" s="308">
        <f ca="1">IF(OR(D199="MDU",D199="MDU-KD"),IF(G199="PLN",0,G199*F199),0)</f>
        <v>0</v>
      </c>
      <c r="I199" s="308">
        <f ca="1">IF(D199="HDW",IF(G199="PLN",0,G199*F199),0)</f>
        <v>0</v>
      </c>
      <c r="J199" s="308">
        <f ca="1">IF(D199="JASA",IF(G199="PLN",0,G199*F199),0)</f>
        <v>0</v>
      </c>
      <c r="K199" s="309">
        <f ca="1">SUM(H199:J199)</f>
        <v>0</v>
      </c>
    </row>
    <row r="200" spans="1:22" ht="15.75" thickBot="1">
      <c r="B200" s="334"/>
      <c r="C200" s="335"/>
      <c r="D200" s="336"/>
      <c r="E200" s="337"/>
      <c r="F200" s="337"/>
      <c r="G200" s="337"/>
      <c r="H200" s="338"/>
      <c r="I200" s="338"/>
      <c r="J200" s="338"/>
      <c r="K200" s="339"/>
    </row>
    <row r="201" spans="1:22">
      <c r="B201" s="340"/>
      <c r="C201" s="596" t="s">
        <v>1008</v>
      </c>
      <c r="D201" s="596"/>
      <c r="E201" s="596"/>
      <c r="F201" s="596"/>
      <c r="G201" s="341" t="s">
        <v>9</v>
      </c>
      <c r="H201" s="342">
        <f ca="1">SUM(H14:H199)</f>
        <v>66671893.75</v>
      </c>
      <c r="I201" s="342">
        <f ca="1">SUM(I14:I199)</f>
        <v>38791465.914999999</v>
      </c>
      <c r="J201" s="342">
        <f ca="1">SUM(J14:J199)</f>
        <v>6258431.333333334</v>
      </c>
      <c r="K201" s="342">
        <f ca="1">SUM(K14:K199)</f>
        <v>111721790.99833333</v>
      </c>
    </row>
    <row r="202" spans="1:22">
      <c r="B202" s="343"/>
      <c r="C202" s="579" t="s">
        <v>1455</v>
      </c>
      <c r="D202" s="579"/>
      <c r="E202" s="579"/>
      <c r="F202" s="579"/>
      <c r="G202" s="344" t="s">
        <v>9</v>
      </c>
      <c r="H202" s="345">
        <f ca="1">H201*0.11</f>
        <v>7333908.3125</v>
      </c>
      <c r="I202" s="345">
        <f ca="1">I201*0.11</f>
        <v>4267061.2506499998</v>
      </c>
      <c r="J202" s="345">
        <f ca="1">J201*0.11</f>
        <v>688427.44666666677</v>
      </c>
      <c r="K202" s="345">
        <f ca="1">K201*0.11</f>
        <v>12289397.009816667</v>
      </c>
    </row>
    <row r="203" spans="1:22" ht="15.75" thickBot="1">
      <c r="B203" s="343"/>
      <c r="C203" s="576" t="s">
        <v>463</v>
      </c>
      <c r="D203" s="576"/>
      <c r="E203" s="576"/>
      <c r="F203" s="576"/>
      <c r="G203" s="346" t="s">
        <v>9</v>
      </c>
      <c r="H203" s="347">
        <f ca="1">SUM(H201:H202)</f>
        <v>74005802.0625</v>
      </c>
      <c r="I203" s="347">
        <f ca="1">SUM(I201:I202)</f>
        <v>43058527.165649995</v>
      </c>
      <c r="J203" s="346">
        <f ca="1">SUM(J201:J202)</f>
        <v>6946858.7800000012</v>
      </c>
      <c r="K203" s="346">
        <f ca="1">SUM(K201:K202)</f>
        <v>124011188.00815</v>
      </c>
      <c r="M203" s="411"/>
    </row>
    <row r="204" spans="1:22">
      <c r="B204" s="580" t="str">
        <f ca="1">"Terbilang : "&amp;PROPER(IF(K203=0,"nol",IF(K203&lt;0,"minus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IF(--MID(TEXT(ABS(K203),"000000000000000"),1,3)=0,"",MID(TEXT(ABS(K203),"000000000000000"),1,1)&amp;" ratus "&amp;MID(TEXT(ABS(K203),"000000000000000"),2,1)&amp;" puluh "&amp;MID(TEXT(ABS(K203),"000000000000000"),3,1)&amp;" trilyun ")&amp; IF(--MID(TEXT(ABS(K203),"000000000000000"),4,3)=0,"",MID(TEXT(ABS(K203),"000000000000000"),4,1)&amp;" ratus "&amp;MID(TEXT(ABS(K203),"000000000000000"),5,1)&amp;" puluh "&amp;MID(TEXT(ABS(K203),"000000000000000"),6,1)&amp;" milyar ")&amp; IF(--MID(TEXT(ABS(K203),"000000000000000"),7,3)=0,"",MID(TEXT(ABS(K203),"000000000000000"),7,1)&amp;" ratus "&amp;MID(TEXT(ABS(K203),"000000000000000"),8,1)&amp;" puluh "&amp;MID(TEXT(ABS(K203),"000000000000000"),9,1)&amp;" juta ")&amp; IF(--MID(TEXT(ABS(K203),"000000000000000"),10,3)=0,"",IF(--MID(TEXT(ABS(K203),"000000000000000"),10,3)=1,"*",MID(TEXT(ABS(K203),"000000000000000"),10,1)&amp;" ratus "&amp;MID(TEXT(ABS(K203),"000000000000000"),11,1)&amp;" puluh ")&amp;MID(TEXT(ABS(K203),"000000000000000"),12,1)&amp;" ribu ")&amp; IF(--MID(TEXT(ABS(K203),"000000000000000"),13,3)=0,"",MID(TEXT(ABS(K203),"000000000000000"),13,1)&amp;" ratus "&amp;MID(TEXT(ABS(K203),"000000000000000"),14,1)&amp;" puluh "&amp;MID(TEXT(ABS(K203),"000000000000000"),15,1)),1,"satu"),2,"dua"),3,"tiga"),4,"empat"),5,"lima"),6,"enam"),7,"tujuh"),8,"delapan"),9,"sembilan"),"0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Empat Juta Sebelas Ribu Seratus Delapan Puluh Delapan Rupiah</v>
      </c>
      <c r="C204" s="581"/>
      <c r="D204" s="581"/>
      <c r="E204" s="581"/>
      <c r="F204" s="581"/>
      <c r="G204" s="581"/>
      <c r="H204" s="581"/>
      <c r="I204" s="581"/>
      <c r="J204" s="581"/>
      <c r="K204" s="582"/>
    </row>
    <row r="205" spans="1:22">
      <c r="B205" s="583"/>
      <c r="C205" s="584"/>
      <c r="D205" s="584"/>
      <c r="E205" s="584"/>
      <c r="F205" s="584"/>
      <c r="G205" s="584"/>
      <c r="H205" s="584"/>
      <c r="I205" s="584"/>
      <c r="J205" s="584"/>
      <c r="K205" s="585"/>
    </row>
    <row r="206" spans="1:22" ht="15.75" thickBot="1">
      <c r="B206" s="348" t="str">
        <f>"Harga yang dipakai adalah "&amp;'HARGA SATUAN'!I5&amp;""</f>
        <v>Harga yang dipakai adalah RAB HSS 2023</v>
      </c>
      <c r="C206" s="349"/>
      <c r="D206" s="350"/>
      <c r="E206" s="350"/>
      <c r="F206" s="350"/>
      <c r="G206" s="351"/>
      <c r="H206" s="351"/>
      <c r="I206" s="351"/>
      <c r="J206" s="351"/>
      <c r="K206" s="352"/>
    </row>
    <row r="207" spans="1:22">
      <c r="C207" s="353"/>
      <c r="E207" s="355"/>
      <c r="F207" s="355"/>
      <c r="G207" s="355"/>
    </row>
    <row r="208" spans="1:22">
      <c r="C208" s="284"/>
      <c r="E208" s="355"/>
      <c r="F208" s="355"/>
      <c r="G208" s="355"/>
      <c r="H208" s="586"/>
      <c r="I208" s="586"/>
      <c r="J208" s="587"/>
      <c r="K208" s="587"/>
    </row>
    <row r="209" spans="3:11">
      <c r="C209" s="284"/>
      <c r="E209" s="355"/>
      <c r="F209" s="355"/>
      <c r="G209" s="355"/>
      <c r="H209" s="356"/>
      <c r="I209" s="575" t="s">
        <v>1621</v>
      </c>
      <c r="J209" s="575"/>
      <c r="K209" s="575"/>
    </row>
    <row r="210" spans="3:11">
      <c r="C210" s="284"/>
      <c r="E210" s="355"/>
      <c r="F210" s="355"/>
      <c r="G210" s="355"/>
      <c r="H210" s="356"/>
      <c r="I210" s="575" t="s">
        <v>1611</v>
      </c>
      <c r="J210" s="575"/>
      <c r="K210" s="575"/>
    </row>
    <row r="211" spans="3:11">
      <c r="C211" s="284"/>
      <c r="E211" s="355"/>
      <c r="F211" s="355"/>
      <c r="G211" s="355"/>
      <c r="H211" s="357"/>
      <c r="I211" s="358"/>
      <c r="J211" s="358"/>
      <c r="K211" s="358"/>
    </row>
    <row r="212" spans="3:11">
      <c r="C212" s="284"/>
      <c r="E212" s="355"/>
      <c r="F212" s="355"/>
      <c r="G212" s="355"/>
      <c r="H212" s="357"/>
      <c r="I212" s="357"/>
      <c r="J212" s="357"/>
      <c r="K212" s="357"/>
    </row>
    <row r="213" spans="3:11">
      <c r="C213" s="284"/>
      <c r="E213" s="355"/>
      <c r="F213" s="355"/>
      <c r="G213" s="355"/>
      <c r="H213" s="357"/>
      <c r="I213" s="357"/>
      <c r="J213" s="357"/>
      <c r="K213" s="357"/>
    </row>
    <row r="214" spans="3:11">
      <c r="C214" s="284"/>
      <c r="E214" s="355"/>
      <c r="F214" s="355"/>
      <c r="G214" s="355"/>
      <c r="H214" s="357"/>
      <c r="I214" s="357"/>
      <c r="J214" s="357"/>
      <c r="K214" s="357"/>
    </row>
    <row r="215" spans="3:11">
      <c r="C215" s="284"/>
      <c r="E215" s="355"/>
      <c r="F215" s="355"/>
      <c r="G215" s="355"/>
      <c r="H215" s="359"/>
      <c r="I215" s="575" t="s">
        <v>1612</v>
      </c>
      <c r="J215" s="575"/>
      <c r="K215" s="575"/>
    </row>
    <row r="216" spans="3:11">
      <c r="C216" s="353"/>
      <c r="E216" s="355"/>
      <c r="F216" s="355"/>
      <c r="G216" s="355"/>
      <c r="H216" s="357"/>
      <c r="I216" s="357"/>
      <c r="J216" s="357"/>
      <c r="K216" s="357"/>
    </row>
    <row r="217" spans="3:11">
      <c r="C217" s="353"/>
      <c r="E217" s="355"/>
      <c r="F217" s="355"/>
      <c r="G217" s="355"/>
      <c r="H217" s="357"/>
      <c r="I217" s="357"/>
      <c r="J217" s="357"/>
      <c r="K217" s="357"/>
    </row>
    <row r="218" spans="3:11">
      <c r="C218" s="353"/>
      <c r="E218" s="355"/>
      <c r="F218" s="355"/>
      <c r="G218" s="355"/>
      <c r="H218" s="357"/>
      <c r="I218" s="357"/>
      <c r="J218" s="357"/>
      <c r="K218" s="357"/>
    </row>
  </sheetData>
  <sheetProtection sort="0" autoFilter="0"/>
  <protectedRanges>
    <protectedRange sqref="B196" name="Range1_1"/>
    <protectedRange sqref="F14:F15 F196:F197" name="Range1_1_2_2"/>
    <protectedRange sqref="C196" name="Range1_1_1"/>
    <protectedRange sqref="B171:C172 B15 B16:C16 B21:C21 B49:C166 B174:C175 B173 B179:C185 B17:B20 B22:B32 B176:B178 B167:B170 B195:C195 B186 B187 B188 B189 B190 B191 B192 B193 B194" name="Range1_6_1"/>
    <protectedRange sqref="B46:C48" name="Range1_6_1_1_1"/>
    <protectedRange sqref="B42:C45 B33:B41" name="Range1_6_1_2"/>
    <protectedRange sqref="C173" name="Range1_1_3_2"/>
    <protectedRange sqref="C177:C178" name="Range1_1_3_3"/>
    <protectedRange sqref="C18 C20" name="Range1_1_2_2_1"/>
    <protectedRange sqref="C22:C25 C27:C41" name="Range1_6_1_1"/>
    <protectedRange sqref="C26" name="Range1_1_2_6"/>
    <protectedRange sqref="C167" name="Range1_1_2_3"/>
    <protectedRange sqref="C17" name="Range1_1_3"/>
    <protectedRange sqref="C19" name="Range1_1_3_1"/>
    <protectedRange sqref="C169" name="Range1_1_3_4"/>
    <protectedRange sqref="C168" name="Range1_1_3_6"/>
    <protectedRange sqref="C170" name="Range1_1_3_7"/>
    <protectedRange sqref="C176" name="Range1_1_3_8"/>
    <protectedRange sqref="C186" name="Range1_1_3_9"/>
    <protectedRange sqref="C187" name="Range1_1_3_10"/>
    <protectedRange sqref="C188" name="Range1_1_3_11"/>
    <protectedRange sqref="C189" name="Range1_1_3_12"/>
    <protectedRange sqref="C190" name="Range1_1_3_13"/>
    <protectedRange sqref="C191" name="Range1_1_3_14"/>
    <protectedRange sqref="C192" name="Range1_1_3_15"/>
    <protectedRange sqref="C193" name="Range1_1_3_16"/>
    <protectedRange sqref="C194" name="Range1_1_3_17"/>
  </protectedRanges>
  <mergeCells count="22">
    <mergeCell ref="O3:P4"/>
    <mergeCell ref="B4:K4"/>
    <mergeCell ref="C201:F201"/>
    <mergeCell ref="B11:B13"/>
    <mergeCell ref="C11:C13"/>
    <mergeCell ref="D11:D13"/>
    <mergeCell ref="E11:E13"/>
    <mergeCell ref="F11:F13"/>
    <mergeCell ref="G11:G13"/>
    <mergeCell ref="I12:I13"/>
    <mergeCell ref="I210:K210"/>
    <mergeCell ref="I215:K215"/>
    <mergeCell ref="C203:F203"/>
    <mergeCell ref="G6:K6"/>
    <mergeCell ref="I209:K209"/>
    <mergeCell ref="C202:F202"/>
    <mergeCell ref="B204:K205"/>
    <mergeCell ref="H208:K208"/>
    <mergeCell ref="H11:K11"/>
    <mergeCell ref="H12:H13"/>
    <mergeCell ref="J12:J13"/>
    <mergeCell ref="K12:K13"/>
  </mergeCells>
  <phoneticPr fontId="133" type="noConversion"/>
  <conditionalFormatting sqref="C15">
    <cfRule type="cellIs" dxfId="31" priority="80" operator="equal">
      <formula>0</formula>
    </cfRule>
  </conditionalFormatting>
  <conditionalFormatting sqref="C18 C20">
    <cfRule type="cellIs" dxfId="30" priority="34" operator="equal">
      <formula>0</formula>
    </cfRule>
  </conditionalFormatting>
  <conditionalFormatting sqref="C27">
    <cfRule type="cellIs" dxfId="29" priority="30" operator="equal">
      <formula>0</formula>
    </cfRule>
  </conditionalFormatting>
  <conditionalFormatting sqref="C167">
    <cfRule type="cellIs" dxfId="28" priority="27" operator="equal">
      <formula>0</formula>
    </cfRule>
  </conditionalFormatting>
  <conditionalFormatting sqref="C173">
    <cfRule type="cellIs" dxfId="27" priority="26" operator="equal">
      <formula>0</formula>
    </cfRule>
  </conditionalFormatting>
  <conditionalFormatting sqref="E1:E3 E5:E13 H12:I12 O13 S14:V195 E198:G198 H198:K200 E199:H199 E200:F200">
    <cfRule type="cellIs" dxfId="25" priority="1124" stopIfTrue="1" operator="equal">
      <formula>0</formula>
    </cfRule>
  </conditionalFormatting>
  <conditionalFormatting sqref="E14:K66 E73:K73 E67:E72 G67:K72 E89:K89 E74:E88 G74:K88 E90:E144 G90:K144 E145:K197">
    <cfRule type="cellIs" dxfId="24" priority="23" stopIfTrue="1" operator="equal">
      <formula>0</formula>
    </cfRule>
  </conditionalFormatting>
  <conditionalFormatting sqref="G1:G13">
    <cfRule type="cellIs" dxfId="23" priority="49" stopIfTrue="1" operator="equal">
      <formula>0</formula>
    </cfRule>
  </conditionalFormatting>
  <conditionalFormatting sqref="G199:G65665 E204:E65665">
    <cfRule type="cellIs" dxfId="22" priority="258" stopIfTrue="1" operator="equal">
      <formula>0</formula>
    </cfRule>
  </conditionalFormatting>
  <conditionalFormatting sqref="C17">
    <cfRule type="cellIs" dxfId="21" priority="22" operator="equal">
      <formula>0</formula>
    </cfRule>
  </conditionalFormatting>
  <conditionalFormatting sqref="C19">
    <cfRule type="cellIs" dxfId="20" priority="21" operator="equal">
      <formula>0</formula>
    </cfRule>
  </conditionalFormatting>
  <conditionalFormatting sqref="F67:F72">
    <cfRule type="cellIs" dxfId="19" priority="20" stopIfTrue="1" operator="equal">
      <formula>0</formula>
    </cfRule>
  </conditionalFormatting>
  <conditionalFormatting sqref="F74:F88">
    <cfRule type="cellIs" dxfId="18" priority="19" stopIfTrue="1" operator="equal">
      <formula>0</formula>
    </cfRule>
  </conditionalFormatting>
  <conditionalFormatting sqref="F114:F124">
    <cfRule type="cellIs" dxfId="17" priority="18" stopIfTrue="1" operator="equal">
      <formula>0</formula>
    </cfRule>
  </conditionalFormatting>
  <conditionalFormatting sqref="F126:F132">
    <cfRule type="cellIs" dxfId="16" priority="17" stopIfTrue="1" operator="equal">
      <formula>0</formula>
    </cfRule>
  </conditionalFormatting>
  <conditionalFormatting sqref="F134:F138">
    <cfRule type="cellIs" dxfId="15" priority="16" stopIfTrue="1" operator="equal">
      <formula>0</formula>
    </cfRule>
  </conditionalFormatting>
  <conditionalFormatting sqref="F140:F144">
    <cfRule type="cellIs" dxfId="13" priority="14" stopIfTrue="1" operator="equal">
      <formula>0</formula>
    </cfRule>
  </conditionalFormatting>
  <conditionalFormatting sqref="C169">
    <cfRule type="cellIs" dxfId="12" priority="13" operator="equal">
      <formula>0</formula>
    </cfRule>
  </conditionalFormatting>
  <conditionalFormatting sqref="C168">
    <cfRule type="cellIs" dxfId="11" priority="12" operator="equal">
      <formula>0</formula>
    </cfRule>
  </conditionalFormatting>
  <conditionalFormatting sqref="C170">
    <cfRule type="cellIs" dxfId="10" priority="11" operator="equal">
      <formula>0</formula>
    </cfRule>
  </conditionalFormatting>
  <conditionalFormatting sqref="C176">
    <cfRule type="cellIs" dxfId="9" priority="10" operator="equal">
      <formula>0</formula>
    </cfRule>
  </conditionalFormatting>
  <conditionalFormatting sqref="C186">
    <cfRule type="cellIs" dxfId="8" priority="9" operator="equal">
      <formula>0</formula>
    </cfRule>
  </conditionalFormatting>
  <conditionalFormatting sqref="C187">
    <cfRule type="cellIs" dxfId="7" priority="8" operator="equal">
      <formula>0</formula>
    </cfRule>
  </conditionalFormatting>
  <conditionalFormatting sqref="C188">
    <cfRule type="cellIs" dxfId="6" priority="7" operator="equal">
      <formula>0</formula>
    </cfRule>
  </conditionalFormatting>
  <conditionalFormatting sqref="C189">
    <cfRule type="cellIs" dxfId="5" priority="6" operator="equal">
      <formula>0</formula>
    </cfRule>
  </conditionalFormatting>
  <conditionalFormatting sqref="C190">
    <cfRule type="cellIs" dxfId="4" priority="5" operator="equal">
      <formula>0</formula>
    </cfRule>
  </conditionalFormatting>
  <conditionalFormatting sqref="C191">
    <cfRule type="cellIs" dxfId="3" priority="4" operator="equal">
      <formula>0</formula>
    </cfRule>
  </conditionalFormatting>
  <conditionalFormatting sqref="C192">
    <cfRule type="cellIs" dxfId="2" priority="3" operator="equal">
      <formula>0</formula>
    </cfRule>
  </conditionalFormatting>
  <conditionalFormatting sqref="C193">
    <cfRule type="cellIs" dxfId="1" priority="2" operator="equal">
      <formula>0</formula>
    </cfRule>
  </conditionalFormatting>
  <conditionalFormatting sqref="C19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43 F16:F41 F138 F179:F195 C24:C26 F45:F89 F140:F165 F126:F132 F134:F136 H14:K20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45" max="10" man="1"/>
  </rowBreaks>
  <ignoredErrors>
    <ignoredError sqref="K198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21A2E-9FA8-4DA9-9BF5-C95E7A2032FB}">
  <sheetPr>
    <tabColor rgb="FF92D050"/>
  </sheetPr>
  <dimension ref="C1:AK60"/>
  <sheetViews>
    <sheetView showGridLines="0" topLeftCell="A13" zoomScaleNormal="100" zoomScaleSheetLayoutView="100" workbookViewId="0">
      <selection activeCell="O6" sqref="O6"/>
    </sheetView>
  </sheetViews>
  <sheetFormatPr defaultColWidth="9.140625" defaultRowHeight="12"/>
  <cols>
    <col min="1" max="2" width="1.42578125" style="617" customWidth="1"/>
    <col min="3" max="3" width="7.42578125" style="617" customWidth="1"/>
    <col min="4" max="23" width="5.7109375" style="617" customWidth="1"/>
    <col min="24" max="24" width="6.28515625" style="617" customWidth="1"/>
    <col min="25" max="26" width="5.7109375" style="617" customWidth="1"/>
    <col min="27" max="27" width="6.5703125" style="617" customWidth="1"/>
    <col min="28" max="118" width="5.7109375" style="617" customWidth="1"/>
    <col min="119" max="16384" width="9.140625" style="617"/>
  </cols>
  <sheetData>
    <row r="1" spans="3:30" ht="12.75" thickBot="1"/>
    <row r="2" spans="3:30" ht="12.75" customHeight="1">
      <c r="C2" s="618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20" t="s">
        <v>1438</v>
      </c>
      <c r="X2" s="621"/>
      <c r="Y2" s="621"/>
      <c r="Z2" s="621"/>
      <c r="AA2" s="621"/>
      <c r="AB2" s="621"/>
      <c r="AC2" s="621"/>
      <c r="AD2" s="622"/>
    </row>
    <row r="3" spans="3:30">
      <c r="C3" s="623"/>
      <c r="K3" s="624" t="s">
        <v>1654</v>
      </c>
      <c r="W3" s="625"/>
      <c r="X3" s="626"/>
      <c r="Y3" s="626"/>
      <c r="Z3" s="626"/>
      <c r="AA3" s="626"/>
      <c r="AB3" s="626"/>
      <c r="AC3" s="626"/>
      <c r="AD3" s="627"/>
    </row>
    <row r="4" spans="3:30">
      <c r="C4" s="623"/>
      <c r="G4" s="624"/>
      <c r="W4" s="628" t="s">
        <v>987</v>
      </c>
      <c r="AD4" s="629"/>
    </row>
    <row r="5" spans="3:30">
      <c r="C5" s="623"/>
      <c r="W5" s="630" t="s">
        <v>991</v>
      </c>
      <c r="X5" s="631" t="s">
        <v>990</v>
      </c>
      <c r="Y5" s="631"/>
      <c r="Z5" s="631"/>
      <c r="AA5" s="631" t="s">
        <v>988</v>
      </c>
      <c r="AB5" s="631"/>
      <c r="AC5" s="631" t="s">
        <v>989</v>
      </c>
      <c r="AD5" s="632"/>
    </row>
    <row r="6" spans="3:30">
      <c r="C6" s="623"/>
      <c r="W6" s="630">
        <v>1</v>
      </c>
      <c r="X6" s="631" t="s">
        <v>993</v>
      </c>
      <c r="Y6" s="631"/>
      <c r="Z6" s="631"/>
      <c r="AA6" s="631"/>
      <c r="AB6" s="631"/>
      <c r="AC6" s="631"/>
      <c r="AD6" s="632"/>
    </row>
    <row r="7" spans="3:30">
      <c r="C7" s="623"/>
      <c r="W7" s="630">
        <v>2</v>
      </c>
      <c r="X7" s="631" t="s">
        <v>994</v>
      </c>
      <c r="Y7" s="631"/>
      <c r="Z7" s="631"/>
      <c r="AA7" s="631"/>
      <c r="AB7" s="631"/>
      <c r="AC7" s="631"/>
      <c r="AD7" s="632"/>
    </row>
    <row r="8" spans="3:30">
      <c r="C8" s="623"/>
      <c r="W8" s="630">
        <v>3</v>
      </c>
      <c r="X8" s="631" t="s">
        <v>995</v>
      </c>
      <c r="Y8" s="631"/>
      <c r="Z8" s="631"/>
      <c r="AA8" s="631"/>
      <c r="AB8" s="631"/>
      <c r="AC8" s="631"/>
      <c r="AD8" s="632"/>
    </row>
    <row r="9" spans="3:30">
      <c r="C9" s="623"/>
      <c r="W9" s="630">
        <v>4</v>
      </c>
      <c r="X9" s="631" t="s">
        <v>996</v>
      </c>
      <c r="Y9" s="631"/>
      <c r="Z9" s="631"/>
      <c r="AA9" s="631"/>
      <c r="AB9" s="631"/>
      <c r="AC9" s="631"/>
      <c r="AD9" s="632"/>
    </row>
    <row r="10" spans="3:30">
      <c r="C10" s="623"/>
      <c r="W10" s="630">
        <v>5</v>
      </c>
      <c r="X10" s="631" t="s">
        <v>997</v>
      </c>
      <c r="Y10" s="631"/>
      <c r="Z10" s="631"/>
      <c r="AA10" s="631"/>
      <c r="AB10" s="631"/>
      <c r="AC10" s="631"/>
      <c r="AD10" s="632"/>
    </row>
    <row r="11" spans="3:30">
      <c r="C11" s="623"/>
      <c r="W11" s="630">
        <v>6</v>
      </c>
      <c r="X11" s="631" t="s">
        <v>998</v>
      </c>
      <c r="Y11" s="631"/>
      <c r="Z11" s="631"/>
      <c r="AA11" s="631"/>
      <c r="AB11" s="631"/>
      <c r="AC11" s="631"/>
      <c r="AD11" s="632"/>
    </row>
    <row r="12" spans="3:30">
      <c r="C12" s="623"/>
      <c r="W12" s="630">
        <v>7</v>
      </c>
      <c r="X12" s="631" t="s">
        <v>999</v>
      </c>
      <c r="Y12" s="631"/>
      <c r="Z12" s="631"/>
      <c r="AA12" s="631"/>
      <c r="AB12" s="631"/>
      <c r="AC12" s="631"/>
      <c r="AD12" s="632"/>
    </row>
    <row r="13" spans="3:30" ht="12.75" customHeight="1">
      <c r="C13" s="623"/>
      <c r="W13" s="630">
        <v>8</v>
      </c>
      <c r="X13" s="631" t="s">
        <v>1000</v>
      </c>
      <c r="Y13" s="631"/>
      <c r="Z13" s="631"/>
      <c r="AA13" s="631"/>
      <c r="AB13" s="631"/>
      <c r="AC13" s="631"/>
      <c r="AD13" s="632"/>
    </row>
    <row r="14" spans="3:30">
      <c r="C14" s="623"/>
      <c r="W14" s="630">
        <v>9</v>
      </c>
      <c r="X14" s="631" t="s">
        <v>1001</v>
      </c>
      <c r="Y14" s="631"/>
      <c r="Z14" s="631"/>
      <c r="AA14" s="631"/>
      <c r="AB14" s="631"/>
      <c r="AC14" s="631"/>
      <c r="AD14" s="632"/>
    </row>
    <row r="15" spans="3:30">
      <c r="C15" s="623"/>
      <c r="W15" s="630">
        <v>10</v>
      </c>
      <c r="X15" s="631" t="s">
        <v>1010</v>
      </c>
      <c r="Y15" s="631"/>
      <c r="Z15" s="631"/>
      <c r="AA15" s="631"/>
      <c r="AB15" s="631"/>
      <c r="AC15" s="631"/>
      <c r="AD15" s="632"/>
    </row>
    <row r="16" spans="3:30">
      <c r="C16" s="623"/>
      <c r="W16" s="630">
        <v>11</v>
      </c>
      <c r="X16" s="631" t="s">
        <v>1454</v>
      </c>
      <c r="Y16" s="631"/>
      <c r="Z16" s="631"/>
      <c r="AA16" s="631"/>
      <c r="AB16" s="631"/>
      <c r="AC16" s="631"/>
      <c r="AD16" s="632"/>
    </row>
    <row r="17" spans="3:37">
      <c r="C17" s="623"/>
      <c r="S17" s="633"/>
      <c r="W17" s="630">
        <v>12</v>
      </c>
      <c r="X17" s="631" t="s">
        <v>1011</v>
      </c>
      <c r="Y17" s="631"/>
      <c r="Z17" s="631"/>
      <c r="AA17" s="631"/>
      <c r="AB17" s="631"/>
      <c r="AC17" s="631"/>
      <c r="AD17" s="632"/>
    </row>
    <row r="18" spans="3:37">
      <c r="C18" s="634"/>
      <c r="D18" s="635"/>
      <c r="E18" s="635"/>
      <c r="W18" s="630">
        <v>13</v>
      </c>
      <c r="X18" s="631"/>
      <c r="Y18" s="631"/>
      <c r="Z18" s="631"/>
      <c r="AA18" s="631"/>
      <c r="AB18" s="631"/>
      <c r="AC18" s="631"/>
      <c r="AD18" s="632"/>
    </row>
    <row r="19" spans="3:37">
      <c r="C19" s="623"/>
      <c r="W19" s="636"/>
      <c r="X19" s="637"/>
      <c r="Y19" s="637"/>
      <c r="Z19" s="637"/>
      <c r="AA19" s="637"/>
      <c r="AB19" s="637"/>
      <c r="AC19" s="637"/>
      <c r="AD19" s="638"/>
    </row>
    <row r="20" spans="3:37">
      <c r="C20" s="623"/>
      <c r="Q20" s="639"/>
      <c r="W20" s="640" t="s">
        <v>992</v>
      </c>
      <c r="X20" s="641"/>
      <c r="Y20" s="641"/>
      <c r="Z20" s="641"/>
      <c r="AA20" s="641"/>
      <c r="AB20" s="641"/>
      <c r="AC20" s="641"/>
      <c r="AD20" s="642"/>
    </row>
    <row r="21" spans="3:37">
      <c r="C21" s="623"/>
      <c r="W21" s="643" t="s">
        <v>985</v>
      </c>
      <c r="X21" s="644"/>
      <c r="Y21" s="644"/>
      <c r="Z21" s="645"/>
      <c r="AA21" s="646" t="s">
        <v>986</v>
      </c>
      <c r="AB21" s="647"/>
      <c r="AC21" s="647"/>
      <c r="AD21" s="648"/>
    </row>
    <row r="22" spans="3:37">
      <c r="C22" s="623"/>
      <c r="S22" s="649"/>
      <c r="W22" s="650" t="s">
        <v>1637</v>
      </c>
      <c r="X22" s="651"/>
      <c r="Y22" s="652" t="s">
        <v>1625</v>
      </c>
      <c r="Z22" s="653">
        <v>1</v>
      </c>
      <c r="AA22" s="654" t="s">
        <v>1652</v>
      </c>
      <c r="AB22" s="655"/>
      <c r="AC22" s="656" t="s">
        <v>1622</v>
      </c>
      <c r="AD22" s="657">
        <v>4</v>
      </c>
    </row>
    <row r="23" spans="3:37">
      <c r="C23" s="623"/>
      <c r="W23" s="650" t="s">
        <v>1638</v>
      </c>
      <c r="X23" s="651"/>
      <c r="Y23" s="652" t="s">
        <v>1625</v>
      </c>
      <c r="Z23" s="653">
        <v>3</v>
      </c>
      <c r="AA23" s="658" t="s">
        <v>1639</v>
      </c>
      <c r="AB23" s="659"/>
      <c r="AC23" s="656" t="s">
        <v>1625</v>
      </c>
      <c r="AD23" s="657">
        <v>4</v>
      </c>
    </row>
    <row r="24" spans="3:37">
      <c r="C24" s="623"/>
      <c r="W24" s="650" t="s">
        <v>1649</v>
      </c>
      <c r="X24" s="651"/>
      <c r="Y24" s="652" t="s">
        <v>1650</v>
      </c>
      <c r="Z24" s="653">
        <v>180</v>
      </c>
      <c r="AA24" s="660" t="s">
        <v>1640</v>
      </c>
      <c r="AB24" s="661"/>
      <c r="AC24" s="656" t="s">
        <v>1622</v>
      </c>
      <c r="AD24" s="657">
        <v>3</v>
      </c>
    </row>
    <row r="25" spans="3:37">
      <c r="C25" s="623"/>
      <c r="W25" s="650" t="s">
        <v>1613</v>
      </c>
      <c r="X25" s="651"/>
      <c r="Y25" s="652" t="s">
        <v>1622</v>
      </c>
      <c r="Z25" s="653">
        <v>4</v>
      </c>
      <c r="AA25" s="658" t="s">
        <v>1642</v>
      </c>
      <c r="AB25" s="659"/>
      <c r="AC25" s="656" t="s">
        <v>1622</v>
      </c>
      <c r="AD25" s="657">
        <v>1</v>
      </c>
    </row>
    <row r="26" spans="3:37">
      <c r="C26" s="623"/>
      <c r="W26" s="650" t="s">
        <v>1640</v>
      </c>
      <c r="X26" s="651"/>
      <c r="Y26" s="652" t="s">
        <v>1622</v>
      </c>
      <c r="Z26" s="653">
        <v>3</v>
      </c>
      <c r="AA26" s="658" t="s">
        <v>1651</v>
      </c>
      <c r="AB26" s="659"/>
      <c r="AC26" s="656" t="s">
        <v>1622</v>
      </c>
      <c r="AD26" s="657">
        <v>4</v>
      </c>
    </row>
    <row r="27" spans="3:37">
      <c r="C27" s="623"/>
      <c r="W27" s="662" t="s">
        <v>1647</v>
      </c>
      <c r="X27" s="663"/>
      <c r="Y27" s="652" t="s">
        <v>1622</v>
      </c>
      <c r="Z27" s="653">
        <v>1</v>
      </c>
      <c r="AA27" s="658" t="s">
        <v>1614</v>
      </c>
      <c r="AB27" s="659"/>
      <c r="AC27" s="656" t="s">
        <v>1622</v>
      </c>
      <c r="AD27" s="657">
        <v>1</v>
      </c>
    </row>
    <row r="28" spans="3:37">
      <c r="C28" s="623"/>
      <c r="W28" s="662"/>
      <c r="X28" s="663"/>
      <c r="Y28" s="652"/>
      <c r="Z28" s="653"/>
      <c r="AA28" s="658" t="s">
        <v>1643</v>
      </c>
      <c r="AB28" s="659"/>
      <c r="AC28" s="656" t="s">
        <v>1622</v>
      </c>
      <c r="AD28" s="657">
        <v>2</v>
      </c>
    </row>
    <row r="29" spans="3:37">
      <c r="C29" s="623"/>
      <c r="W29" s="664" t="s">
        <v>1641</v>
      </c>
      <c r="X29" s="665"/>
      <c r="Y29" s="652" t="s">
        <v>1622</v>
      </c>
      <c r="Z29" s="653">
        <v>1</v>
      </c>
      <c r="AA29" s="658" t="s">
        <v>1644</v>
      </c>
      <c r="AB29" s="659"/>
      <c r="AC29" s="656" t="s">
        <v>1622</v>
      </c>
      <c r="AD29" s="657">
        <v>2</v>
      </c>
    </row>
    <row r="30" spans="3:37" ht="11.25" customHeight="1">
      <c r="C30" s="623"/>
      <c r="W30" s="662"/>
      <c r="X30" s="663"/>
      <c r="Y30" s="652"/>
      <c r="Z30" s="653"/>
      <c r="AA30" s="658" t="s">
        <v>1653</v>
      </c>
      <c r="AB30" s="659"/>
      <c r="AC30" s="656" t="s">
        <v>1622</v>
      </c>
      <c r="AD30" s="657">
        <v>1</v>
      </c>
    </row>
    <row r="31" spans="3:37">
      <c r="C31" s="623"/>
      <c r="U31" s="666"/>
      <c r="W31" s="664" t="s">
        <v>1642</v>
      </c>
      <c r="X31" s="665"/>
      <c r="Y31" s="652" t="s">
        <v>1622</v>
      </c>
      <c r="Z31" s="653">
        <v>1</v>
      </c>
      <c r="AA31" s="658"/>
      <c r="AB31" s="659"/>
      <c r="AC31" s="656"/>
      <c r="AD31" s="657"/>
      <c r="AH31" s="667"/>
      <c r="AI31" s="667"/>
      <c r="AJ31" s="668"/>
      <c r="AK31" s="668"/>
    </row>
    <row r="32" spans="3:37">
      <c r="C32" s="623"/>
      <c r="U32" s="666"/>
      <c r="W32" s="669" t="s">
        <v>1613</v>
      </c>
      <c r="X32" s="670"/>
      <c r="Y32" s="652" t="s">
        <v>1622</v>
      </c>
      <c r="Z32" s="653">
        <v>4</v>
      </c>
      <c r="AA32" s="658"/>
      <c r="AB32" s="659"/>
      <c r="AC32" s="656"/>
      <c r="AD32" s="657"/>
      <c r="AH32" s="667"/>
      <c r="AI32" s="667"/>
      <c r="AJ32" s="668"/>
      <c r="AK32" s="668"/>
    </row>
    <row r="33" spans="3:37">
      <c r="C33" s="623"/>
      <c r="W33" s="664" t="s">
        <v>1643</v>
      </c>
      <c r="X33" s="665"/>
      <c r="Y33" s="652" t="s">
        <v>1622</v>
      </c>
      <c r="Z33" s="653">
        <v>1</v>
      </c>
      <c r="AA33" s="658"/>
      <c r="AB33" s="659"/>
      <c r="AC33" s="656"/>
      <c r="AD33" s="657"/>
      <c r="AH33" s="671"/>
      <c r="AI33" s="671"/>
      <c r="AJ33" s="668"/>
      <c r="AK33" s="668"/>
    </row>
    <row r="34" spans="3:37">
      <c r="C34" s="623"/>
      <c r="Q34" s="617" t="s">
        <v>1607</v>
      </c>
      <c r="W34" s="664" t="s">
        <v>1644</v>
      </c>
      <c r="X34" s="665"/>
      <c r="Y34" s="652" t="s">
        <v>1622</v>
      </c>
      <c r="Z34" s="653">
        <v>1</v>
      </c>
      <c r="AA34" s="658"/>
      <c r="AB34" s="659"/>
      <c r="AC34" s="656"/>
      <c r="AD34" s="657"/>
      <c r="AH34" s="671"/>
      <c r="AI34" s="671"/>
      <c r="AJ34" s="668"/>
      <c r="AK34" s="668"/>
    </row>
    <row r="35" spans="3:37">
      <c r="C35" s="623"/>
      <c r="W35" s="664" t="s">
        <v>1651</v>
      </c>
      <c r="X35" s="665"/>
      <c r="Y35" s="652" t="s">
        <v>1622</v>
      </c>
      <c r="Z35" s="653">
        <v>5</v>
      </c>
      <c r="AA35" s="658"/>
      <c r="AB35" s="659"/>
      <c r="AC35" s="656"/>
      <c r="AD35" s="657"/>
      <c r="AH35" s="671"/>
      <c r="AI35" s="671"/>
      <c r="AJ35" s="668"/>
      <c r="AK35" s="668"/>
    </row>
    <row r="36" spans="3:37">
      <c r="C36" s="623"/>
      <c r="W36" s="664" t="s">
        <v>1615</v>
      </c>
      <c r="X36" s="665"/>
      <c r="Y36" s="652" t="s">
        <v>1622</v>
      </c>
      <c r="Z36" s="653">
        <v>2</v>
      </c>
      <c r="AA36" s="658"/>
      <c r="AB36" s="659"/>
      <c r="AC36" s="656"/>
      <c r="AD36" s="657"/>
      <c r="AH36" s="671"/>
      <c r="AI36" s="671"/>
      <c r="AJ36" s="668"/>
      <c r="AK36" s="668"/>
    </row>
    <row r="37" spans="3:37" ht="12.75" customHeight="1">
      <c r="C37" s="623"/>
      <c r="W37" s="664" t="s">
        <v>1645</v>
      </c>
      <c r="X37" s="665"/>
      <c r="Y37" s="652" t="s">
        <v>1622</v>
      </c>
      <c r="Z37" s="653">
        <v>1</v>
      </c>
      <c r="AA37" s="672"/>
      <c r="AB37" s="673"/>
      <c r="AC37" s="656"/>
      <c r="AD37" s="674"/>
      <c r="AH37" s="671"/>
      <c r="AI37" s="671"/>
      <c r="AJ37" s="668"/>
      <c r="AK37" s="668"/>
    </row>
    <row r="38" spans="3:37" ht="12.75" customHeight="1">
      <c r="C38" s="623"/>
      <c r="W38" s="675" t="s">
        <v>1614</v>
      </c>
      <c r="X38" s="676"/>
      <c r="Y38" s="652" t="s">
        <v>1622</v>
      </c>
      <c r="Z38" s="677">
        <v>5</v>
      </c>
      <c r="AA38" s="678"/>
      <c r="AB38" s="679"/>
      <c r="AC38" s="656"/>
      <c r="AD38" s="674"/>
      <c r="AH38" s="680"/>
      <c r="AI38" s="680"/>
      <c r="AJ38" s="668"/>
      <c r="AK38" s="668"/>
    </row>
    <row r="39" spans="3:37" ht="12" customHeight="1">
      <c r="C39" s="623"/>
      <c r="W39" s="681" t="s">
        <v>1648</v>
      </c>
      <c r="X39" s="682"/>
      <c r="Y39" s="683" t="s">
        <v>1623</v>
      </c>
      <c r="Z39" s="677">
        <v>100</v>
      </c>
      <c r="AA39" s="684"/>
      <c r="AB39" s="685"/>
      <c r="AC39" s="656"/>
      <c r="AD39" s="674"/>
      <c r="AH39" s="671"/>
      <c r="AI39" s="671"/>
      <c r="AJ39" s="668"/>
      <c r="AK39" s="668"/>
    </row>
    <row r="40" spans="3:37" ht="12" customHeight="1">
      <c r="C40" s="623"/>
      <c r="W40" s="686" t="s">
        <v>1626</v>
      </c>
      <c r="X40" s="686"/>
      <c r="Y40" s="687" t="s">
        <v>1622</v>
      </c>
      <c r="Z40" s="688">
        <v>1</v>
      </c>
      <c r="AA40" s="689"/>
      <c r="AB40" s="690"/>
      <c r="AC40" s="691"/>
      <c r="AD40" s="692"/>
      <c r="AH40" s="671"/>
      <c r="AI40" s="671"/>
      <c r="AJ40" s="668"/>
      <c r="AK40" s="668"/>
    </row>
    <row r="41" spans="3:37" ht="12" customHeight="1">
      <c r="C41" s="623"/>
      <c r="W41" s="681"/>
      <c r="X41" s="682"/>
      <c r="Y41" s="683"/>
      <c r="Z41" s="677"/>
      <c r="AA41" s="693"/>
      <c r="AB41" s="694"/>
      <c r="AC41" s="695"/>
      <c r="AD41" s="696"/>
      <c r="AH41" s="671"/>
      <c r="AI41" s="671"/>
      <c r="AJ41" s="668"/>
      <c r="AK41" s="668"/>
    </row>
    <row r="42" spans="3:37" ht="12" customHeight="1">
      <c r="C42" s="623"/>
      <c r="W42" s="697"/>
      <c r="X42" s="698"/>
      <c r="Y42" s="699"/>
      <c r="Z42" s="700"/>
      <c r="AA42" s="701"/>
      <c r="AB42" s="702"/>
      <c r="AC42" s="703"/>
      <c r="AD42" s="704"/>
      <c r="AE42" s="705"/>
      <c r="AH42" s="671"/>
      <c r="AI42" s="671"/>
      <c r="AJ42" s="668"/>
      <c r="AK42" s="668"/>
    </row>
    <row r="43" spans="3:37" ht="12" customHeight="1">
      <c r="C43" s="623"/>
      <c r="W43" s="686"/>
      <c r="X43" s="686"/>
      <c r="Y43" s="687"/>
      <c r="Z43" s="706"/>
      <c r="AA43" s="707"/>
      <c r="AB43" s="708"/>
      <c r="AC43" s="709"/>
      <c r="AD43" s="710"/>
      <c r="AE43" s="705"/>
      <c r="AH43" s="680"/>
      <c r="AI43" s="680"/>
      <c r="AJ43" s="668"/>
      <c r="AK43" s="668"/>
    </row>
    <row r="44" spans="3:37" ht="12" customHeight="1">
      <c r="C44" s="623"/>
      <c r="W44" s="711"/>
      <c r="X44" s="712"/>
      <c r="Y44" s="713"/>
      <c r="Z44" s="714"/>
      <c r="AA44" s="715"/>
      <c r="AB44" s="716"/>
      <c r="AC44" s="717"/>
      <c r="AD44" s="718"/>
      <c r="AH44" s="680"/>
      <c r="AI44" s="680"/>
      <c r="AJ44" s="668"/>
      <c r="AK44" s="668"/>
    </row>
    <row r="45" spans="3:37" ht="12" customHeight="1">
      <c r="C45" s="623"/>
      <c r="S45" s="719"/>
      <c r="W45" s="720"/>
      <c r="X45" s="721"/>
      <c r="Y45" s="722"/>
      <c r="Z45" s="722"/>
      <c r="AA45" s="723"/>
      <c r="AB45" s="724"/>
      <c r="AC45" s="691"/>
      <c r="AD45" s="691"/>
      <c r="AH45" s="680"/>
      <c r="AI45" s="680"/>
      <c r="AJ45" s="668"/>
      <c r="AK45" s="668"/>
    </row>
    <row r="46" spans="3:37" ht="12" customHeight="1">
      <c r="C46" s="623"/>
      <c r="W46" s="720"/>
      <c r="X46" s="721"/>
      <c r="Y46" s="722"/>
      <c r="Z46" s="722"/>
      <c r="AA46" s="723"/>
      <c r="AB46" s="724"/>
      <c r="AC46" s="691"/>
      <c r="AD46" s="691"/>
      <c r="AH46" s="680"/>
      <c r="AI46" s="680"/>
      <c r="AJ46" s="668"/>
      <c r="AK46" s="668"/>
    </row>
    <row r="47" spans="3:37" ht="12" customHeight="1">
      <c r="C47" s="623"/>
      <c r="W47" s="725" t="s">
        <v>1627</v>
      </c>
      <c r="X47" s="726"/>
      <c r="Y47" s="726"/>
      <c r="Z47" s="726"/>
      <c r="AA47" s="726"/>
      <c r="AB47" s="726"/>
      <c r="AC47" s="726"/>
      <c r="AD47" s="727"/>
      <c r="AH47" s="671"/>
      <c r="AI47" s="671"/>
      <c r="AJ47" s="668"/>
      <c r="AK47" s="668"/>
    </row>
    <row r="48" spans="3:37" ht="12" customHeight="1">
      <c r="C48" s="623"/>
      <c r="V48" s="728"/>
      <c r="W48" s="729"/>
      <c r="X48" s="730"/>
      <c r="Y48" s="730"/>
      <c r="Z48" s="730"/>
      <c r="AA48" s="730"/>
      <c r="AB48" s="730"/>
      <c r="AC48" s="730"/>
      <c r="AD48" s="731"/>
      <c r="AH48" s="680"/>
      <c r="AI48" s="680"/>
      <c r="AJ48" s="668"/>
      <c r="AK48" s="668"/>
    </row>
    <row r="49" spans="3:37">
      <c r="C49" s="732"/>
      <c r="D49" s="733"/>
      <c r="E49" s="733"/>
      <c r="F49" s="733"/>
      <c r="G49" s="733"/>
      <c r="H49" s="733"/>
      <c r="I49" s="733"/>
      <c r="N49" s="733"/>
      <c r="O49" s="733"/>
      <c r="P49" s="733"/>
      <c r="Q49" s="733"/>
      <c r="R49" s="733"/>
      <c r="S49" s="733"/>
      <c r="T49" s="733"/>
      <c r="U49" s="733"/>
      <c r="V49" s="728"/>
      <c r="W49" s="734" t="s">
        <v>11</v>
      </c>
      <c r="X49" s="735"/>
      <c r="Y49" s="631"/>
      <c r="Z49" s="631"/>
      <c r="AA49" s="631"/>
      <c r="AB49" s="631"/>
      <c r="AC49" s="631"/>
      <c r="AD49" s="632"/>
      <c r="AH49" s="736"/>
      <c r="AI49" s="736"/>
      <c r="AJ49" s="668"/>
      <c r="AK49" s="668"/>
    </row>
    <row r="50" spans="3:37">
      <c r="C50" s="732"/>
      <c r="D50" s="733"/>
      <c r="E50" s="733"/>
      <c r="F50" s="733"/>
      <c r="G50" s="733"/>
      <c r="H50" s="733"/>
      <c r="I50" s="733"/>
      <c r="N50" s="733"/>
      <c r="O50" s="733"/>
      <c r="P50" s="733"/>
      <c r="Q50" s="733"/>
      <c r="R50" s="733"/>
      <c r="S50" s="733"/>
      <c r="T50" s="733"/>
      <c r="U50" s="733"/>
      <c r="V50" s="728"/>
      <c r="W50" s="734" t="s">
        <v>984</v>
      </c>
      <c r="X50" s="735"/>
      <c r="Y50" s="631">
        <v>1</v>
      </c>
      <c r="Z50" s="631"/>
      <c r="AA50" s="631"/>
      <c r="AB50" s="631" t="s">
        <v>12</v>
      </c>
      <c r="AC50" s="631"/>
      <c r="AD50" s="737" t="s">
        <v>13</v>
      </c>
      <c r="AH50" s="736"/>
      <c r="AI50" s="736"/>
      <c r="AJ50" s="668"/>
      <c r="AK50" s="668"/>
    </row>
    <row r="51" spans="3:37">
      <c r="C51" s="732"/>
      <c r="D51" s="733"/>
      <c r="E51" s="733"/>
      <c r="F51" s="733"/>
      <c r="G51" s="733"/>
      <c r="H51" s="733"/>
      <c r="I51" s="733"/>
      <c r="J51" s="733"/>
      <c r="K51" s="733"/>
      <c r="L51" s="733"/>
      <c r="M51" s="733"/>
      <c r="N51" s="733"/>
      <c r="O51" s="733"/>
      <c r="P51" s="733"/>
      <c r="Q51" s="733"/>
      <c r="R51" s="733"/>
      <c r="S51" s="733"/>
      <c r="T51" s="733"/>
      <c r="U51" s="733"/>
      <c r="V51" s="728"/>
      <c r="W51" s="734" t="s">
        <v>15</v>
      </c>
      <c r="X51" s="735"/>
      <c r="Y51" s="738"/>
      <c r="Z51" s="738"/>
      <c r="AA51" s="738"/>
      <c r="AB51" s="631" t="s">
        <v>16</v>
      </c>
      <c r="AC51" s="631"/>
      <c r="AD51" s="739"/>
      <c r="AH51" s="736"/>
      <c r="AI51" s="736"/>
      <c r="AJ51" s="740"/>
      <c r="AK51" s="668"/>
    </row>
    <row r="52" spans="3:37">
      <c r="C52" s="732"/>
      <c r="D52" s="733"/>
      <c r="E52" s="733"/>
      <c r="F52" s="733"/>
      <c r="G52" s="733"/>
      <c r="H52" s="733"/>
      <c r="I52" s="733"/>
      <c r="J52" s="733"/>
      <c r="K52" s="733"/>
      <c r="L52" s="733"/>
      <c r="M52" s="733"/>
      <c r="N52" s="733"/>
      <c r="O52" s="733"/>
      <c r="P52" s="733"/>
      <c r="Q52" s="733"/>
      <c r="R52" s="733"/>
      <c r="S52" s="733"/>
      <c r="T52" s="733"/>
      <c r="U52" s="733"/>
      <c r="V52" s="728"/>
      <c r="W52" s="741" t="s">
        <v>17</v>
      </c>
      <c r="X52" s="741"/>
      <c r="Y52" s="741"/>
      <c r="Z52" s="741"/>
      <c r="AA52" s="741"/>
      <c r="AB52" s="741"/>
      <c r="AC52" s="741"/>
      <c r="AD52" s="742"/>
      <c r="AH52" s="743"/>
      <c r="AI52" s="743"/>
      <c r="AJ52" s="744"/>
      <c r="AK52" s="744"/>
    </row>
    <row r="53" spans="3:37" ht="12.75" customHeight="1">
      <c r="C53" s="732"/>
      <c r="D53" s="733"/>
      <c r="E53" s="733"/>
      <c r="F53" s="733"/>
      <c r="G53" s="733"/>
      <c r="H53" s="733"/>
      <c r="I53" s="733"/>
      <c r="J53" s="733"/>
      <c r="K53" s="733"/>
      <c r="L53" s="733"/>
      <c r="M53" s="733"/>
      <c r="R53" s="733"/>
      <c r="S53" s="733"/>
      <c r="T53" s="733"/>
      <c r="U53" s="733"/>
      <c r="V53" s="728"/>
      <c r="W53" s="745" t="s">
        <v>1646</v>
      </c>
      <c r="X53" s="745"/>
      <c r="Y53" s="745"/>
      <c r="Z53" s="745"/>
      <c r="AA53" s="745"/>
      <c r="AB53" s="745"/>
      <c r="AC53" s="745"/>
      <c r="AD53" s="746"/>
    </row>
    <row r="54" spans="3:37">
      <c r="C54" s="732"/>
      <c r="D54" s="747"/>
      <c r="E54" s="733"/>
      <c r="F54" s="733"/>
      <c r="G54" s="733"/>
      <c r="I54" s="733"/>
      <c r="J54" s="733"/>
      <c r="K54" s="733"/>
      <c r="L54" s="733"/>
      <c r="M54" s="733"/>
      <c r="R54" s="733"/>
      <c r="S54" s="733"/>
      <c r="T54" s="733"/>
      <c r="U54" s="733"/>
      <c r="V54" s="748"/>
      <c r="W54" s="745"/>
      <c r="X54" s="745"/>
      <c r="Y54" s="745"/>
      <c r="Z54" s="745"/>
      <c r="AA54" s="745"/>
      <c r="AB54" s="745"/>
      <c r="AC54" s="745"/>
      <c r="AD54" s="746"/>
    </row>
    <row r="55" spans="3:37">
      <c r="C55" s="732"/>
      <c r="D55" s="749"/>
      <c r="E55" s="749"/>
      <c r="F55" s="749"/>
      <c r="G55" s="749"/>
      <c r="I55" s="733"/>
      <c r="J55" s="733"/>
      <c r="K55" s="733"/>
      <c r="L55" s="733"/>
      <c r="M55" s="733"/>
      <c r="N55" s="733"/>
      <c r="O55" s="733"/>
      <c r="P55" s="733"/>
      <c r="Q55" s="733"/>
      <c r="R55" s="733"/>
      <c r="S55" s="733"/>
      <c r="T55" s="733"/>
      <c r="U55" s="733"/>
      <c r="V55" s="748"/>
      <c r="W55" s="745"/>
      <c r="X55" s="745"/>
      <c r="Y55" s="745"/>
      <c r="Z55" s="745"/>
      <c r="AA55" s="745"/>
      <c r="AB55" s="745"/>
      <c r="AC55" s="745"/>
      <c r="AD55" s="746"/>
    </row>
    <row r="56" spans="3:37" ht="19.5" customHeight="1">
      <c r="C56" s="732"/>
      <c r="D56" s="749"/>
      <c r="E56" s="749"/>
      <c r="F56" s="749"/>
      <c r="G56" s="749"/>
      <c r="I56" s="733"/>
      <c r="J56" s="733"/>
      <c r="K56" s="733"/>
      <c r="L56" s="733"/>
      <c r="M56" s="733"/>
      <c r="N56" s="733"/>
      <c r="O56" s="733"/>
      <c r="P56" s="733"/>
      <c r="Q56" s="733"/>
      <c r="R56" s="733"/>
      <c r="S56" s="733"/>
      <c r="T56" s="733"/>
      <c r="U56" s="733"/>
      <c r="V56" s="748"/>
      <c r="W56" s="750"/>
      <c r="X56" s="750"/>
      <c r="Y56" s="750"/>
      <c r="Z56" s="750"/>
      <c r="AA56" s="750"/>
      <c r="AB56" s="750"/>
      <c r="AC56" s="750"/>
      <c r="AD56" s="751"/>
    </row>
    <row r="57" spans="3:37">
      <c r="C57" s="732"/>
      <c r="D57" s="752"/>
      <c r="E57" s="752"/>
      <c r="F57" s="752"/>
      <c r="G57" s="752"/>
      <c r="I57" s="733"/>
      <c r="J57" s="733"/>
      <c r="K57" s="733"/>
      <c r="L57" s="423"/>
      <c r="M57" s="733"/>
      <c r="N57" s="733"/>
      <c r="O57" s="733"/>
      <c r="P57" s="733"/>
      <c r="Q57" s="733"/>
      <c r="R57" s="733"/>
      <c r="S57" s="733"/>
      <c r="T57" s="733"/>
      <c r="U57" s="733"/>
      <c r="V57" s="728"/>
      <c r="W57" s="753" t="s">
        <v>18</v>
      </c>
      <c r="X57" s="735"/>
      <c r="Y57" s="631" t="s">
        <v>1628</v>
      </c>
      <c r="Z57" s="631"/>
      <c r="AA57" s="631"/>
      <c r="AB57" s="631"/>
      <c r="AC57" s="631"/>
      <c r="AD57" s="632"/>
    </row>
    <row r="58" spans="3:37">
      <c r="C58" s="732"/>
      <c r="D58" s="749"/>
      <c r="E58" s="749"/>
      <c r="F58" s="749"/>
      <c r="G58" s="749"/>
      <c r="I58" s="733"/>
      <c r="J58" s="733"/>
      <c r="K58" s="733"/>
      <c r="L58" s="733"/>
      <c r="M58" s="733"/>
      <c r="N58" s="733"/>
      <c r="O58" s="733"/>
      <c r="P58" s="733"/>
      <c r="Q58" s="733"/>
      <c r="R58" s="733"/>
      <c r="S58" s="733"/>
      <c r="T58" s="733"/>
      <c r="V58" s="728"/>
      <c r="W58" s="753" t="s">
        <v>19</v>
      </c>
      <c r="X58" s="735"/>
      <c r="Y58" s="631" t="s">
        <v>1629</v>
      </c>
      <c r="Z58" s="631"/>
      <c r="AA58" s="631"/>
      <c r="AB58" s="631"/>
      <c r="AC58" s="631"/>
      <c r="AD58" s="632"/>
    </row>
    <row r="59" spans="3:37">
      <c r="C59" s="732"/>
      <c r="D59" s="424"/>
      <c r="E59" s="424"/>
      <c r="F59" s="424"/>
      <c r="G59" s="424"/>
      <c r="I59" s="733"/>
      <c r="J59" s="733"/>
      <c r="K59" s="733"/>
      <c r="L59" s="733"/>
      <c r="M59" s="733"/>
      <c r="N59" s="733"/>
      <c r="O59" s="733"/>
      <c r="P59" s="733"/>
      <c r="Q59" s="733"/>
      <c r="R59" s="733"/>
      <c r="S59" s="733"/>
      <c r="T59" s="733"/>
      <c r="V59" s="728"/>
      <c r="W59" s="753" t="s">
        <v>20</v>
      </c>
      <c r="X59" s="735"/>
      <c r="Y59" s="631" t="s">
        <v>1629</v>
      </c>
      <c r="Z59" s="631"/>
      <c r="AA59" s="631"/>
      <c r="AB59" s="631"/>
      <c r="AC59" s="631"/>
      <c r="AD59" s="632"/>
    </row>
    <row r="60" spans="3:37" ht="12.75" thickBot="1">
      <c r="C60" s="754"/>
      <c r="D60" s="755"/>
      <c r="E60" s="755"/>
      <c r="F60" s="755"/>
      <c r="G60" s="755"/>
      <c r="H60" s="755"/>
      <c r="I60" s="755"/>
      <c r="J60" s="755"/>
      <c r="K60" s="755"/>
      <c r="L60" s="755"/>
      <c r="M60" s="755"/>
      <c r="N60" s="755"/>
      <c r="O60" s="755"/>
      <c r="P60" s="755"/>
      <c r="Q60" s="755"/>
      <c r="R60" s="755"/>
      <c r="S60" s="755"/>
      <c r="T60" s="755"/>
      <c r="U60" s="756"/>
      <c r="V60" s="757"/>
      <c r="W60" s="758" t="s">
        <v>21</v>
      </c>
      <c r="X60" s="759"/>
      <c r="Y60" s="760" t="s">
        <v>1630</v>
      </c>
      <c r="Z60" s="760"/>
      <c r="AA60" s="760"/>
      <c r="AB60" s="760"/>
      <c r="AC60" s="760"/>
      <c r="AD60" s="761"/>
    </row>
  </sheetData>
  <mergeCells count="130">
    <mergeCell ref="W60:X60"/>
    <mergeCell ref="Y60:AA60"/>
    <mergeCell ref="AB60:AD60"/>
    <mergeCell ref="W58:X58"/>
    <mergeCell ref="Y58:AA58"/>
    <mergeCell ref="AB58:AD58"/>
    <mergeCell ref="W59:X59"/>
    <mergeCell ref="Y59:AA59"/>
    <mergeCell ref="AB59:AD59"/>
    <mergeCell ref="W52:AD52"/>
    <mergeCell ref="AH52:AI52"/>
    <mergeCell ref="W53:AD56"/>
    <mergeCell ref="W57:X57"/>
    <mergeCell ref="Y57:AA57"/>
    <mergeCell ref="AB57:AD57"/>
    <mergeCell ref="W49:X49"/>
    <mergeCell ref="Y49:AD49"/>
    <mergeCell ref="W50:X50"/>
    <mergeCell ref="Y50:AA50"/>
    <mergeCell ref="AB50:AC50"/>
    <mergeCell ref="W51:X51"/>
    <mergeCell ref="Y51:AA51"/>
    <mergeCell ref="AB51:AC51"/>
    <mergeCell ref="W45:X45"/>
    <mergeCell ref="AA45:AB45"/>
    <mergeCell ref="W46:X46"/>
    <mergeCell ref="AA46:AB46"/>
    <mergeCell ref="W47:AD48"/>
    <mergeCell ref="AH47:AI47"/>
    <mergeCell ref="W42:X42"/>
    <mergeCell ref="AA42:AB42"/>
    <mergeCell ref="AH42:AI42"/>
    <mergeCell ref="W43:X43"/>
    <mergeCell ref="AA43:AB43"/>
    <mergeCell ref="W44:X44"/>
    <mergeCell ref="AA44:AB44"/>
    <mergeCell ref="AA38:AB38"/>
    <mergeCell ref="AA39:AB39"/>
    <mergeCell ref="AH39:AI39"/>
    <mergeCell ref="W40:X40"/>
    <mergeCell ref="AH40:AI40"/>
    <mergeCell ref="AA41:AB41"/>
    <mergeCell ref="AH41:AI41"/>
    <mergeCell ref="W36:X36"/>
    <mergeCell ref="AA36:AB36"/>
    <mergeCell ref="AH36:AI36"/>
    <mergeCell ref="W37:X37"/>
    <mergeCell ref="AA37:AB37"/>
    <mergeCell ref="AH37:AI37"/>
    <mergeCell ref="W34:X34"/>
    <mergeCell ref="AA34:AB34"/>
    <mergeCell ref="AH34:AI34"/>
    <mergeCell ref="W35:X35"/>
    <mergeCell ref="AA35:AB35"/>
    <mergeCell ref="AH35:AI35"/>
    <mergeCell ref="W31:X31"/>
    <mergeCell ref="AA31:AB31"/>
    <mergeCell ref="AH31:AI31"/>
    <mergeCell ref="AA32:AB32"/>
    <mergeCell ref="AH32:AI32"/>
    <mergeCell ref="W33:X33"/>
    <mergeCell ref="AA33:AB33"/>
    <mergeCell ref="AH33:AI33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605" t="s">
        <v>1631</v>
      </c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606"/>
      <c r="Z3" s="606"/>
      <c r="AA3" s="606"/>
      <c r="AB3" s="607"/>
      <c r="AC3" s="431"/>
      <c r="AD3" s="429"/>
      <c r="AE3" s="429"/>
    </row>
    <row r="4" spans="2:31" ht="13.5" customHeight="1" thickBot="1">
      <c r="B4" s="430"/>
      <c r="C4" s="608"/>
      <c r="D4" s="609"/>
      <c r="E4" s="609"/>
      <c r="F4" s="609"/>
      <c r="G4" s="609"/>
      <c r="H4" s="609"/>
      <c r="I4" s="609"/>
      <c r="J4" s="609"/>
      <c r="K4" s="609"/>
      <c r="L4" s="609"/>
      <c r="M4" s="609"/>
      <c r="N4" s="609"/>
      <c r="O4" s="609"/>
      <c r="P4" s="609"/>
      <c r="Q4" s="609"/>
      <c r="R4" s="609"/>
      <c r="S4" s="609"/>
      <c r="T4" s="609"/>
      <c r="U4" s="609"/>
      <c r="V4" s="609"/>
      <c r="W4" s="609"/>
      <c r="X4" s="609"/>
      <c r="Y4" s="609"/>
      <c r="Z4" s="609"/>
      <c r="AA4" s="609"/>
      <c r="AB4" s="610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zoomScale="43" zoomScaleNormal="130" zoomScaleSheetLayoutView="40" workbookViewId="0">
      <selection activeCell="AC42" sqref="AC4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11" t="s">
        <v>1632</v>
      </c>
      <c r="E4" s="612"/>
      <c r="F4" s="612"/>
      <c r="G4" s="612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2"/>
      <c r="S4" s="612"/>
      <c r="T4" s="612"/>
      <c r="U4" s="612"/>
      <c r="V4" s="612"/>
      <c r="W4" s="612"/>
      <c r="X4" s="612"/>
      <c r="Y4" s="612"/>
      <c r="Z4" s="612"/>
      <c r="AA4" s="612"/>
      <c r="AB4" s="612"/>
      <c r="AC4" s="613"/>
      <c r="AD4" s="206"/>
      <c r="AE4" s="205"/>
      <c r="AF4" s="205"/>
    </row>
    <row r="5" spans="2:32" ht="13.5" customHeight="1" thickBot="1">
      <c r="B5" s="204"/>
      <c r="C5" s="204"/>
      <c r="D5" s="614"/>
      <c r="E5" s="615"/>
      <c r="F5" s="615"/>
      <c r="G5" s="615"/>
      <c r="H5" s="615"/>
      <c r="I5" s="615"/>
      <c r="J5" s="615"/>
      <c r="K5" s="615"/>
      <c r="L5" s="615"/>
      <c r="M5" s="615"/>
      <c r="N5" s="615"/>
      <c r="O5" s="615"/>
      <c r="P5" s="615"/>
      <c r="Q5" s="615"/>
      <c r="R5" s="615"/>
      <c r="S5" s="615"/>
      <c r="T5" s="615"/>
      <c r="U5" s="615"/>
      <c r="V5" s="615"/>
      <c r="W5" s="615"/>
      <c r="X5" s="615"/>
      <c r="Y5" s="615"/>
      <c r="Z5" s="615"/>
      <c r="AA5" s="615"/>
      <c r="AB5" s="615"/>
      <c r="AC5" s="61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7"/>
    </row>
    <row r="76" spans="2:32" ht="15" customHeight="1">
      <c r="F76" s="468"/>
      <c r="N76" s="467"/>
    </row>
    <row r="77" spans="2:32" ht="15" customHeight="1">
      <c r="F77" s="468"/>
      <c r="N77" s="467"/>
    </row>
    <row r="78" spans="2:32" ht="15" customHeight="1">
      <c r="F78" s="468"/>
      <c r="N78" s="467"/>
    </row>
    <row r="79" spans="2:32" ht="15" customHeight="1">
      <c r="F79" s="468"/>
      <c r="N79" s="467"/>
    </row>
    <row r="80" spans="2:32" ht="15" customHeight="1">
      <c r="F80" s="468"/>
      <c r="N80" s="467"/>
    </row>
    <row r="81" spans="6:14" ht="15" customHeight="1">
      <c r="F81" s="468"/>
      <c r="N81" s="467"/>
    </row>
    <row r="82" spans="6:14" ht="15" customHeight="1">
      <c r="F82" s="468"/>
      <c r="N82" s="467"/>
    </row>
    <row r="83" spans="6:14" ht="15" customHeight="1">
      <c r="F83" s="468"/>
      <c r="N83" s="467"/>
    </row>
    <row r="84" spans="6:14" ht="15" customHeight="1">
      <c r="F84" s="468"/>
      <c r="N84" s="467"/>
    </row>
    <row r="85" spans="6:14" ht="15" customHeight="1">
      <c r="F85" s="468"/>
      <c r="N85" s="467"/>
    </row>
    <row r="86" spans="6:14" ht="15" customHeight="1">
      <c r="F86" s="468"/>
      <c r="N86" s="467"/>
    </row>
    <row r="87" spans="6:14" ht="15" customHeight="1">
      <c r="F87" s="468"/>
      <c r="N87" s="467"/>
    </row>
    <row r="88" spans="6:14" ht="15" customHeight="1">
      <c r="F88" s="468"/>
      <c r="N88" s="467"/>
    </row>
    <row r="89" spans="6:14" ht="15" customHeight="1">
      <c r="F89" s="468"/>
      <c r="N89" s="467"/>
    </row>
    <row r="90" spans="6:14" ht="15" customHeight="1">
      <c r="F90" s="468"/>
      <c r="N90" s="467"/>
    </row>
    <row r="91" spans="6:14" ht="15" customHeight="1">
      <c r="F91" s="468"/>
      <c r="N91" s="467"/>
    </row>
    <row r="92" spans="6:14" ht="15" customHeight="1">
      <c r="F92" s="468"/>
      <c r="N92" s="467"/>
    </row>
    <row r="93" spans="6:14" ht="15" customHeight="1">
      <c r="F93" s="468"/>
      <c r="N93" s="467"/>
    </row>
    <row r="94" spans="6:14" ht="15" customHeight="1">
      <c r="F94" s="468"/>
      <c r="N94" s="467"/>
    </row>
    <row r="95" spans="6:14" ht="15" customHeight="1">
      <c r="F95" s="468"/>
      <c r="N95" s="467"/>
    </row>
    <row r="96" spans="6:14" ht="15" customHeight="1">
      <c r="F96" s="468"/>
      <c r="N96" s="467"/>
    </row>
    <row r="97" spans="6:14" ht="15" customHeight="1">
      <c r="F97" s="468"/>
      <c r="N97" s="467"/>
    </row>
    <row r="98" spans="6:14" ht="15" customHeight="1">
      <c r="F98" s="468"/>
    </row>
    <row r="99" spans="6:14" ht="15" customHeight="1">
      <c r="F99" s="468"/>
    </row>
    <row r="100" spans="6:14" ht="15" customHeight="1">
      <c r="F100" s="468"/>
    </row>
    <row r="101" spans="6:14" ht="15" customHeight="1">
      <c r="F101" s="468"/>
    </row>
    <row r="102" spans="6:14" ht="15" customHeight="1">
      <c r="F102" s="468"/>
    </row>
    <row r="103" spans="6:14" ht="15" customHeight="1">
      <c r="F103" s="468"/>
    </row>
    <row r="104" spans="6:14" ht="15" customHeight="1">
      <c r="F104" s="468"/>
    </row>
    <row r="105" spans="6:14" ht="15" customHeight="1">
      <c r="F105" s="468"/>
    </row>
    <row r="106" spans="6:14" ht="15" customHeight="1">
      <c r="F106" s="468"/>
    </row>
    <row r="107" spans="6:14" ht="15" customHeight="1">
      <c r="F107" s="468"/>
    </row>
    <row r="108" spans="6:14" ht="15" customHeight="1">
      <c r="F108" s="468"/>
    </row>
    <row r="109" spans="6:14" ht="15" customHeight="1">
      <c r="F109" s="468"/>
    </row>
    <row r="110" spans="6:14" ht="15" customHeight="1">
      <c r="F110" s="468"/>
    </row>
    <row r="111" spans="6:14" ht="15" customHeight="1">
      <c r="F111" s="468"/>
    </row>
    <row r="112" spans="6:14" ht="15" customHeight="1">
      <c r="F112" s="468"/>
    </row>
    <row r="113" spans="6:6" ht="15" customHeight="1">
      <c r="F113" s="468"/>
    </row>
    <row r="114" spans="6:6" ht="15" customHeight="1">
      <c r="F114" s="468"/>
    </row>
    <row r="115" spans="6:6" ht="15" customHeight="1">
      <c r="F115" s="468"/>
    </row>
    <row r="116" spans="6:6" ht="15" customHeight="1">
      <c r="F116" s="468"/>
    </row>
    <row r="117" spans="6:6" ht="15" customHeight="1">
      <c r="F117" s="468"/>
    </row>
    <row r="118" spans="6:6" ht="15" customHeight="1">
      <c r="F118" s="468"/>
    </row>
    <row r="119" spans="6:6" ht="15" customHeight="1">
      <c r="F119" s="468"/>
    </row>
    <row r="120" spans="6:6" ht="15" customHeight="1">
      <c r="F120" s="468"/>
    </row>
    <row r="121" spans="6:6" ht="15" customHeight="1">
      <c r="F121" s="468"/>
    </row>
    <row r="122" spans="6:6">
      <c r="F122" s="468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2023-12-11T05:35:38Z</dcterms:modified>
</cp:coreProperties>
</file>